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售价)" sheetId="78"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租金)" sheetId="34"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7" r:id="rId46"/>
    <sheet name="售价" sheetId="79" r:id="rId47"/>
  </sheets>
  <definedNames>
    <definedName name="_xlnm._FilterDatabase" localSheetId="21" hidden="1">'比较法-办公（售价)'!$A$1:$L$50</definedName>
    <definedName name="_xlnm._FilterDatabase" localSheetId="38"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21">'比较法-办公（售价)'!$B$119:$M$119</definedName>
    <definedName name="办公层高">'比较法-办公（租金)'!$B$119:$M$119</definedName>
    <definedName name="办公朝向" localSheetId="21">'比较法-办公（售价)'!$B$91:$M$91</definedName>
    <definedName name="办公朝向">'比较法-办公（租金)'!$B$91:$M$91</definedName>
    <definedName name="办公道路级别" localSheetId="21">'比较法-办公（售价)'!$B$87:$M$87</definedName>
    <definedName name="办公道路级别">'比较法-办公（租金)'!$B$87:$M$87</definedName>
    <definedName name="办公公共部分装修" localSheetId="21">'比较法-办公（售价)'!$B$108:$M$108</definedName>
    <definedName name="办公公共部分装修">'比较法-办公（租金)'!$B$108:$M$108</definedName>
    <definedName name="办公基础设施水平" localSheetId="21">'比较法-办公（售价)'!$B$117:$M$117</definedName>
    <definedName name="办公基础设施水平">'比较法-办公（租金)'!$B$117:$M$117</definedName>
    <definedName name="办公集聚程度">定义!$M$1:$M$6</definedName>
    <definedName name="办公建筑结构" localSheetId="21">'比较法-办公（售价)'!$B$106:$M$106</definedName>
    <definedName name="办公建筑结构">'比较法-办公（租金)'!$B$106:$M$106</definedName>
    <definedName name="办公建筑类型" localSheetId="21">'比较法-办公（售价)'!$B$101:$M$101</definedName>
    <definedName name="办公建筑类型">'比较法-办公（租金)'!$B$101:$M$101</definedName>
    <definedName name="办公交易情况" localSheetId="21">'比较法-办公（售价)'!$A$62:$M$62</definedName>
    <definedName name="办公交易情况">'比较法-办公（租金)'!$A$62:$M$62</definedName>
    <definedName name="办公楼层" localSheetId="21">'比较法-办公（售价)'!$B$89:$M$89</definedName>
    <definedName name="办公楼层">'比较法-办公（租金)'!$B$89:$M$89</definedName>
    <definedName name="办公内部装修" localSheetId="21">'比较法-办公（售价)'!$B$123:$M$123</definedName>
    <definedName name="办公内部装修">'比较法-办公（租金)'!$B$123:$M$123</definedName>
    <definedName name="办公物业管理" localSheetId="21">'比较法-办公（售价)'!$B$115:$M$115</definedName>
    <definedName name="办公物业管理">'比较法-办公（租金)'!$B$115:$M$115</definedName>
    <definedName name="办公用途" localSheetId="21">'比较法-办公（售价)'!$B$64:$M$64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1">'比较法-办公（售价)'!$B$113:$M$113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9" i="6" l="1"/>
  <c r="D4" i="31" l="1"/>
  <c r="E4" i="31"/>
  <c r="C4" i="31"/>
  <c r="F4" i="31"/>
  <c r="G4" i="31"/>
  <c r="H4" i="31"/>
  <c r="T5" i="31"/>
  <c r="I4" i="31"/>
  <c r="J4" i="31"/>
  <c r="K4" i="31"/>
  <c r="L4" i="31"/>
  <c r="M4" i="31"/>
  <c r="N4" i="31"/>
  <c r="O4" i="31"/>
  <c r="P4" i="31"/>
  <c r="G122" i="34"/>
  <c r="H122" i="34"/>
  <c r="G121" i="34"/>
  <c r="H121" i="34"/>
  <c r="F122" i="34"/>
  <c r="F121" i="34"/>
  <c r="H122" i="78"/>
  <c r="J49" i="67"/>
  <c r="I37" i="78"/>
  <c r="G48" i="78"/>
  <c r="I6" i="78"/>
  <c r="I5" i="78"/>
  <c r="E48" i="78"/>
  <c r="R48" i="34"/>
  <c r="D3" i="4"/>
  <c r="B2" i="1" s="1"/>
  <c r="D60" i="34"/>
  <c r="E60" i="34"/>
  <c r="F60" i="34"/>
  <c r="F8" i="34"/>
  <c r="AA8" i="34"/>
  <c r="C64" i="34"/>
  <c r="F9" i="34"/>
  <c r="AA9" i="34"/>
  <c r="K10" i="34"/>
  <c r="F67" i="34"/>
  <c r="F10" i="34"/>
  <c r="AA10" i="34"/>
  <c r="F11" i="34"/>
  <c r="AA11" i="34"/>
  <c r="B71" i="34"/>
  <c r="F12" i="34"/>
  <c r="AA12" i="34"/>
  <c r="B73" i="34"/>
  <c r="F13" i="34"/>
  <c r="AA13" i="34"/>
  <c r="B75" i="34"/>
  <c r="F14" i="34"/>
  <c r="AA14" i="34"/>
  <c r="K15" i="34"/>
  <c r="D78" i="34"/>
  <c r="F15" i="34"/>
  <c r="AA15" i="34"/>
  <c r="K17" i="34"/>
  <c r="D80" i="34"/>
  <c r="K19" i="34"/>
  <c r="D82" i="34"/>
  <c r="F19" i="34"/>
  <c r="AA19" i="34"/>
  <c r="F21" i="34"/>
  <c r="AA21" i="34"/>
  <c r="K23" i="34"/>
  <c r="D86" i="34"/>
  <c r="K25" i="34"/>
  <c r="D88" i="34"/>
  <c r="B89" i="34"/>
  <c r="K27" i="34"/>
  <c r="D90" i="34"/>
  <c r="B91" i="34"/>
  <c r="F28" i="34"/>
  <c r="AA28" i="34"/>
  <c r="B93" i="34"/>
  <c r="F29" i="34"/>
  <c r="AA29" i="34"/>
  <c r="B95" i="34"/>
  <c r="F30" i="34"/>
  <c r="AA30" i="34"/>
  <c r="B97" i="34"/>
  <c r="F31" i="34"/>
  <c r="AA31" i="34"/>
  <c r="B99" i="34"/>
  <c r="F32" i="34"/>
  <c r="AA32" i="34"/>
  <c r="F33" i="34"/>
  <c r="AA33" i="34"/>
  <c r="F34" i="34"/>
  <c r="AA34" i="34"/>
  <c r="F35" i="34"/>
  <c r="AA35" i="34"/>
  <c r="F36" i="34"/>
  <c r="AA36" i="34"/>
  <c r="E37" i="34"/>
  <c r="K37" i="34"/>
  <c r="D112" i="34"/>
  <c r="E112" i="34"/>
  <c r="F112" i="34"/>
  <c r="N6" i="1"/>
  <c r="C37" i="34"/>
  <c r="F38" i="34"/>
  <c r="AA38" i="34"/>
  <c r="F39" i="34"/>
  <c r="AA39" i="34"/>
  <c r="K40" i="34"/>
  <c r="D118" i="34"/>
  <c r="F40" i="34"/>
  <c r="AA40" i="34"/>
  <c r="F41" i="34"/>
  <c r="AA41" i="34"/>
  <c r="D122" i="34"/>
  <c r="F42" i="34"/>
  <c r="AA42" i="34"/>
  <c r="K43" i="34"/>
  <c r="D124" i="34"/>
  <c r="K44" i="34"/>
  <c r="D126" i="34"/>
  <c r="F44" i="34"/>
  <c r="AA44" i="34"/>
  <c r="B127" i="34"/>
  <c r="F45" i="34"/>
  <c r="AA45" i="34"/>
  <c r="B129" i="34"/>
  <c r="F46" i="34"/>
  <c r="AA46" i="34"/>
  <c r="B131" i="34"/>
  <c r="F47" i="34"/>
  <c r="AA47" i="34"/>
  <c r="T48" i="34"/>
  <c r="H8" i="34"/>
  <c r="AB8" i="34"/>
  <c r="H9" i="34"/>
  <c r="AB9" i="34"/>
  <c r="H10" i="34"/>
  <c r="AB10" i="34"/>
  <c r="H11" i="34"/>
  <c r="AB11" i="34"/>
  <c r="H12" i="34"/>
  <c r="AB12" i="34"/>
  <c r="H13" i="34"/>
  <c r="AB13" i="34"/>
  <c r="H14" i="34"/>
  <c r="AB14" i="34"/>
  <c r="H15" i="34"/>
  <c r="AB15" i="34"/>
  <c r="H19" i="34"/>
  <c r="AB19" i="34"/>
  <c r="H21" i="34"/>
  <c r="AB21" i="34"/>
  <c r="H28" i="34"/>
  <c r="AB28" i="34"/>
  <c r="H29" i="34"/>
  <c r="AB29" i="34"/>
  <c r="H30" i="34"/>
  <c r="AB30" i="34"/>
  <c r="H31" i="34"/>
  <c r="AB31" i="34"/>
  <c r="H32" i="34"/>
  <c r="AB32" i="34"/>
  <c r="H33" i="34"/>
  <c r="AB33" i="34"/>
  <c r="H34" i="34"/>
  <c r="AB34" i="34"/>
  <c r="H35" i="34"/>
  <c r="AB35" i="34"/>
  <c r="H36" i="34"/>
  <c r="AB36" i="34"/>
  <c r="G37" i="34"/>
  <c r="H38" i="34"/>
  <c r="AB38" i="34"/>
  <c r="H39" i="34"/>
  <c r="AB39" i="34"/>
  <c r="H40" i="34"/>
  <c r="AB40" i="34"/>
  <c r="H41" i="34"/>
  <c r="AB41" i="34"/>
  <c r="H42" i="34"/>
  <c r="AB42" i="34"/>
  <c r="H44" i="34"/>
  <c r="AB44" i="34"/>
  <c r="H45" i="34"/>
  <c r="AB45" i="34"/>
  <c r="H46" i="34"/>
  <c r="AB46" i="34"/>
  <c r="H47" i="34"/>
  <c r="AB47" i="34"/>
  <c r="V48" i="34"/>
  <c r="J8" i="34"/>
  <c r="AC8" i="34"/>
  <c r="J9" i="34"/>
  <c r="AC9" i="34"/>
  <c r="J10" i="34"/>
  <c r="AC10" i="34"/>
  <c r="J11" i="34"/>
  <c r="AC11" i="34"/>
  <c r="J12" i="34"/>
  <c r="AC12" i="34"/>
  <c r="J13" i="34"/>
  <c r="AC13" i="34"/>
  <c r="J14" i="34"/>
  <c r="AC14" i="34"/>
  <c r="J15" i="34"/>
  <c r="AC15" i="34"/>
  <c r="J19" i="34"/>
  <c r="AC19" i="34"/>
  <c r="J21" i="34"/>
  <c r="AC21" i="34"/>
  <c r="J28" i="34"/>
  <c r="AC28" i="34"/>
  <c r="J29" i="34"/>
  <c r="AC29" i="34"/>
  <c r="J30" i="34"/>
  <c r="AC30" i="34"/>
  <c r="J31" i="34"/>
  <c r="AC31" i="34"/>
  <c r="J32" i="34"/>
  <c r="AC32" i="34"/>
  <c r="J33" i="34"/>
  <c r="AC33" i="34"/>
  <c r="J34" i="34"/>
  <c r="AC34" i="34"/>
  <c r="J35" i="34"/>
  <c r="AC35" i="34"/>
  <c r="J36" i="34"/>
  <c r="AC36" i="34"/>
  <c r="I37" i="34"/>
  <c r="J38" i="34"/>
  <c r="AC38" i="34"/>
  <c r="J39" i="34"/>
  <c r="AC39" i="34"/>
  <c r="J40" i="34"/>
  <c r="AC40" i="34"/>
  <c r="J41" i="34"/>
  <c r="AC41" i="34"/>
  <c r="J42" i="34"/>
  <c r="J44" i="34"/>
  <c r="AC44" i="34"/>
  <c r="J45" i="34"/>
  <c r="AC45" i="34"/>
  <c r="J46" i="34"/>
  <c r="AC46" i="34"/>
  <c r="J47" i="34"/>
  <c r="AC47" i="34"/>
  <c r="D60" i="78"/>
  <c r="E60" i="78"/>
  <c r="F60" i="78"/>
  <c r="D112" i="78"/>
  <c r="E112" i="78"/>
  <c r="C37" i="78"/>
  <c r="F122" i="78"/>
  <c r="D122" i="78"/>
  <c r="H42" i="78"/>
  <c r="AB42" i="78"/>
  <c r="D124" i="78"/>
  <c r="H43" i="78"/>
  <c r="AB43" i="78"/>
  <c r="T48" i="78"/>
  <c r="H8" i="78"/>
  <c r="AB8" i="78"/>
  <c r="C64" i="78"/>
  <c r="H9" i="78"/>
  <c r="AB9" i="78"/>
  <c r="F67" i="78"/>
  <c r="H10" i="78"/>
  <c r="AB10" i="78"/>
  <c r="H11" i="78"/>
  <c r="AB11" i="78"/>
  <c r="B71" i="78"/>
  <c r="H12" i="78"/>
  <c r="AB12" i="78"/>
  <c r="B73" i="78"/>
  <c r="H13" i="78"/>
  <c r="AB13" i="78"/>
  <c r="B75" i="78"/>
  <c r="H14" i="78"/>
  <c r="AB14" i="78"/>
  <c r="D78" i="78"/>
  <c r="H15" i="78"/>
  <c r="D80" i="78"/>
  <c r="H17" i="78"/>
  <c r="AB17" i="78"/>
  <c r="D82" i="78"/>
  <c r="H21" i="78"/>
  <c r="AB21" i="78"/>
  <c r="D86" i="78"/>
  <c r="D88" i="78"/>
  <c r="H25" i="78"/>
  <c r="B89" i="78"/>
  <c r="D90" i="78"/>
  <c r="H27" i="78"/>
  <c r="AB27" i="78"/>
  <c r="B91" i="78"/>
  <c r="H28" i="78"/>
  <c r="AB28" i="78"/>
  <c r="B93" i="78"/>
  <c r="H29" i="78"/>
  <c r="AB29" i="78"/>
  <c r="B95" i="78"/>
  <c r="H30" i="78"/>
  <c r="AB30" i="78"/>
  <c r="B97" i="78"/>
  <c r="H31" i="78"/>
  <c r="AB31" i="78"/>
  <c r="B99" i="78"/>
  <c r="H32" i="78"/>
  <c r="AB32" i="78"/>
  <c r="H33" i="78"/>
  <c r="AB33" i="78"/>
  <c r="H34" i="78"/>
  <c r="AB34" i="78"/>
  <c r="H35" i="78"/>
  <c r="AB35" i="78"/>
  <c r="H36" i="78"/>
  <c r="AB36" i="78"/>
  <c r="H38" i="78"/>
  <c r="AB38" i="78"/>
  <c r="H39" i="78"/>
  <c r="AB39" i="78"/>
  <c r="D118" i="78"/>
  <c r="H40" i="78"/>
  <c r="AB40" i="78"/>
  <c r="H41" i="78"/>
  <c r="AB41" i="78"/>
  <c r="D126" i="78"/>
  <c r="F44" i="78"/>
  <c r="B127" i="78"/>
  <c r="H45" i="78"/>
  <c r="AB45" i="78"/>
  <c r="B129" i="78"/>
  <c r="H46" i="78"/>
  <c r="AB46" i="78"/>
  <c r="B131" i="78"/>
  <c r="H47" i="78"/>
  <c r="AB47" i="78"/>
  <c r="R48" i="78"/>
  <c r="F8" i="78"/>
  <c r="AA8" i="78"/>
  <c r="F9" i="78"/>
  <c r="AA9" i="78"/>
  <c r="F10" i="78"/>
  <c r="AA10" i="78"/>
  <c r="F11" i="78"/>
  <c r="AA11" i="78"/>
  <c r="F12" i="78"/>
  <c r="AA12" i="78"/>
  <c r="F13" i="78"/>
  <c r="AA13" i="78"/>
  <c r="F14" i="78"/>
  <c r="AA14" i="78"/>
  <c r="F17" i="78"/>
  <c r="AA17" i="78"/>
  <c r="F21" i="78"/>
  <c r="AA21" i="78"/>
  <c r="F25" i="78"/>
  <c r="AA25" i="78"/>
  <c r="F27" i="78"/>
  <c r="AA27" i="78"/>
  <c r="F28" i="78"/>
  <c r="AA28" i="78"/>
  <c r="F29" i="78"/>
  <c r="AA29" i="78"/>
  <c r="F30" i="78"/>
  <c r="AA30" i="78"/>
  <c r="F31" i="78"/>
  <c r="AA31" i="78"/>
  <c r="F32" i="78"/>
  <c r="AA32" i="78"/>
  <c r="F33" i="78"/>
  <c r="AA33" i="78"/>
  <c r="F34" i="78"/>
  <c r="AA34" i="78"/>
  <c r="F35" i="78"/>
  <c r="AA35" i="78"/>
  <c r="F36" i="78"/>
  <c r="AA36" i="78"/>
  <c r="E37" i="78"/>
  <c r="F38" i="78"/>
  <c r="AA38" i="78"/>
  <c r="F39" i="78"/>
  <c r="AA39" i="78"/>
  <c r="F40" i="78"/>
  <c r="AA40" i="78"/>
  <c r="F41" i="78"/>
  <c r="AA41" i="78"/>
  <c r="F42" i="78"/>
  <c r="AA42" i="78"/>
  <c r="F43" i="78"/>
  <c r="AA43" i="78"/>
  <c r="F45" i="78"/>
  <c r="AA45" i="78"/>
  <c r="F46" i="78"/>
  <c r="AA46" i="78"/>
  <c r="F47" i="78"/>
  <c r="AA47" i="78"/>
  <c r="V48" i="78"/>
  <c r="J8" i="78"/>
  <c r="AC8" i="78"/>
  <c r="J9" i="78"/>
  <c r="AC9" i="78"/>
  <c r="J10" i="78"/>
  <c r="AC10" i="78"/>
  <c r="J11" i="78"/>
  <c r="AC11" i="78"/>
  <c r="J12" i="78"/>
  <c r="AC12" i="78"/>
  <c r="J13" i="78"/>
  <c r="AC13" i="78"/>
  <c r="J14" i="78"/>
  <c r="AC14" i="78"/>
  <c r="J17" i="78"/>
  <c r="AC17" i="78"/>
  <c r="J21" i="78"/>
  <c r="AC21" i="78"/>
  <c r="J25" i="78"/>
  <c r="AC25" i="78"/>
  <c r="J27" i="78"/>
  <c r="AC27" i="78"/>
  <c r="J28" i="78"/>
  <c r="AC28" i="78"/>
  <c r="J29" i="78"/>
  <c r="AC29" i="78"/>
  <c r="J30" i="78"/>
  <c r="AC30" i="78"/>
  <c r="J31" i="78"/>
  <c r="AC31" i="78"/>
  <c r="J32" i="78"/>
  <c r="AC32" i="78"/>
  <c r="J33" i="78"/>
  <c r="AC33" i="78"/>
  <c r="J34" i="78"/>
  <c r="AC34" i="78"/>
  <c r="J35" i="78"/>
  <c r="AC35" i="78"/>
  <c r="J36" i="78"/>
  <c r="AC36" i="78"/>
  <c r="J38" i="78"/>
  <c r="AC38" i="78"/>
  <c r="J39" i="78"/>
  <c r="AC39" i="78"/>
  <c r="J40" i="78"/>
  <c r="AC40" i="78"/>
  <c r="J41" i="78"/>
  <c r="AC41" i="78"/>
  <c r="G122" i="78"/>
  <c r="J42" i="78"/>
  <c r="AC42" i="78"/>
  <c r="J43" i="78"/>
  <c r="AC43" i="78"/>
  <c r="J45" i="78"/>
  <c r="AC45" i="78"/>
  <c r="J46" i="78"/>
  <c r="AC46" i="78"/>
  <c r="J47" i="78"/>
  <c r="AC47" i="78"/>
  <c r="A6" i="1"/>
  <c r="G1" i="15"/>
  <c r="F19" i="6"/>
  <c r="E19" i="6" s="1"/>
  <c r="C1" i="73"/>
  <c r="L1" i="73" s="1"/>
  <c r="B43" i="1"/>
  <c r="B41" i="1"/>
  <c r="F32" i="15"/>
  <c r="F33" i="15"/>
  <c r="BB13" i="3"/>
  <c r="BC13" i="3"/>
  <c r="BD13" i="3"/>
  <c r="BE13" i="3"/>
  <c r="BF13" i="3"/>
  <c r="BG13" i="3"/>
  <c r="BH13" i="3"/>
  <c r="BI13" i="3"/>
  <c r="BJ13" i="3"/>
  <c r="BK13" i="3"/>
  <c r="BA13" i="3"/>
  <c r="BM13" i="3"/>
  <c r="BN13" i="3"/>
  <c r="BO13" i="3"/>
  <c r="BP13" i="3"/>
  <c r="BQ13" i="3"/>
  <c r="BR13" i="3"/>
  <c r="BS13" i="3"/>
  <c r="BT13" i="3"/>
  <c r="BB14" i="3"/>
  <c r="BC14" i="3"/>
  <c r="BA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L15" i="3" s="1"/>
  <c r="AZ15" i="3" s="1"/>
  <c r="BO15" i="3"/>
  <c r="BP15" i="3"/>
  <c r="BQ15" i="3"/>
  <c r="BR15" i="3"/>
  <c r="BS15" i="3"/>
  <c r="BT15" i="3"/>
  <c r="BB16" i="3"/>
  <c r="BC16" i="3"/>
  <c r="BA16" i="3" s="1"/>
  <c r="AZ16" i="3" s="1"/>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BQ5" i="3"/>
  <c r="BS5" i="3"/>
  <c r="F28" i="6"/>
  <c r="BR5" i="3"/>
  <c r="BT5" i="3"/>
  <c r="G28" i="6" s="1"/>
  <c r="E20" i="6"/>
  <c r="E21" i="6"/>
  <c r="E22" i="6"/>
  <c r="E23" i="6"/>
  <c r="E24" i="6"/>
  <c r="E25" i="6"/>
  <c r="E26" i="6"/>
  <c r="L19" i="6"/>
  <c r="B52" i="1"/>
  <c r="F34" i="15"/>
  <c r="F15" i="15"/>
  <c r="B35" i="1"/>
  <c r="F17" i="15"/>
  <c r="F18" i="15"/>
  <c r="F20" i="15"/>
  <c r="J1" i="73"/>
  <c r="B22" i="1"/>
  <c r="E1" i="73"/>
  <c r="K1" i="73"/>
  <c r="F23" i="15"/>
  <c r="F21" i="15"/>
  <c r="F28" i="15"/>
  <c r="Y6" i="1"/>
  <c r="F15" i="4"/>
  <c r="F6" i="1"/>
  <c r="M47" i="15"/>
  <c r="J49" i="15"/>
  <c r="J50" i="15"/>
  <c r="M18" i="15"/>
  <c r="M19" i="15"/>
  <c r="M20" i="15"/>
  <c r="AG6" i="1"/>
  <c r="C17" i="9"/>
  <c r="D17" i="9"/>
  <c r="C18" i="9"/>
  <c r="D18" i="9"/>
  <c r="B24" i="31"/>
  <c r="B25" i="31"/>
  <c r="C25" i="31" s="1"/>
  <c r="D6" i="31"/>
  <c r="E6" i="31"/>
  <c r="F6" i="31"/>
  <c r="G6" i="31"/>
  <c r="H6" i="31"/>
  <c r="I6" i="31"/>
  <c r="J6" i="31"/>
  <c r="K6" i="31"/>
  <c r="L6" i="31"/>
  <c r="M6" i="31"/>
  <c r="N6" i="31"/>
  <c r="O6" i="31"/>
  <c r="P6" i="31"/>
  <c r="Q6" i="31"/>
  <c r="R6" i="31"/>
  <c r="S6" i="31"/>
  <c r="T7" i="31"/>
  <c r="D8" i="31"/>
  <c r="G28" i="31"/>
  <c r="G25" i="31"/>
  <c r="I25" i="31"/>
  <c r="K25" i="31"/>
  <c r="M25" i="31"/>
  <c r="O25" i="31"/>
  <c r="Q25" i="31"/>
  <c r="B26" i="31"/>
  <c r="C26" i="31"/>
  <c r="G26" i="31"/>
  <c r="I26" i="31"/>
  <c r="K26" i="31"/>
  <c r="M26" i="31"/>
  <c r="O26" i="31"/>
  <c r="Q26" i="31"/>
  <c r="B27" i="31"/>
  <c r="C27" i="31"/>
  <c r="G27" i="31"/>
  <c r="I27" i="31"/>
  <c r="K27" i="31"/>
  <c r="M27" i="31"/>
  <c r="O27" i="31"/>
  <c r="Q27" i="31"/>
  <c r="B28" i="31"/>
  <c r="C28" i="31"/>
  <c r="I28" i="31"/>
  <c r="K28" i="31"/>
  <c r="M28" i="31"/>
  <c r="O28" i="31"/>
  <c r="Q28" i="31"/>
  <c r="B29" i="31"/>
  <c r="C29" i="31" s="1"/>
  <c r="G29" i="31"/>
  <c r="I29" i="31"/>
  <c r="K29" i="31"/>
  <c r="M29" i="31"/>
  <c r="O29" i="31"/>
  <c r="Q29" i="31"/>
  <c r="B30" i="31"/>
  <c r="C30" i="31" s="1"/>
  <c r="G30" i="31"/>
  <c r="I30" i="31"/>
  <c r="K30" i="31"/>
  <c r="M30" i="31"/>
  <c r="O30" i="31"/>
  <c r="Q30" i="31"/>
  <c r="B31" i="31"/>
  <c r="C31" i="31" s="1"/>
  <c r="G31" i="31"/>
  <c r="I31" i="31"/>
  <c r="K31" i="31"/>
  <c r="M31" i="31"/>
  <c r="O31" i="31"/>
  <c r="Q31" i="31"/>
  <c r="B32" i="31"/>
  <c r="C32" i="31" s="1"/>
  <c r="G32" i="31"/>
  <c r="I32" i="31"/>
  <c r="K32" i="31"/>
  <c r="M32" i="31"/>
  <c r="O32" i="31"/>
  <c r="Q32" i="31"/>
  <c r="B33" i="31"/>
  <c r="C33" i="31" s="1"/>
  <c r="G33" i="31"/>
  <c r="I33" i="31"/>
  <c r="K33" i="31"/>
  <c r="M33" i="31"/>
  <c r="O33" i="31"/>
  <c r="Q33" i="31"/>
  <c r="B34" i="31"/>
  <c r="C34" i="31" s="1"/>
  <c r="G34" i="31"/>
  <c r="I34" i="31"/>
  <c r="K34" i="31"/>
  <c r="M34" i="31"/>
  <c r="O34" i="31"/>
  <c r="Q34" i="31"/>
  <c r="B35" i="31"/>
  <c r="C35" i="31" s="1"/>
  <c r="G35" i="31"/>
  <c r="I35" i="31"/>
  <c r="K35" i="31"/>
  <c r="M35" i="31"/>
  <c r="O35" i="31"/>
  <c r="Q35" i="31"/>
  <c r="B36" i="31"/>
  <c r="C36" i="31" s="1"/>
  <c r="G36" i="31"/>
  <c r="I36" i="31"/>
  <c r="K36" i="31"/>
  <c r="M36" i="31"/>
  <c r="O36" i="31"/>
  <c r="Q36" i="31"/>
  <c r="B37" i="31"/>
  <c r="C37" i="31" s="1"/>
  <c r="G37" i="31"/>
  <c r="I37" i="31"/>
  <c r="K37" i="31"/>
  <c r="M37" i="31"/>
  <c r="O37" i="31"/>
  <c r="Q37" i="31"/>
  <c r="B38" i="31"/>
  <c r="C38" i="31" s="1"/>
  <c r="G38" i="31"/>
  <c r="I38" i="31"/>
  <c r="K38" i="31"/>
  <c r="M38" i="31"/>
  <c r="O38" i="31"/>
  <c r="Q38" i="31"/>
  <c r="B39" i="31"/>
  <c r="C39" i="31" s="1"/>
  <c r="G39" i="31"/>
  <c r="I39" i="31"/>
  <c r="K39" i="31"/>
  <c r="M39" i="31"/>
  <c r="O39" i="31"/>
  <c r="Q39" i="31"/>
  <c r="B40" i="31"/>
  <c r="C40" i="31" s="1"/>
  <c r="G40" i="31"/>
  <c r="I40" i="31"/>
  <c r="K40" i="31"/>
  <c r="M40" i="31"/>
  <c r="O40" i="31"/>
  <c r="Q40" i="31"/>
  <c r="B41" i="31"/>
  <c r="C41" i="31" s="1"/>
  <c r="G41" i="31"/>
  <c r="I41" i="31"/>
  <c r="K41" i="31"/>
  <c r="M41" i="31"/>
  <c r="O41" i="31"/>
  <c r="Q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2" i="31"/>
  <c r="B14" i="74"/>
  <c r="C122" i="78"/>
  <c r="A25" i="31"/>
  <c r="A26" i="31"/>
  <c r="A27" i="31"/>
  <c r="A28" i="31"/>
  <c r="A29" i="31"/>
  <c r="A30" i="31"/>
  <c r="A31" i="31"/>
  <c r="A32" i="31"/>
  <c r="A33" i="31"/>
  <c r="A34" i="31"/>
  <c r="A35" i="31"/>
  <c r="A36" i="31"/>
  <c r="A37" i="31"/>
  <c r="A38" i="31"/>
  <c r="A39" i="31"/>
  <c r="A40" i="31"/>
  <c r="A41" i="31"/>
  <c r="A24" i="31"/>
  <c r="K41" i="34"/>
  <c r="K39" i="34"/>
  <c r="K38" i="34"/>
  <c r="K36" i="34"/>
  <c r="K35" i="34"/>
  <c r="K33" i="34"/>
  <c r="K21" i="34"/>
  <c r="J52" i="15"/>
  <c r="G5" i="77"/>
  <c r="C11" i="15"/>
  <c r="E126" i="78"/>
  <c r="F126" i="78"/>
  <c r="G126" i="78"/>
  <c r="E124" i="78"/>
  <c r="F124" i="78"/>
  <c r="G124" i="78"/>
  <c r="H124" i="78"/>
  <c r="I124" i="78"/>
  <c r="J124" i="78"/>
  <c r="K124" i="78"/>
  <c r="L124" i="78"/>
  <c r="M124" i="78"/>
  <c r="D120" i="78"/>
  <c r="E120" i="78"/>
  <c r="F120" i="78"/>
  <c r="G120" i="78"/>
  <c r="H120" i="78"/>
  <c r="I120" i="78"/>
  <c r="J120" i="78"/>
  <c r="K120" i="78"/>
  <c r="L120" i="78"/>
  <c r="M120"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D92" i="78"/>
  <c r="E92" i="78"/>
  <c r="F92" i="78"/>
  <c r="G92" i="78"/>
  <c r="H92" i="78"/>
  <c r="I92" i="78"/>
  <c r="J92" i="78"/>
  <c r="K92" i="78"/>
  <c r="L92" i="78"/>
  <c r="M92" i="78"/>
  <c r="E90" i="78"/>
  <c r="F90" i="78"/>
  <c r="G90" i="78"/>
  <c r="H90" i="78"/>
  <c r="I90" i="78"/>
  <c r="J90" i="78"/>
  <c r="K90" i="78"/>
  <c r="L90" i="78"/>
  <c r="M90" i="78"/>
  <c r="E88" i="78"/>
  <c r="F88" i="78"/>
  <c r="G88" i="78"/>
  <c r="H88" i="78"/>
  <c r="I88" i="78"/>
  <c r="J88" i="78"/>
  <c r="K88" i="78"/>
  <c r="L88" i="78"/>
  <c r="M88" i="78"/>
  <c r="E86" i="78"/>
  <c r="H23" i="78"/>
  <c r="D84" i="78"/>
  <c r="E84" i="78"/>
  <c r="F84" i="78"/>
  <c r="G84" i="78"/>
  <c r="E82" i="78"/>
  <c r="F82" i="78"/>
  <c r="G82" i="78"/>
  <c r="E80" i="78"/>
  <c r="F80" i="78"/>
  <c r="G80" i="78"/>
  <c r="E78" i="78"/>
  <c r="J15" i="78"/>
  <c r="D70" i="78"/>
  <c r="E70" i="78"/>
  <c r="F70" i="78"/>
  <c r="G70" i="78"/>
  <c r="H70" i="78"/>
  <c r="I70" i="78"/>
  <c r="J70" i="78"/>
  <c r="K70" i="78"/>
  <c r="L70" i="78"/>
  <c r="M70" i="78"/>
  <c r="M68" i="78"/>
  <c r="L68" i="78"/>
  <c r="K68" i="78"/>
  <c r="J68" i="78"/>
  <c r="I68" i="78"/>
  <c r="H68" i="78"/>
  <c r="G68" i="78"/>
  <c r="F68" i="78"/>
  <c r="E68" i="78"/>
  <c r="D68" i="78"/>
  <c r="C68" i="78"/>
  <c r="G67" i="78"/>
  <c r="H67" i="78"/>
  <c r="I67" i="78"/>
  <c r="I55" i="78"/>
  <c r="J55" i="78"/>
  <c r="G55" i="78"/>
  <c r="H55" i="78"/>
  <c r="E55" i="78"/>
  <c r="F55" i="78"/>
  <c r="P50" i="78"/>
  <c r="P49" i="78"/>
  <c r="P48" i="78"/>
  <c r="Q47" i="78"/>
  <c r="Z47" i="78"/>
  <c r="W47" i="78"/>
  <c r="U47" i="78"/>
  <c r="S47" i="78"/>
  <c r="Q46" i="78"/>
  <c r="Z46" i="78"/>
  <c r="W46" i="78"/>
  <c r="U46" i="78"/>
  <c r="S46" i="78"/>
  <c r="Q45" i="78"/>
  <c r="Z45" i="78"/>
  <c r="W45" i="78"/>
  <c r="U45" i="78"/>
  <c r="S45" i="78"/>
  <c r="Q44" i="78"/>
  <c r="Z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S25" i="78"/>
  <c r="Q23" i="78"/>
  <c r="Z23" i="78"/>
  <c r="C23" i="78"/>
  <c r="Q21" i="78"/>
  <c r="Z21" i="78"/>
  <c r="W21" i="78"/>
  <c r="U21" i="78"/>
  <c r="S21" i="78"/>
  <c r="C21" i="78"/>
  <c r="Q19" i="78"/>
  <c r="Z19" i="78"/>
  <c r="C19" i="78"/>
  <c r="Q17" i="78"/>
  <c r="Z17" i="78"/>
  <c r="W17" i="78"/>
  <c r="U17" i="78"/>
  <c r="S17" i="78"/>
  <c r="C17" i="78"/>
  <c r="Q15" i="78"/>
  <c r="Z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A7" i="1"/>
  <c r="K7" i="1"/>
  <c r="A8" i="1"/>
  <c r="K8" i="1"/>
  <c r="A9" i="1"/>
  <c r="K9" i="1"/>
  <c r="A10" i="1"/>
  <c r="K10" i="1"/>
  <c r="M10" i="1" s="1"/>
  <c r="A11" i="1"/>
  <c r="K11" i="1"/>
  <c r="A12" i="1"/>
  <c r="K12" i="1"/>
  <c r="A13" i="1"/>
  <c r="K13" i="1"/>
  <c r="M13" i="1" s="1"/>
  <c r="BM5" i="3"/>
  <c r="BO5" i="3"/>
  <c r="F29" i="6" s="1"/>
  <c r="F30" i="6" s="1"/>
  <c r="BN5" i="3"/>
  <c r="BP5" i="3"/>
  <c r="C122" i="34"/>
  <c r="J2" i="77"/>
  <c r="K2" i="77"/>
  <c r="J3" i="77"/>
  <c r="K3" i="77"/>
  <c r="J4" i="77"/>
  <c r="K4" i="77"/>
  <c r="K5" i="77"/>
  <c r="D5" i="77"/>
  <c r="J5" i="77"/>
  <c r="C11" i="4"/>
  <c r="B7" i="4"/>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AD13" i="71"/>
  <c r="AG13" i="71"/>
  <c r="AH13" i="71"/>
  <c r="AE13" i="71"/>
  <c r="AF13" i="71"/>
  <c r="X11" i="71"/>
  <c r="AB12" i="71"/>
  <c r="AA12" i="71"/>
  <c r="Y11" i="71"/>
  <c r="Z11" i="71"/>
  <c r="Y12" i="71"/>
  <c r="Z12" i="71"/>
  <c r="V13" i="71"/>
  <c r="AB13" i="71"/>
  <c r="Y13" i="71"/>
  <c r="Z13" i="71"/>
  <c r="X13" i="71"/>
  <c r="AA13"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s="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8" i="68"/>
  <c r="E37" i="68"/>
  <c r="F36" i="68"/>
  <c r="F35" i="68"/>
  <c r="F21" i="68"/>
  <c r="C21" i="68"/>
  <c r="F20" i="68"/>
  <c r="E10" i="68"/>
  <c r="E9"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C5" i="11" s="1"/>
  <c r="B2" i="49"/>
  <c r="B7" i="49" s="1"/>
  <c r="B40" i="48"/>
  <c r="B3" i="72"/>
  <c r="I2" i="43"/>
  <c r="N1" i="43"/>
  <c r="F35" i="4"/>
  <c r="J55" i="39"/>
  <c r="H34" i="43"/>
  <c r="H35" i="43"/>
  <c r="H36" i="43"/>
  <c r="H37" i="43"/>
  <c r="H38" i="43"/>
  <c r="H39" i="43"/>
  <c r="H33" i="43"/>
  <c r="J20" i="43"/>
  <c r="C18" i="43"/>
  <c r="F15" i="43"/>
  <c r="E15" i="43"/>
  <c r="D15" i="43"/>
  <c r="C15" i="43"/>
  <c r="C10" i="43"/>
  <c r="C11" i="43"/>
  <c r="C9" i="43"/>
  <c r="A7" i="43"/>
  <c r="F61" i="15"/>
  <c r="O10" i="1"/>
  <c r="B23" i="1"/>
  <c r="B24" i="1"/>
  <c r="D78" i="9"/>
  <c r="M8" i="1"/>
  <c r="D24" i="15"/>
  <c r="O8" i="1"/>
  <c r="P8" i="1"/>
  <c r="O13" i="1"/>
  <c r="P13" i="1"/>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4" i="31"/>
  <c r="E342" i="31"/>
  <c r="E350" i="31"/>
  <c r="E358" i="31"/>
  <c r="E366" i="31"/>
  <c r="E374" i="31"/>
  <c r="E382" i="31"/>
  <c r="E390" i="31"/>
  <c r="E398" i="31"/>
  <c r="E406" i="31"/>
  <c r="E414" i="31"/>
  <c r="E422" i="31"/>
  <c r="E430" i="31"/>
  <c r="E438" i="31"/>
  <c r="E446" i="31"/>
  <c r="E454" i="31"/>
  <c r="E462" i="31"/>
  <c r="E470" i="31"/>
  <c r="E472" i="31"/>
  <c r="E478" i="31"/>
  <c r="E480" i="31"/>
  <c r="E486" i="31"/>
  <c r="E488" i="31"/>
  <c r="E494" i="31"/>
  <c r="E496" i="31"/>
  <c r="E502" i="31"/>
  <c r="E504" i="31"/>
  <c r="E510" i="31"/>
  <c r="E512" i="31"/>
  <c r="E518" i="31"/>
  <c r="E520"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38" i="34"/>
  <c r="D114"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C15" i="34"/>
  <c r="G67" i="34"/>
  <c r="E126" i="34"/>
  <c r="F126" i="34"/>
  <c r="G126"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2" i="34"/>
  <c r="F82" i="34"/>
  <c r="G82"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s="1"/>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M9" i="1"/>
  <c r="O9" i="1"/>
  <c r="P9" i="1"/>
  <c r="AE9" i="1"/>
  <c r="D93" i="9"/>
  <c r="AC26" i="33"/>
  <c r="W26" i="33"/>
  <c r="AB34" i="36"/>
  <c r="U34" i="36"/>
  <c r="AB33" i="36"/>
  <c r="U33" i="36"/>
  <c r="AC12" i="39"/>
  <c r="W12" i="39"/>
  <c r="AC39" i="40"/>
  <c r="W39" i="40"/>
  <c r="W12" i="33"/>
  <c r="AC12" i="33"/>
  <c r="AA32" i="36"/>
  <c r="S32" i="36"/>
  <c r="U30" i="33"/>
  <c r="W28" i="37"/>
  <c r="S19" i="39"/>
  <c r="F12" i="33"/>
  <c r="H12" i="39"/>
  <c r="AB12" i="39"/>
  <c r="F39" i="40"/>
  <c r="S12" i="1"/>
  <c r="AR12" i="1" s="1"/>
  <c r="R12" i="1"/>
  <c r="B12" i="1"/>
  <c r="E12" i="1"/>
  <c r="S10" i="1"/>
  <c r="AQ10" i="1" s="1"/>
  <c r="R10" i="1"/>
  <c r="B10" i="1"/>
  <c r="E10" i="1"/>
  <c r="D1" i="66"/>
  <c r="E10" i="66"/>
  <c r="M12" i="1"/>
  <c r="O12" i="1"/>
  <c r="P12" i="1"/>
  <c r="S13" i="1"/>
  <c r="AR13" i="1" s="1"/>
  <c r="R13" i="1"/>
  <c r="S11" i="1"/>
  <c r="AQ11" i="1" s="1"/>
  <c r="R11" i="1"/>
  <c r="S9" i="1"/>
  <c r="AR9" i="1" s="1"/>
  <c r="R9" i="1"/>
  <c r="F31" i="12"/>
  <c r="C4" i="12"/>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U44" i="34"/>
  <c r="W41" i="34"/>
  <c r="U39" i="34"/>
  <c r="W34" i="34"/>
  <c r="U28"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J56" i="9"/>
  <c r="J57" i="9"/>
  <c r="A24" i="51"/>
  <c r="B18" i="72"/>
  <c r="U29" i="34"/>
  <c r="E5" i="6"/>
  <c r="D9" i="11" s="1"/>
  <c r="C9" i="11" s="1"/>
  <c r="P10" i="1"/>
  <c r="E32" i="6"/>
  <c r="G1" i="68"/>
  <c r="K1" i="12"/>
  <c r="AR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T35" i="4"/>
  <c r="A19" i="51"/>
  <c r="B14" i="72"/>
  <c r="A4" i="51"/>
  <c r="B6" i="72"/>
  <c r="H66" i="43"/>
  <c r="H65" i="43"/>
  <c r="H64" i="43"/>
  <c r="H63" i="43"/>
  <c r="H55" i="43"/>
  <c r="H56" i="43"/>
  <c r="H72" i="43"/>
  <c r="L20" i="6"/>
  <c r="B6" i="1"/>
  <c r="E6" i="1"/>
  <c r="S8" i="1"/>
  <c r="AR8" i="1" s="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W33" i="34"/>
  <c r="W29" i="34"/>
  <c r="W46" i="34"/>
  <c r="S32" i="34"/>
  <c r="U30" i="34"/>
  <c r="U38" i="34"/>
  <c r="W40" i="34"/>
  <c r="S19" i="34"/>
  <c r="S36" i="34"/>
  <c r="S8" i="34"/>
  <c r="U9" i="34"/>
  <c r="S46" i="34"/>
  <c r="U32" i="34"/>
  <c r="U14"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AQ13" i="1"/>
  <c r="O6" i="1"/>
  <c r="P6" i="1"/>
  <c r="F30" i="68"/>
  <c r="F30" i="11"/>
  <c r="C48" i="11"/>
  <c r="F28" i="67"/>
  <c r="F52" i="9"/>
  <c r="M18" i="67"/>
  <c r="F32" i="67"/>
  <c r="F60" i="67"/>
  <c r="F30" i="69"/>
  <c r="F60" i="15"/>
  <c r="D9" i="69"/>
  <c r="C9" i="69" s="1"/>
  <c r="AR11"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S7" i="1"/>
  <c r="T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AC6" i="3" s="1"/>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L27" i="6"/>
  <c r="AP7" i="1"/>
  <c r="M7" i="1"/>
  <c r="O7" i="1"/>
  <c r="AB45" i="21"/>
  <c r="AC33" i="21"/>
  <c r="W33" i="21"/>
  <c r="S33" i="21"/>
  <c r="AA33" i="21"/>
  <c r="W32" i="21"/>
  <c r="AC32" i="21"/>
  <c r="AB9" i="21"/>
  <c r="U9" i="21"/>
  <c r="AA32" i="21"/>
  <c r="S32" i="21"/>
  <c r="W9" i="21"/>
  <c r="AC9" i="21"/>
  <c r="AB32" i="21"/>
  <c r="U32" i="21"/>
  <c r="AA10" i="21"/>
  <c r="S10" i="21"/>
  <c r="C30" i="11"/>
  <c r="A18" i="62"/>
  <c r="B64" i="72"/>
  <c r="B1" i="74"/>
  <c r="D3" i="34"/>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P7" i="1"/>
  <c r="AC11" i="37"/>
  <c r="W11" i="37"/>
  <c r="W11" i="34"/>
  <c r="R7" i="1"/>
  <c r="F34" i="11"/>
  <c r="F11" i="12"/>
  <c r="C23" i="12" s="1"/>
  <c r="F34" i="68"/>
  <c r="R8" i="1"/>
  <c r="AE7" i="1"/>
  <c r="AE8" i="1"/>
  <c r="H109" i="9"/>
  <c r="H110" i="9"/>
  <c r="D18" i="53" s="1"/>
  <c r="B35" i="72" s="1"/>
  <c r="D124" i="9"/>
  <c r="D16" i="53"/>
  <c r="B34" i="72"/>
  <c r="D10" i="52"/>
  <c r="H14" i="74"/>
  <c r="D17" i="53"/>
  <c r="B36" i="72"/>
  <c r="D125" i="9"/>
  <c r="D11" i="52"/>
  <c r="B7" i="74"/>
  <c r="C7" i="74"/>
  <c r="H112" i="9"/>
  <c r="D21" i="53"/>
  <c r="B39" i="72"/>
  <c r="H111" i="9"/>
  <c r="D126" i="9"/>
  <c r="D19" i="53"/>
  <c r="D59" i="9"/>
  <c r="M55" i="9"/>
  <c r="B38" i="72"/>
  <c r="D20" i="53"/>
  <c r="B40" i="72"/>
  <c r="I14" i="74"/>
  <c r="B8" i="74"/>
  <c r="D127" i="9"/>
  <c r="D13" i="52"/>
  <c r="D12" i="52"/>
  <c r="C8" i="74"/>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11" i="71"/>
  <c r="D12" i="71"/>
  <c r="D13" i="71"/>
  <c r="U13" i="71"/>
  <c r="S13" i="71"/>
  <c r="T13" i="71"/>
  <c r="AB11" i="71"/>
  <c r="X9" i="71"/>
  <c r="X8" i="71"/>
  <c r="AA9" i="71"/>
  <c r="AA8" i="71"/>
  <c r="X12" i="71"/>
  <c r="Z7" i="71"/>
  <c r="Y8" i="71"/>
  <c r="Z8" i="71"/>
  <c r="AB9" i="71"/>
  <c r="AB8" i="71"/>
  <c r="S9" i="71"/>
  <c r="C94" i="9"/>
  <c r="C92" i="9"/>
  <c r="Y9" i="71"/>
  <c r="Z9" i="71"/>
  <c r="AB3" i="71"/>
  <c r="X3" i="71"/>
  <c r="AF3" i="71"/>
  <c r="B13" i="49"/>
  <c r="G20" i="43"/>
  <c r="G17" i="43"/>
  <c r="C16" i="43"/>
  <c r="D5" i="43"/>
  <c r="C5" i="43"/>
  <c r="V9" i="71"/>
  <c r="D10" i="71"/>
  <c r="E41" i="43"/>
  <c r="C41" i="43"/>
  <c r="C20" i="43"/>
  <c r="D7" i="71"/>
  <c r="T9" i="71"/>
  <c r="D8" i="71"/>
  <c r="D9" i="71"/>
  <c r="U9" i="71"/>
  <c r="F31" i="67"/>
  <c r="F31" i="15"/>
  <c r="E13" i="49"/>
  <c r="F59" i="15"/>
  <c r="F59" i="67"/>
  <c r="M17" i="15"/>
  <c r="M17" i="67"/>
  <c r="Y6" i="71"/>
  <c r="Z6" i="71"/>
  <c r="Y5" i="71"/>
  <c r="Z5" i="71"/>
  <c r="X6" i="71"/>
  <c r="X5" i="71"/>
  <c r="AA5" i="71"/>
  <c r="AA6" i="71"/>
  <c r="AB5" i="71"/>
  <c r="AB6" i="71"/>
  <c r="AB7" i="71"/>
  <c r="E517" i="31"/>
  <c r="E509" i="31"/>
  <c r="E501" i="31"/>
  <c r="E493" i="31"/>
  <c r="E485" i="31"/>
  <c r="E477" i="31"/>
  <c r="E469" i="31"/>
  <c r="E461" i="31"/>
  <c r="E453" i="31"/>
  <c r="E445" i="31"/>
  <c r="E437" i="31"/>
  <c r="E429" i="31"/>
  <c r="E421" i="31"/>
  <c r="E413" i="31"/>
  <c r="E405" i="31"/>
  <c r="E397" i="31"/>
  <c r="E389" i="31"/>
  <c r="E381" i="31"/>
  <c r="E373" i="31"/>
  <c r="E365" i="31"/>
  <c r="E357" i="31"/>
  <c r="E349" i="31"/>
  <c r="E341" i="31"/>
  <c r="E333" i="31"/>
  <c r="E325" i="31"/>
  <c r="E317" i="31"/>
  <c r="E309" i="31"/>
  <c r="E301" i="31"/>
  <c r="E293" i="31"/>
  <c r="E285" i="31"/>
  <c r="E277" i="31"/>
  <c r="E269" i="31"/>
  <c r="E261" i="31"/>
  <c r="E253" i="31"/>
  <c r="E245" i="31"/>
  <c r="E237" i="31"/>
  <c r="E229" i="31"/>
  <c r="E221" i="31"/>
  <c r="E213" i="31"/>
  <c r="E205" i="31"/>
  <c r="E197" i="31"/>
  <c r="E189" i="31"/>
  <c r="E181" i="31"/>
  <c r="E173" i="31"/>
  <c r="E165" i="31"/>
  <c r="E157" i="31"/>
  <c r="E149" i="31"/>
  <c r="E141" i="31"/>
  <c r="E133" i="31"/>
  <c r="E125" i="31"/>
  <c r="E117" i="31"/>
  <c r="E109" i="31"/>
  <c r="E101" i="31"/>
  <c r="E93" i="31"/>
  <c r="E85" i="31"/>
  <c r="E77" i="31"/>
  <c r="E69" i="31"/>
  <c r="E61" i="31"/>
  <c r="E53" i="31"/>
  <c r="E45" i="31"/>
  <c r="E516" i="31"/>
  <c r="E508" i="31"/>
  <c r="E500" i="31"/>
  <c r="E484" i="31"/>
  <c r="E476" i="31"/>
  <c r="E468" i="31"/>
  <c r="E460" i="31"/>
  <c r="E452" i="31"/>
  <c r="E444" i="31"/>
  <c r="E436" i="31"/>
  <c r="E428" i="31"/>
  <c r="E420" i="31"/>
  <c r="E412" i="31"/>
  <c r="E404" i="31"/>
  <c r="E396" i="31"/>
  <c r="E388" i="31"/>
  <c r="E380" i="31"/>
  <c r="E372" i="31"/>
  <c r="E364" i="31"/>
  <c r="E356" i="31"/>
  <c r="E348" i="31"/>
  <c r="E340" i="31"/>
  <c r="E332" i="31"/>
  <c r="E324" i="31"/>
  <c r="E316" i="31"/>
  <c r="E308" i="31"/>
  <c r="E300" i="31"/>
  <c r="E292" i="31"/>
  <c r="E284" i="31"/>
  <c r="E276" i="31"/>
  <c r="E268" i="31"/>
  <c r="E260" i="31"/>
  <c r="E252" i="31"/>
  <c r="E244" i="31"/>
  <c r="E236" i="31"/>
  <c r="E228" i="31"/>
  <c r="E220" i="31"/>
  <c r="E212" i="31"/>
  <c r="E204" i="31"/>
  <c r="E196" i="31"/>
  <c r="E188" i="31"/>
  <c r="E180" i="31"/>
  <c r="E172" i="31"/>
  <c r="E164" i="31"/>
  <c r="E156" i="31"/>
  <c r="E148" i="31"/>
  <c r="E140" i="31"/>
  <c r="E132" i="31"/>
  <c r="E124" i="31"/>
  <c r="E116" i="31"/>
  <c r="E108" i="31"/>
  <c r="E100" i="31"/>
  <c r="E92" i="31"/>
  <c r="E84" i="31"/>
  <c r="E76" i="31"/>
  <c r="E68" i="31"/>
  <c r="E60" i="31"/>
  <c r="E52" i="31"/>
  <c r="E44" i="31"/>
  <c r="E524" i="31"/>
  <c r="E492" i="31"/>
  <c r="E523" i="31"/>
  <c r="E515" i="31"/>
  <c r="E507" i="31"/>
  <c r="E499" i="31"/>
  <c r="E491" i="31"/>
  <c r="E483" i="31"/>
  <c r="E475" i="31"/>
  <c r="E467" i="31"/>
  <c r="E459" i="31"/>
  <c r="E451" i="31"/>
  <c r="E443" i="31"/>
  <c r="E435" i="31"/>
  <c r="E427" i="31"/>
  <c r="E419" i="31"/>
  <c r="E411" i="31"/>
  <c r="E403" i="31"/>
  <c r="E395" i="31"/>
  <c r="E387" i="31"/>
  <c r="E379" i="31"/>
  <c r="E371" i="31"/>
  <c r="E363" i="31"/>
  <c r="E355" i="31"/>
  <c r="E347" i="31"/>
  <c r="E339" i="31"/>
  <c r="E331" i="31"/>
  <c r="E323" i="31"/>
  <c r="E315" i="31"/>
  <c r="E307" i="31"/>
  <c r="E299" i="31"/>
  <c r="E291" i="31"/>
  <c r="E283" i="31"/>
  <c r="E275" i="31"/>
  <c r="E267" i="31"/>
  <c r="E259" i="31"/>
  <c r="E251" i="31"/>
  <c r="E243" i="31"/>
  <c r="E235" i="31"/>
  <c r="E227" i="31"/>
  <c r="E219" i="31"/>
  <c r="E211" i="31"/>
  <c r="E203" i="31"/>
  <c r="E195" i="31"/>
  <c r="E187" i="31"/>
  <c r="E179" i="31"/>
  <c r="E171" i="31"/>
  <c r="E163" i="31"/>
  <c r="E155" i="31"/>
  <c r="E147" i="31"/>
  <c r="E139" i="31"/>
  <c r="E131" i="31"/>
  <c r="E123" i="31"/>
  <c r="E115" i="31"/>
  <c r="E107" i="31"/>
  <c r="E99" i="31"/>
  <c r="E91" i="31"/>
  <c r="E83" i="31"/>
  <c r="E75" i="31"/>
  <c r="E67" i="31"/>
  <c r="E59" i="31"/>
  <c r="E51" i="31"/>
  <c r="E43" i="31"/>
  <c r="E522" i="31"/>
  <c r="E514" i="31"/>
  <c r="E506" i="31"/>
  <c r="E498" i="31"/>
  <c r="E490" i="31"/>
  <c r="E482" i="31"/>
  <c r="E474" i="31"/>
  <c r="E466" i="31"/>
  <c r="E458" i="31"/>
  <c r="E450" i="31"/>
  <c r="E442" i="31"/>
  <c r="E434" i="31"/>
  <c r="E426" i="31"/>
  <c r="E418" i="31"/>
  <c r="E410" i="31"/>
  <c r="E402" i="31"/>
  <c r="E394" i="31"/>
  <c r="E386" i="31"/>
  <c r="E378" i="31"/>
  <c r="E370" i="31"/>
  <c r="E362" i="31"/>
  <c r="E354" i="31"/>
  <c r="E346" i="31"/>
  <c r="E338" i="31"/>
  <c r="E330" i="31"/>
  <c r="E322" i="31"/>
  <c r="E314" i="31"/>
  <c r="E306" i="31"/>
  <c r="E298" i="31"/>
  <c r="E290" i="31"/>
  <c r="E282" i="31"/>
  <c r="E274" i="31"/>
  <c r="E266" i="31"/>
  <c r="E258" i="31"/>
  <c r="E250" i="31"/>
  <c r="E242" i="31"/>
  <c r="E234" i="31"/>
  <c r="E226" i="31"/>
  <c r="E218" i="31"/>
  <c r="E210" i="31"/>
  <c r="E202" i="31"/>
  <c r="E194" i="31"/>
  <c r="E186" i="31"/>
  <c r="E178" i="31"/>
  <c r="E170" i="31"/>
  <c r="E162" i="31"/>
  <c r="E154" i="31"/>
  <c r="E146" i="31"/>
  <c r="E138" i="31"/>
  <c r="E130" i="31"/>
  <c r="E122" i="31"/>
  <c r="E114" i="31"/>
  <c r="E106" i="31"/>
  <c r="E98" i="31"/>
  <c r="E90" i="31"/>
  <c r="E82" i="31"/>
  <c r="E74" i="31"/>
  <c r="E66" i="31"/>
  <c r="E58" i="31"/>
  <c r="E50" i="31"/>
  <c r="E42" i="31"/>
  <c r="E521" i="31"/>
  <c r="E513" i="31"/>
  <c r="E505" i="31"/>
  <c r="E497" i="31"/>
  <c r="E489" i="31"/>
  <c r="E481" i="31"/>
  <c r="E473" i="31"/>
  <c r="E465" i="31"/>
  <c r="E457" i="31"/>
  <c r="E449" i="31"/>
  <c r="E441" i="31"/>
  <c r="E433" i="31"/>
  <c r="E425" i="31"/>
  <c r="E417" i="31"/>
  <c r="E409" i="31"/>
  <c r="E401" i="31"/>
  <c r="E393" i="31"/>
  <c r="E385" i="31"/>
  <c r="E377" i="31"/>
  <c r="E369" i="31"/>
  <c r="E361" i="31"/>
  <c r="E353" i="31"/>
  <c r="E345" i="31"/>
  <c r="E337" i="31"/>
  <c r="E329" i="31"/>
  <c r="E321" i="31"/>
  <c r="E313" i="31"/>
  <c r="E305" i="31"/>
  <c r="E297" i="31"/>
  <c r="E289" i="31"/>
  <c r="E281" i="31"/>
  <c r="E273" i="31"/>
  <c r="E265" i="31"/>
  <c r="E257" i="31"/>
  <c r="E249" i="31"/>
  <c r="E241" i="31"/>
  <c r="E233" i="31"/>
  <c r="E225" i="31"/>
  <c r="E217" i="31"/>
  <c r="E209" i="31"/>
  <c r="E201" i="31"/>
  <c r="E193" i="31"/>
  <c r="E185" i="31"/>
  <c r="E177" i="31"/>
  <c r="E169" i="31"/>
  <c r="E161" i="31"/>
  <c r="E153" i="31"/>
  <c r="E145" i="31"/>
  <c r="E137" i="31"/>
  <c r="E129" i="31"/>
  <c r="E121" i="31"/>
  <c r="E113" i="31"/>
  <c r="E105" i="31"/>
  <c r="E97" i="31"/>
  <c r="E89" i="31"/>
  <c r="E81" i="31"/>
  <c r="E73" i="31"/>
  <c r="E65" i="31"/>
  <c r="E57" i="31"/>
  <c r="E49" i="31"/>
  <c r="E464" i="31"/>
  <c r="E456" i="31"/>
  <c r="E440" i="31"/>
  <c r="E432" i="31"/>
  <c r="E424" i="31"/>
  <c r="E416" i="31"/>
  <c r="E408" i="31"/>
  <c r="E400" i="31"/>
  <c r="E392" i="31"/>
  <c r="E384" i="31"/>
  <c r="E376" i="31"/>
  <c r="E368" i="31"/>
  <c r="E360" i="31"/>
  <c r="E352" i="31"/>
  <c r="E344" i="31"/>
  <c r="E336" i="31"/>
  <c r="E328" i="31"/>
  <c r="E320" i="31"/>
  <c r="E312" i="31"/>
  <c r="E304" i="31"/>
  <c r="E296" i="31"/>
  <c r="E288" i="31"/>
  <c r="E280" i="31"/>
  <c r="E272" i="31"/>
  <c r="E264" i="31"/>
  <c r="E256" i="31"/>
  <c r="E248" i="31"/>
  <c r="E240" i="31"/>
  <c r="E232" i="31"/>
  <c r="E224" i="31"/>
  <c r="E216" i="31"/>
  <c r="E208" i="31"/>
  <c r="E200" i="31"/>
  <c r="E192" i="31"/>
  <c r="E184" i="31"/>
  <c r="E176" i="31"/>
  <c r="E168" i="31"/>
  <c r="E160" i="31"/>
  <c r="E152" i="31"/>
  <c r="E144" i="31"/>
  <c r="E136" i="31"/>
  <c r="E128" i="31"/>
  <c r="E120" i="31"/>
  <c r="E112" i="31"/>
  <c r="E104" i="31"/>
  <c r="E96" i="31"/>
  <c r="E88" i="31"/>
  <c r="E80" i="31"/>
  <c r="E72" i="31"/>
  <c r="E64" i="31"/>
  <c r="E56" i="31"/>
  <c r="E48" i="31"/>
  <c r="E448" i="31"/>
  <c r="E519" i="31"/>
  <c r="E511" i="31"/>
  <c r="E503" i="31"/>
  <c r="E495" i="31"/>
  <c r="E487" i="31"/>
  <c r="E479" i="31"/>
  <c r="E471" i="31"/>
  <c r="E463" i="31"/>
  <c r="E455" i="31"/>
  <c r="E447" i="31"/>
  <c r="E439" i="31"/>
  <c r="E431" i="31"/>
  <c r="E423" i="31"/>
  <c r="E415" i="31"/>
  <c r="E407" i="31"/>
  <c r="E399" i="31"/>
  <c r="E391" i="31"/>
  <c r="E383" i="31"/>
  <c r="E375" i="31"/>
  <c r="E367" i="31"/>
  <c r="E359" i="31"/>
  <c r="E351" i="31"/>
  <c r="E343" i="31"/>
  <c r="E335" i="31"/>
  <c r="E327" i="31"/>
  <c r="E319" i="31"/>
  <c r="E311" i="31"/>
  <c r="E303" i="31"/>
  <c r="E295" i="31"/>
  <c r="E287" i="31"/>
  <c r="E279" i="31"/>
  <c r="E271" i="31"/>
  <c r="E263" i="31"/>
  <c r="E255" i="31"/>
  <c r="E247" i="31"/>
  <c r="E239" i="31"/>
  <c r="E231" i="31"/>
  <c r="E223" i="31"/>
  <c r="E215" i="31"/>
  <c r="E207" i="31"/>
  <c r="E199" i="31"/>
  <c r="E191" i="31"/>
  <c r="E183" i="31"/>
  <c r="E175" i="31"/>
  <c r="E167" i="31"/>
  <c r="E159" i="31"/>
  <c r="E151" i="31"/>
  <c r="E143" i="31"/>
  <c r="E135" i="31"/>
  <c r="E127" i="31"/>
  <c r="E119" i="31"/>
  <c r="E111" i="31"/>
  <c r="E103" i="31"/>
  <c r="E95" i="31"/>
  <c r="E87" i="31"/>
  <c r="E79" i="31"/>
  <c r="E71" i="31"/>
  <c r="E63" i="31"/>
  <c r="E55" i="31"/>
  <c r="E47" i="31"/>
  <c r="E90" i="34"/>
  <c r="F27" i="34"/>
  <c r="J27" i="34"/>
  <c r="F112" i="78"/>
  <c r="H37" i="78"/>
  <c r="H37" i="34"/>
  <c r="G112" i="34"/>
  <c r="J37" i="34"/>
  <c r="AC42" i="34"/>
  <c r="W42" i="34"/>
  <c r="B4" i="49"/>
  <c r="B9" i="49"/>
  <c r="C4" i="4" s="1"/>
  <c r="B4" i="62" s="1"/>
  <c r="B71" i="72" s="1"/>
  <c r="B6" i="49"/>
  <c r="E22" i="49"/>
  <c r="B22" i="49"/>
  <c r="B11" i="49"/>
  <c r="E4" i="4" s="1"/>
  <c r="B5" i="62" s="1"/>
  <c r="B73" i="72" s="1"/>
  <c r="E9" i="49"/>
  <c r="E7" i="49"/>
  <c r="E11" i="49"/>
  <c r="B14" i="49"/>
  <c r="B10" i="49"/>
  <c r="E4" i="49"/>
  <c r="B8" i="49"/>
  <c r="E8" i="49"/>
  <c r="E14" i="49"/>
  <c r="E21" i="49"/>
  <c r="E6" i="49"/>
  <c r="E10" i="49"/>
  <c r="AA44" i="78"/>
  <c r="S44" i="78"/>
  <c r="J44" i="78"/>
  <c r="H44" i="78"/>
  <c r="E124" i="34"/>
  <c r="F124" i="34"/>
  <c r="G124" i="34"/>
  <c r="H124" i="34"/>
  <c r="I124" i="34"/>
  <c r="J124" i="34"/>
  <c r="K124" i="34"/>
  <c r="L124" i="34"/>
  <c r="M124" i="34"/>
  <c r="F43" i="34"/>
  <c r="J43" i="34"/>
  <c r="H43" i="34"/>
  <c r="E31" i="31"/>
  <c r="E39" i="31"/>
  <c r="E32" i="31"/>
  <c r="E40" i="31"/>
  <c r="E26" i="31"/>
  <c r="E33" i="31"/>
  <c r="E41" i="31"/>
  <c r="E27" i="31"/>
  <c r="E34" i="31"/>
  <c r="E35" i="31"/>
  <c r="E28" i="31"/>
  <c r="E36" i="31"/>
  <c r="E29" i="31"/>
  <c r="E37" i="31"/>
  <c r="E25" i="31"/>
  <c r="E30" i="31"/>
  <c r="E38" i="31"/>
  <c r="AB25" i="78"/>
  <c r="U25" i="78"/>
  <c r="J25" i="34"/>
  <c r="F25" i="34"/>
  <c r="E88" i="34"/>
  <c r="F88" i="34"/>
  <c r="G88" i="34"/>
  <c r="H88" i="34"/>
  <c r="I88" i="34"/>
  <c r="J88" i="34"/>
  <c r="K88" i="34"/>
  <c r="L88" i="34"/>
  <c r="M88" i="34"/>
  <c r="H25" i="34"/>
  <c r="AB23" i="78"/>
  <c r="U23" i="78"/>
  <c r="F23" i="34"/>
  <c r="H23" i="34"/>
  <c r="E86" i="34"/>
  <c r="F86" i="34"/>
  <c r="G86" i="34"/>
  <c r="J23" i="34"/>
  <c r="F86" i="78"/>
  <c r="G86" i="78"/>
  <c r="J23" i="78"/>
  <c r="F23" i="78"/>
  <c r="J19" i="78"/>
  <c r="F19" i="78"/>
  <c r="H19" i="78"/>
  <c r="E80" i="34"/>
  <c r="F80" i="34"/>
  <c r="G80" i="34"/>
  <c r="H17" i="34"/>
  <c r="J17" i="34"/>
  <c r="F17" i="34"/>
  <c r="AC15" i="78"/>
  <c r="W15" i="78"/>
  <c r="AB15" i="78"/>
  <c r="U15" i="78"/>
  <c r="F15" i="78"/>
  <c r="F78" i="78"/>
  <c r="G78" i="78"/>
  <c r="C19" i="39"/>
  <c r="P74" i="67"/>
  <c r="AC27" i="34"/>
  <c r="W27" i="34"/>
  <c r="AA27" i="34"/>
  <c r="S27" i="34"/>
  <c r="H27" i="34"/>
  <c r="F90" i="34"/>
  <c r="G90" i="34"/>
  <c r="H90" i="34"/>
  <c r="I90" i="34"/>
  <c r="J90" i="34"/>
  <c r="K90" i="34"/>
  <c r="L90" i="34"/>
  <c r="M90" i="34"/>
  <c r="W37" i="34"/>
  <c r="AC37" i="34"/>
  <c r="F37" i="34"/>
  <c r="H112" i="34"/>
  <c r="I112" i="34"/>
  <c r="J112" i="34"/>
  <c r="K112" i="34"/>
  <c r="L112" i="34"/>
  <c r="M112" i="34"/>
  <c r="AB37" i="34"/>
  <c r="U37" i="34"/>
  <c r="U37" i="78"/>
  <c r="AB37" i="78"/>
  <c r="G112" i="78"/>
  <c r="H112" i="78"/>
  <c r="I112" i="78"/>
  <c r="J112" i="78"/>
  <c r="K112" i="78"/>
  <c r="L112" i="78"/>
  <c r="M112" i="78"/>
  <c r="J37" i="78"/>
  <c r="F37" i="78"/>
  <c r="U44" i="78"/>
  <c r="AB44" i="78"/>
  <c r="W44" i="78"/>
  <c r="AC44" i="78"/>
  <c r="U43" i="34"/>
  <c r="AB43" i="34"/>
  <c r="W43" i="34"/>
  <c r="AC43" i="34"/>
  <c r="AA43" i="34"/>
  <c r="S43" i="34"/>
  <c r="AB25" i="34"/>
  <c r="U25" i="34"/>
  <c r="AA25" i="34"/>
  <c r="S25" i="34"/>
  <c r="W25" i="34"/>
  <c r="AC25" i="34"/>
  <c r="AC23" i="78"/>
  <c r="W23" i="78"/>
  <c r="AC23" i="34"/>
  <c r="W23" i="34"/>
  <c r="U23" i="34"/>
  <c r="AB23" i="34"/>
  <c r="AA23" i="34"/>
  <c r="S23" i="34"/>
  <c r="AA23" i="78"/>
  <c r="S23" i="78"/>
  <c r="AB19" i="78"/>
  <c r="U19" i="78"/>
  <c r="AA19" i="78"/>
  <c r="S19" i="78"/>
  <c r="AC19" i="78"/>
  <c r="W19" i="78"/>
  <c r="S17" i="34"/>
  <c r="AA17" i="34"/>
  <c r="AC17" i="34"/>
  <c r="W17" i="34"/>
  <c r="AB17" i="34"/>
  <c r="U17" i="34"/>
  <c r="AA15" i="78"/>
  <c r="S15" i="78"/>
  <c r="AB27" i="34"/>
  <c r="U27" i="34"/>
  <c r="AC37" i="78"/>
  <c r="W37" i="78"/>
  <c r="AA37" i="34"/>
  <c r="S37" i="34"/>
  <c r="S37" i="78"/>
  <c r="AA37" i="78"/>
  <c r="E9" i="76"/>
  <c r="D35" i="9"/>
  <c r="M24" i="67"/>
  <c r="D5" i="73"/>
  <c r="E2" i="68"/>
  <c r="F42" i="15"/>
  <c r="F13" i="67"/>
  <c r="F3" i="73"/>
  <c r="L48" i="15"/>
  <c r="B7" i="76"/>
  <c r="F38" i="15"/>
  <c r="D2" i="33"/>
  <c r="M8" i="67"/>
  <c r="F36" i="67"/>
  <c r="M26" i="15"/>
  <c r="E8" i="76"/>
  <c r="B13" i="76"/>
  <c r="D2" i="78"/>
  <c r="F8" i="67"/>
  <c r="F6" i="73"/>
  <c r="E13" i="76"/>
  <c r="M27" i="15"/>
  <c r="D2" i="35"/>
  <c r="F26" i="15"/>
  <c r="B8" i="76"/>
  <c r="AO8" i="1"/>
  <c r="J15" i="15"/>
  <c r="F37" i="15"/>
  <c r="AO11" i="1"/>
  <c r="E11" i="76"/>
  <c r="AO10" i="1"/>
  <c r="E12" i="76"/>
  <c r="F8" i="15"/>
  <c r="F42" i="67"/>
  <c r="AO12" i="1"/>
  <c r="AO9" i="1"/>
  <c r="M24" i="15"/>
  <c r="F9" i="15"/>
  <c r="F40" i="15"/>
  <c r="F20" i="31"/>
  <c r="D3" i="73"/>
  <c r="D2" i="21"/>
  <c r="M23" i="67"/>
  <c r="F7" i="73"/>
  <c r="L47" i="15"/>
  <c r="M26" i="67"/>
  <c r="F36" i="15"/>
  <c r="M9" i="67"/>
  <c r="E7" i="76"/>
  <c r="M22" i="15"/>
  <c r="F16" i="15"/>
  <c r="F38" i="67"/>
  <c r="M9" i="15"/>
  <c r="L48" i="67"/>
  <c r="B10" i="76"/>
  <c r="M28" i="67"/>
  <c r="D34" i="9"/>
  <c r="D2" i="34"/>
  <c r="D7" i="73"/>
  <c r="D2" i="37"/>
  <c r="L47" i="67"/>
  <c r="F4" i="73"/>
  <c r="J15" i="67"/>
  <c r="M6" i="67"/>
  <c r="M27" i="67"/>
  <c r="D4" i="73"/>
  <c r="B11" i="76"/>
  <c r="G1" i="73"/>
  <c r="M8" i="15"/>
  <c r="B9" i="76"/>
  <c r="F13" i="15"/>
  <c r="AO13" i="1"/>
  <c r="F37" i="67"/>
  <c r="M6" i="15"/>
  <c r="M23" i="15"/>
  <c r="C76" i="67"/>
  <c r="F40" i="67"/>
  <c r="M22" i="67"/>
  <c r="D2" i="36"/>
  <c r="B12" i="76"/>
  <c r="F9" i="67"/>
  <c r="M28" i="15"/>
  <c r="E10" i="76"/>
  <c r="AO7" i="1"/>
  <c r="F5" i="73"/>
  <c r="D6" i="73"/>
  <c r="F16" i="67"/>
  <c r="C76" i="15"/>
  <c r="F26" i="67"/>
  <c r="E2" i="69"/>
  <c r="O16" i="1" l="1"/>
  <c r="AQ12" i="1"/>
  <c r="K6" i="1"/>
  <c r="G16" i="1" s="1"/>
  <c r="D3" i="78"/>
  <c r="M18" i="9"/>
  <c r="B118" i="9" s="1"/>
  <c r="AR7" i="1"/>
  <c r="T9" i="1"/>
  <c r="AQ9" i="1"/>
  <c r="T11" i="1"/>
  <c r="E11" i="6"/>
  <c r="E6" i="3"/>
  <c r="B113" i="43"/>
  <c r="F22" i="43"/>
  <c r="E22" i="43"/>
  <c r="D101" i="43"/>
  <c r="D106" i="43" s="1"/>
  <c r="G22" i="43"/>
  <c r="S2" i="43"/>
  <c r="AJ11" i="43"/>
  <c r="AJ13" i="43" s="1"/>
  <c r="AF11" i="43"/>
  <c r="AF13" i="43" s="1"/>
  <c r="AB11" i="43"/>
  <c r="AB13" i="43" s="1"/>
  <c r="Z7" i="43"/>
  <c r="AG11" i="43"/>
  <c r="AG13" i="43" s="1"/>
  <c r="AC11" i="43"/>
  <c r="AC13" i="43" s="1"/>
  <c r="Y11" i="43"/>
  <c r="Y13" i="43" s="1"/>
  <c r="C23" i="43"/>
  <c r="C21" i="43" s="1"/>
  <c r="J22" i="43"/>
  <c r="F101" i="43"/>
  <c r="F109" i="43" s="1"/>
  <c r="H22" i="43"/>
  <c r="I101" i="43"/>
  <c r="I105" i="43" s="1"/>
  <c r="AH11" i="43"/>
  <c r="AH13" i="43" s="1"/>
  <c r="AD11" i="43"/>
  <c r="AD13" i="43" s="1"/>
  <c r="Z11" i="43"/>
  <c r="Z13" i="43" s="1"/>
  <c r="AI11" i="43"/>
  <c r="AI13" i="43" s="1"/>
  <c r="AE11" i="43"/>
  <c r="AE13" i="43" s="1"/>
  <c r="AA11" i="43"/>
  <c r="AA13" i="43" s="1"/>
  <c r="S3" i="43"/>
  <c r="F27" i="6"/>
  <c r="E56" i="39"/>
  <c r="D19" i="12"/>
  <c r="C19" i="12" s="1"/>
  <c r="E15" i="6"/>
  <c r="E60" i="40" s="1"/>
  <c r="E12" i="6"/>
  <c r="E57" i="40" s="1"/>
  <c r="P16" i="1"/>
  <c r="C11" i="12" s="1"/>
  <c r="C15" i="12" s="1"/>
  <c r="C36" i="69"/>
  <c r="AQ8" i="1"/>
  <c r="D102" i="43"/>
  <c r="D105" i="43"/>
  <c r="I107" i="43"/>
  <c r="S7" i="43"/>
  <c r="S4" i="43"/>
  <c r="S6" i="43"/>
  <c r="T13" i="1"/>
  <c r="E51" i="40"/>
  <c r="S5" i="43"/>
  <c r="T10" i="1"/>
  <c r="T12" i="1"/>
  <c r="F103" i="43"/>
  <c r="E101" i="43"/>
  <c r="M101" i="43"/>
  <c r="H101" i="43"/>
  <c r="L101" i="43"/>
  <c r="E14" i="6"/>
  <c r="N101" i="43"/>
  <c r="K101" i="43"/>
  <c r="E13" i="6"/>
  <c r="G29" i="6"/>
  <c r="E29" i="6" s="1"/>
  <c r="K15" i="1" s="1"/>
  <c r="BL13" i="3"/>
  <c r="AQ7" i="1"/>
  <c r="T8" i="1"/>
  <c r="E28" i="6"/>
  <c r="G30" i="6"/>
  <c r="G31" i="6" s="1"/>
  <c r="E61" i="39"/>
  <c r="E56" i="40"/>
  <c r="F31" i="6"/>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BA5" i="3"/>
  <c r="E27" i="6" s="1"/>
  <c r="AZ14" i="3"/>
  <c r="K102" i="43"/>
  <c r="F102" i="43"/>
  <c r="N105" i="43"/>
  <c r="E10" i="6"/>
  <c r="E16" i="6" s="1"/>
  <c r="N104" i="46"/>
  <c r="J101" i="43"/>
  <c r="C101" i="43"/>
  <c r="G101" i="43"/>
  <c r="C12" i="12"/>
  <c r="K4" i="4"/>
  <c r="B46" i="48" s="1"/>
  <c r="B4" i="72" s="1"/>
  <c r="C7" i="34"/>
  <c r="C59" i="34" s="1"/>
  <c r="C42" i="1"/>
  <c r="C7" i="37"/>
  <c r="C52" i="37" s="1"/>
  <c r="C7" i="33"/>
  <c r="C58" i="33" s="1"/>
  <c r="C7" i="21"/>
  <c r="C58" i="21" s="1"/>
  <c r="C7" i="40"/>
  <c r="C63" i="40" s="1"/>
  <c r="M47" i="9"/>
  <c r="C7" i="78"/>
  <c r="C59" i="78" s="1"/>
  <c r="J51" i="15"/>
  <c r="C7" i="36"/>
  <c r="C46" i="36" s="1"/>
  <c r="J51" i="67"/>
  <c r="C7" i="39"/>
  <c r="C68" i="39" s="1"/>
  <c r="C7" i="35"/>
  <c r="C48" i="35" s="1"/>
  <c r="G19" i="43"/>
  <c r="C36" i="68"/>
  <c r="B40" i="1"/>
  <c r="C27" i="15"/>
  <c r="E20" i="43"/>
  <c r="C27" i="67"/>
  <c r="Q71" i="15"/>
  <c r="I1" i="73"/>
  <c r="B39" i="1" s="1"/>
  <c r="N59" i="67"/>
  <c r="L59" i="67"/>
  <c r="L58" i="67"/>
  <c r="M59" i="67"/>
  <c r="B7" i="70"/>
  <c r="F51" i="67"/>
  <c r="L56" i="67"/>
  <c r="J57" i="67"/>
  <c r="J55" i="67" s="1"/>
  <c r="J58" i="67" s="1"/>
  <c r="Q50" i="67" s="1"/>
  <c r="I54" i="67"/>
  <c r="J53" i="67"/>
  <c r="J60" i="67"/>
  <c r="Q48" i="67" s="1"/>
  <c r="L57" i="67"/>
  <c r="J59" i="67"/>
  <c r="L60" i="67"/>
  <c r="F66" i="67"/>
  <c r="F64" i="15"/>
  <c r="M59" i="15"/>
  <c r="L59" i="15"/>
  <c r="L58" i="15"/>
  <c r="N59" i="15"/>
  <c r="F64" i="67"/>
  <c r="F68" i="67"/>
  <c r="Q71" i="67"/>
  <c r="F68" i="15"/>
  <c r="F66" i="15"/>
  <c r="F65" i="67"/>
  <c r="B9" i="70"/>
  <c r="B13" i="70"/>
  <c r="B12" i="70"/>
  <c r="J60" i="15"/>
  <c r="Q48" i="15" s="1"/>
  <c r="L57" i="15"/>
  <c r="J57" i="15"/>
  <c r="J55" i="15" s="1"/>
  <c r="J58" i="15" s="1"/>
  <c r="Q50" i="15" s="1"/>
  <c r="L56" i="15"/>
  <c r="L60" i="15"/>
  <c r="J53" i="15"/>
  <c r="I54" i="15"/>
  <c r="J59" i="15"/>
  <c r="L46" i="15"/>
  <c r="F70" i="67"/>
  <c r="F51" i="15"/>
  <c r="B10" i="70"/>
  <c r="B11" i="70"/>
  <c r="F65" i="15"/>
  <c r="B8" i="70"/>
  <c r="F43" i="67"/>
  <c r="F7" i="67"/>
  <c r="F43" i="15"/>
  <c r="M29" i="67"/>
  <c r="M29" i="15"/>
  <c r="F7" i="15"/>
  <c r="C16" i="67"/>
  <c r="F10" i="39" l="1"/>
  <c r="H10" i="40"/>
  <c r="F10" i="40"/>
  <c r="M7" i="15"/>
  <c r="J6" i="15" s="1"/>
  <c r="F50" i="15"/>
  <c r="F71" i="15"/>
  <c r="M7" i="67"/>
  <c r="J6" i="67" s="1"/>
  <c r="F50" i="67"/>
  <c r="F71" i="67"/>
  <c r="F106" i="43"/>
  <c r="E62" i="39"/>
  <c r="I104" i="43"/>
  <c r="C49" i="15"/>
  <c r="M6" i="1"/>
  <c r="Q16" i="1"/>
  <c r="H16" i="1"/>
  <c r="E65" i="39"/>
  <c r="I109" i="43"/>
  <c r="I106" i="43"/>
  <c r="I102" i="43"/>
  <c r="I103" i="43"/>
  <c r="F104" i="43"/>
  <c r="F107" i="43"/>
  <c r="F105" i="43"/>
  <c r="D109" i="43"/>
  <c r="D103" i="43"/>
  <c r="D107" i="43"/>
  <c r="D104" i="43"/>
  <c r="J10" i="40"/>
  <c r="H10" i="39"/>
  <c r="J10" i="39"/>
  <c r="D22" i="43"/>
  <c r="D118" i="43"/>
  <c r="E118" i="43" s="1"/>
  <c r="F118" i="43" s="1"/>
  <c r="I118" i="43"/>
  <c r="J118" i="43" s="1"/>
  <c r="K118" i="43" s="1"/>
  <c r="L118" i="43" s="1"/>
  <c r="M118" i="43" s="1"/>
  <c r="D115" i="43"/>
  <c r="E115" i="43" s="1"/>
  <c r="F115" i="43" s="1"/>
  <c r="G115" i="43" s="1"/>
  <c r="H115" i="43" s="1"/>
  <c r="AZ13" i="3"/>
  <c r="BL5" i="3"/>
  <c r="E58" i="40"/>
  <c r="E63" i="39"/>
  <c r="N102" i="43"/>
  <c r="N103" i="43"/>
  <c r="N107" i="43"/>
  <c r="N109" i="43"/>
  <c r="N106" i="43"/>
  <c r="N104" i="43"/>
  <c r="E64" i="39"/>
  <c r="E66" i="39" s="1"/>
  <c r="E59" i="40"/>
  <c r="H102" i="43"/>
  <c r="H104" i="43"/>
  <c r="H107" i="43"/>
  <c r="H106" i="43"/>
  <c r="H105" i="43"/>
  <c r="H109" i="43"/>
  <c r="H103" i="43"/>
  <c r="E102" i="43"/>
  <c r="E106" i="43"/>
  <c r="E103" i="43"/>
  <c r="E109" i="43"/>
  <c r="E104" i="43"/>
  <c r="E107" i="43"/>
  <c r="E105" i="43"/>
  <c r="AZ5" i="3"/>
  <c r="E3" i="6" s="1"/>
  <c r="K103" i="43"/>
  <c r="K107" i="43"/>
  <c r="K106" i="43"/>
  <c r="K104" i="43"/>
  <c r="K105" i="43"/>
  <c r="K109" i="43"/>
  <c r="L109" i="43"/>
  <c r="L102" i="43"/>
  <c r="L105" i="43"/>
  <c r="L104" i="43"/>
  <c r="L106" i="43"/>
  <c r="L107" i="43"/>
  <c r="L103" i="43"/>
  <c r="M109" i="43"/>
  <c r="M102" i="43"/>
  <c r="M106" i="43"/>
  <c r="M103" i="43"/>
  <c r="M104" i="43"/>
  <c r="M107" i="43"/>
  <c r="M105" i="43"/>
  <c r="AY6" i="3"/>
  <c r="C107" i="43"/>
  <c r="C103" i="43"/>
  <c r="C109" i="43"/>
  <c r="C104" i="43"/>
  <c r="C106" i="43"/>
  <c r="C102" i="43"/>
  <c r="C105" i="43"/>
  <c r="G107" i="43"/>
  <c r="G104" i="43"/>
  <c r="G106" i="43"/>
  <c r="G105" i="43"/>
  <c r="G102" i="43"/>
  <c r="G103" i="43"/>
  <c r="G109" i="43"/>
  <c r="J107" i="43"/>
  <c r="J102" i="43"/>
  <c r="J104" i="43"/>
  <c r="J103" i="43"/>
  <c r="J106" i="43"/>
  <c r="J109" i="43"/>
  <c r="J105" i="43"/>
  <c r="C115" i="43"/>
  <c r="D113" i="43"/>
  <c r="K19" i="6"/>
  <c r="K14" i="1"/>
  <c r="K20" i="6"/>
  <c r="M20" i="6" s="1"/>
  <c r="I20" i="6" s="1"/>
  <c r="S20" i="6" s="1"/>
  <c r="K24" i="6"/>
  <c r="M24" i="6" s="1"/>
  <c r="I24" i="6" s="1"/>
  <c r="S24" i="6" s="1"/>
  <c r="K21" i="6"/>
  <c r="M21" i="6" s="1"/>
  <c r="I21" i="6" s="1"/>
  <c r="S21" i="6" s="1"/>
  <c r="K22" i="6"/>
  <c r="M22" i="6" s="1"/>
  <c r="I22" i="6" s="1"/>
  <c r="S22" i="6" s="1"/>
  <c r="K25" i="6"/>
  <c r="M25" i="6" s="1"/>
  <c r="I25" i="6" s="1"/>
  <c r="S25" i="6" s="1"/>
  <c r="K23" i="6"/>
  <c r="M23" i="6" s="1"/>
  <c r="I23" i="6" s="1"/>
  <c r="S23" i="6" s="1"/>
  <c r="E30" i="6"/>
  <c r="E31" i="6" s="1"/>
  <c r="K26" i="6"/>
  <c r="M26" i="6" s="1"/>
  <c r="I26" i="6" s="1"/>
  <c r="S26" i="6" s="1"/>
  <c r="L46" i="67"/>
  <c r="D48" i="35"/>
  <c r="E48" i="35" s="1"/>
  <c r="F48" i="35" s="1"/>
  <c r="G48" i="35" s="1"/>
  <c r="H48" i="35" s="1"/>
  <c r="I48" i="35" s="1"/>
  <c r="J48" i="35" s="1"/>
  <c r="K48" i="35" s="1"/>
  <c r="L48" i="35" s="1"/>
  <c r="M48" i="35" s="1"/>
  <c r="N48" i="35" s="1"/>
  <c r="O48" i="35" s="1"/>
  <c r="F7" i="35"/>
  <c r="J7" i="35"/>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J7" i="37"/>
  <c r="H7" i="37"/>
  <c r="D59" i="34"/>
  <c r="E59" i="34" s="1"/>
  <c r="F59" i="34" s="1"/>
  <c r="G59" i="34" s="1"/>
  <c r="H59" i="34" s="1"/>
  <c r="I59" i="34" s="1"/>
  <c r="J59" i="34" s="1"/>
  <c r="K59" i="34" s="1"/>
  <c r="L59" i="34" s="1"/>
  <c r="M59" i="34" s="1"/>
  <c r="N59" i="34" s="1"/>
  <c r="O59" i="34" s="1"/>
  <c r="F7" i="34"/>
  <c r="H7" i="34"/>
  <c r="J7" i="34"/>
  <c r="AA10" i="40"/>
  <c r="S10" i="40"/>
  <c r="O19" i="43"/>
  <c r="C19" i="43" s="1"/>
  <c r="P22" i="43"/>
  <c r="P25" i="43"/>
  <c r="P24" i="43"/>
  <c r="B66" i="40" s="1"/>
  <c r="M20" i="43"/>
  <c r="P21" i="43"/>
  <c r="P23" i="43"/>
  <c r="B71" i="39" s="1"/>
  <c r="C70" i="39"/>
  <c r="D68" i="39"/>
  <c r="D46" i="36"/>
  <c r="E46" i="36" s="1"/>
  <c r="F46" i="36" s="1"/>
  <c r="G46" i="36" s="1"/>
  <c r="H46" i="36" s="1"/>
  <c r="I46" i="36" s="1"/>
  <c r="J46" i="36" s="1"/>
  <c r="K46" i="36" s="1"/>
  <c r="L46" i="36" s="1"/>
  <c r="M46" i="36" s="1"/>
  <c r="N46" i="36" s="1"/>
  <c r="O46" i="36" s="1"/>
  <c r="J7" i="36"/>
  <c r="H7" i="36"/>
  <c r="F7" i="36"/>
  <c r="D59" i="78"/>
  <c r="E59" i="78" s="1"/>
  <c r="F59" i="78" s="1"/>
  <c r="G59" i="78" s="1"/>
  <c r="H59" i="78" s="1"/>
  <c r="I59" i="78" s="1"/>
  <c r="J59" i="78" s="1"/>
  <c r="K59" i="78" s="1"/>
  <c r="L59" i="78" s="1"/>
  <c r="M59" i="78" s="1"/>
  <c r="N59" i="78" s="1"/>
  <c r="O59" i="78" s="1"/>
  <c r="F7" i="78"/>
  <c r="J7" i="78"/>
  <c r="C65" i="40"/>
  <c r="D63" i="40"/>
  <c r="D58" i="33"/>
  <c r="E58" i="33" s="1"/>
  <c r="F58" i="33" s="1"/>
  <c r="G58" i="33" s="1"/>
  <c r="H58" i="33" s="1"/>
  <c r="I58" i="33" s="1"/>
  <c r="J58" i="33" s="1"/>
  <c r="K58" i="33" s="1"/>
  <c r="L58" i="33" s="1"/>
  <c r="M58" i="33" s="1"/>
  <c r="N58" i="33" s="1"/>
  <c r="O58" i="33" s="1"/>
  <c r="F7" i="33"/>
  <c r="J7" i="33"/>
  <c r="H7" i="33"/>
  <c r="C28" i="15"/>
  <c r="C31" i="12"/>
  <c r="C48" i="69"/>
  <c r="C24" i="12"/>
  <c r="C13" i="12"/>
  <c r="C77" i="9"/>
  <c r="C28" i="67"/>
  <c r="C36" i="11"/>
  <c r="C74" i="9"/>
  <c r="C48" i="68"/>
  <c r="C30" i="69"/>
  <c r="C30" i="68"/>
  <c r="U10" i="40"/>
  <c r="AB10" i="40"/>
  <c r="S10" i="39"/>
  <c r="AA10" i="39"/>
  <c r="J18" i="67"/>
  <c r="Q52" i="15"/>
  <c r="F1" i="15"/>
  <c r="Q73" i="15"/>
  <c r="Q60" i="15"/>
  <c r="Q52" i="67"/>
  <c r="F1" i="67"/>
  <c r="C49" i="67"/>
  <c r="Q61" i="67"/>
  <c r="Q74" i="67"/>
  <c r="M11" i="15"/>
  <c r="J10" i="15" s="1"/>
  <c r="J5" i="15" s="1"/>
  <c r="M11" i="67"/>
  <c r="J10" i="67" s="1"/>
  <c r="F11" i="15"/>
  <c r="C53" i="15" s="1"/>
  <c r="C48" i="15" s="1"/>
  <c r="F11" i="67"/>
  <c r="C53" i="67" s="1"/>
  <c r="F22" i="11"/>
  <c r="F24" i="15"/>
  <c r="C24" i="15" s="1"/>
  <c r="F25" i="12"/>
  <c r="F22" i="68"/>
  <c r="F22" i="69"/>
  <c r="F24" i="67"/>
  <c r="C24" i="67" s="1"/>
  <c r="Q66" i="15"/>
  <c r="Q57" i="15"/>
  <c r="J19" i="15"/>
  <c r="J18" i="15"/>
  <c r="Q61" i="15"/>
  <c r="Q74" i="15"/>
  <c r="Q57" i="67"/>
  <c r="Q66" i="67"/>
  <c r="Q60" i="67"/>
  <c r="Q73" i="67"/>
  <c r="O28" i="43"/>
  <c r="P28" i="43"/>
  <c r="M28" i="43"/>
  <c r="N28" i="43"/>
  <c r="C16" i="15"/>
  <c r="AE6" i="1"/>
  <c r="F41" i="67"/>
  <c r="F41" i="15"/>
  <c r="J5" i="67" l="1"/>
  <c r="J26" i="67" s="1"/>
  <c r="J29" i="67" s="1"/>
  <c r="F27" i="69"/>
  <c r="F28" i="12"/>
  <c r="C29" i="12" s="1"/>
  <c r="D28" i="12" s="1"/>
  <c r="F27" i="68"/>
  <c r="F27" i="11"/>
  <c r="U10" i="39"/>
  <c r="AB10" i="39"/>
  <c r="AC10" i="39"/>
  <c r="W10" i="39"/>
  <c r="W10" i="40"/>
  <c r="AC10" i="40"/>
  <c r="M19" i="6"/>
  <c r="S6" i="1"/>
  <c r="K27" i="6"/>
  <c r="D3" i="33"/>
  <c r="E6" i="6"/>
  <c r="D37" i="11"/>
  <c r="C37" i="11" s="1"/>
  <c r="D14" i="12"/>
  <c r="D3" i="21"/>
  <c r="D19" i="11"/>
  <c r="C19" i="11" s="1"/>
  <c r="D3" i="37"/>
  <c r="C17" i="4"/>
  <c r="B4" i="52" s="1"/>
  <c r="B43" i="72" s="1"/>
  <c r="K16" i="1"/>
  <c r="B29" i="1" s="1"/>
  <c r="C8" i="68" s="1"/>
  <c r="C5" i="68" s="1"/>
  <c r="M14" i="1"/>
  <c r="C34" i="69"/>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83" i="3"/>
  <c r="AY66" i="3"/>
  <c r="AY23" i="3"/>
  <c r="AY176" i="3"/>
  <c r="AY155" i="3"/>
  <c r="AY115" i="3"/>
  <c r="AY59" i="3"/>
  <c r="AY188" i="3"/>
  <c r="AY131" i="3"/>
  <c r="AY276" i="3"/>
  <c r="AY58" i="3"/>
  <c r="AY297" i="3"/>
  <c r="AY268" i="3"/>
  <c r="AY225" i="3"/>
  <c r="AY371" i="3"/>
  <c r="AY335" i="3"/>
  <c r="AY318" i="3"/>
  <c r="AY470" i="3"/>
  <c r="AY428" i="3"/>
  <c r="AY409" i="3"/>
  <c r="AY10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87" i="3"/>
  <c r="AY34" i="3"/>
  <c r="AY144" i="3"/>
  <c r="AY95" i="3"/>
  <c r="AY152" i="3"/>
  <c r="AY111" i="3"/>
  <c r="AY253" i="3"/>
  <c r="AY382" i="3"/>
  <c r="AY303" i="3"/>
  <c r="AY460" i="3"/>
  <c r="AY52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207" i="3"/>
  <c r="AY42" i="3"/>
  <c r="AY168" i="3"/>
  <c r="AY366" i="3"/>
  <c r="AY441"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 i="3"/>
  <c r="AY124" i="3"/>
  <c r="AY281" i="3"/>
  <c r="AY236" i="3"/>
  <c r="AY473"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W7" i="33"/>
  <c r="AC7" i="33"/>
  <c r="V48" i="33" s="1"/>
  <c r="I48" i="33" s="1"/>
  <c r="AA7" i="78"/>
  <c r="R49" i="78" s="1"/>
  <c r="S7" i="78"/>
  <c r="H7" i="78"/>
  <c r="U7" i="36"/>
  <c r="AB7" i="36"/>
  <c r="T36" i="36" s="1"/>
  <c r="G36" i="36" s="1"/>
  <c r="AC7" i="34"/>
  <c r="V49" i="34" s="1"/>
  <c r="I49" i="34" s="1"/>
  <c r="W7" i="34"/>
  <c r="AA7" i="34"/>
  <c r="R49" i="34" s="1"/>
  <c r="S7" i="34"/>
  <c r="AB7" i="37"/>
  <c r="T42" i="37" s="1"/>
  <c r="G42" i="37" s="1"/>
  <c r="U7" i="37"/>
  <c r="F7" i="37"/>
  <c r="J7" i="21"/>
  <c r="H7" i="21"/>
  <c r="W7" i="35"/>
  <c r="AC7" i="35"/>
  <c r="V38" i="35" s="1"/>
  <c r="I38" i="35" s="1"/>
  <c r="H7" i="35"/>
  <c r="AB7" i="33"/>
  <c r="T48" i="33" s="1"/>
  <c r="G48" i="33" s="1"/>
  <c r="U7" i="33"/>
  <c r="S7" i="33"/>
  <c r="AA7" i="33"/>
  <c r="R48" i="33" s="1"/>
  <c r="E63" i="40"/>
  <c r="D65" i="40"/>
  <c r="AC7" i="78"/>
  <c r="V49" i="78" s="1"/>
  <c r="I49" i="78" s="1"/>
  <c r="W7" i="78"/>
  <c r="S7" i="36"/>
  <c r="AA7" i="36"/>
  <c r="R36" i="36" s="1"/>
  <c r="AC7" i="36"/>
  <c r="V36" i="36" s="1"/>
  <c r="I36" i="36" s="1"/>
  <c r="W7" i="36"/>
  <c r="E68" i="39"/>
  <c r="D70" i="39"/>
  <c r="T3" i="43"/>
  <c r="V3" i="43" s="1"/>
  <c r="T5" i="43"/>
  <c r="V5" i="43" s="1"/>
  <c r="C37" i="43"/>
  <c r="C39" i="43"/>
  <c r="T13" i="43"/>
  <c r="V13" i="43" s="1"/>
  <c r="T2" i="43"/>
  <c r="V2" i="43" s="1"/>
  <c r="C38" i="43"/>
  <c r="T6" i="43"/>
  <c r="V6" i="43" s="1"/>
  <c r="T14" i="43"/>
  <c r="V14" i="43" s="1"/>
  <c r="C29" i="43"/>
  <c r="T7" i="43"/>
  <c r="V7" i="43" s="1"/>
  <c r="T16" i="43"/>
  <c r="V16" i="43" s="1"/>
  <c r="T8" i="43"/>
  <c r="V8" i="43" s="1"/>
  <c r="T9" i="43"/>
  <c r="V9" i="43" s="1"/>
  <c r="T10" i="43"/>
  <c r="V10" i="43" s="1"/>
  <c r="T4" i="43"/>
  <c r="V4" i="43" s="1"/>
  <c r="T15" i="43"/>
  <c r="V15" i="43" s="1"/>
  <c r="C34" i="43"/>
  <c r="T11" i="43"/>
  <c r="V11" i="43" s="1"/>
  <c r="C36" i="43"/>
  <c r="C33" i="43"/>
  <c r="T12" i="43"/>
  <c r="V12" i="43" s="1"/>
  <c r="C35" i="43"/>
  <c r="AB7" i="34"/>
  <c r="T49" i="34" s="1"/>
  <c r="G49" i="34" s="1"/>
  <c r="U7" i="34"/>
  <c r="W7" i="37"/>
  <c r="AC7" i="37"/>
  <c r="V42" i="37" s="1"/>
  <c r="I42" i="37" s="1"/>
  <c r="F7" i="21"/>
  <c r="AA7" i="35"/>
  <c r="R38" i="35" s="1"/>
  <c r="S7" i="35"/>
  <c r="F69" i="67"/>
  <c r="F69" i="15"/>
  <c r="J26" i="15"/>
  <c r="J29" i="15" s="1"/>
  <c r="J24" i="15"/>
  <c r="J24" i="67"/>
  <c r="C66" i="15"/>
  <c r="C60" i="15"/>
  <c r="C26" i="68"/>
  <c r="D22" i="68" s="1"/>
  <c r="C23" i="68"/>
  <c r="C44" i="68"/>
  <c r="D41" i="68" s="1"/>
  <c r="C48" i="67"/>
  <c r="C44" i="69"/>
  <c r="D41" i="69" s="1"/>
  <c r="C26" i="69"/>
  <c r="D22" i="69" s="1"/>
  <c r="C26" i="12"/>
  <c r="D25" i="12" s="1"/>
  <c r="C26" i="11"/>
  <c r="D22" i="11" s="1"/>
  <c r="C23" i="11"/>
  <c r="C44" i="11"/>
  <c r="D41" i="11" s="1"/>
  <c r="C24" i="11"/>
  <c r="C17" i="67"/>
  <c r="C17" i="15"/>
  <c r="C14" i="67"/>
  <c r="C29" i="68" l="1"/>
  <c r="D27" i="68" s="1"/>
  <c r="C47" i="68"/>
  <c r="D45" i="68" s="1"/>
  <c r="C47" i="69"/>
  <c r="D45" i="69" s="1"/>
  <c r="C29" i="69"/>
  <c r="D27" i="69" s="1"/>
  <c r="C47" i="11"/>
  <c r="D45" i="11" s="1"/>
  <c r="C29" i="11"/>
  <c r="D27" i="11" s="1"/>
  <c r="C15" i="67"/>
  <c r="C18" i="67"/>
  <c r="C19" i="67"/>
  <c r="C20" i="67" s="1"/>
  <c r="C26" i="67" s="1"/>
  <c r="D19" i="6"/>
  <c r="H20" i="6"/>
  <c r="D26" i="6"/>
  <c r="C18" i="4"/>
  <c r="D8" i="6"/>
  <c r="D23" i="6"/>
  <c r="D14" i="6"/>
  <c r="D5" i="6"/>
  <c r="D12" i="6"/>
  <c r="D11" i="6"/>
  <c r="D13" i="6"/>
  <c r="D28" i="6"/>
  <c r="D30" i="6" s="1"/>
  <c r="E61" i="40"/>
  <c r="H23" i="6"/>
  <c r="H26" i="6"/>
  <c r="D25" i="6"/>
  <c r="D15" i="6"/>
  <c r="D22" i="6"/>
  <c r="D21" i="6"/>
  <c r="D24" i="6"/>
  <c r="D20" i="6"/>
  <c r="D6" i="6"/>
  <c r="D9" i="6"/>
  <c r="D10" i="6"/>
  <c r="D29" i="6"/>
  <c r="H25" i="6"/>
  <c r="H22" i="6"/>
  <c r="H21" i="6"/>
  <c r="H24" i="6"/>
  <c r="M16" i="1"/>
  <c r="C20" i="11"/>
  <c r="C25" i="11" s="1"/>
  <c r="D17" i="12"/>
  <c r="C17" i="12" s="1"/>
  <c r="C14" i="12"/>
  <c r="C16" i="12" s="1"/>
  <c r="D10" i="11"/>
  <c r="C10" i="11" s="1"/>
  <c r="D20" i="12"/>
  <c r="C20" i="12" s="1"/>
  <c r="C18" i="12" s="1"/>
  <c r="D10" i="68"/>
  <c r="D10" i="69"/>
  <c r="I19" i="6"/>
  <c r="H19" i="6" s="1"/>
  <c r="M27" i="6"/>
  <c r="C35" i="69"/>
  <c r="C38" i="69"/>
  <c r="T6" i="1"/>
  <c r="AQ6" i="1"/>
  <c r="AR6" i="1"/>
  <c r="E6" i="70"/>
  <c r="E2" i="70" s="1"/>
  <c r="S16" i="1"/>
  <c r="E38" i="35"/>
  <c r="R39" i="35"/>
  <c r="I46" i="37"/>
  <c r="J46" i="37" s="1"/>
  <c r="E35" i="43"/>
  <c r="G35" i="43"/>
  <c r="I35" i="43" s="1"/>
  <c r="E33" i="43"/>
  <c r="G33" i="43"/>
  <c r="I33" i="43" s="1"/>
  <c r="G38" i="43"/>
  <c r="I38" i="43" s="1"/>
  <c r="E38" i="43"/>
  <c r="E37" i="43"/>
  <c r="G37" i="43"/>
  <c r="I37" i="43" s="1"/>
  <c r="F68" i="39"/>
  <c r="E70" i="39"/>
  <c r="I40" i="36"/>
  <c r="J40" i="36" s="1"/>
  <c r="I41" i="36"/>
  <c r="J41" i="36" s="1"/>
  <c r="I53" i="78"/>
  <c r="J53" i="78" s="1"/>
  <c r="F63" i="40"/>
  <c r="E65" i="40"/>
  <c r="G53" i="33"/>
  <c r="H53" i="33" s="1"/>
  <c r="G52" i="33"/>
  <c r="H52" i="33" s="1"/>
  <c r="U7" i="35"/>
  <c r="AB7" i="35"/>
  <c r="T38" i="35" s="1"/>
  <c r="G38" i="35" s="1"/>
  <c r="AC7" i="21"/>
  <c r="V48" i="21" s="1"/>
  <c r="I48" i="21" s="1"/>
  <c r="W7" i="21"/>
  <c r="S7" i="21"/>
  <c r="AA7" i="21"/>
  <c r="R48" i="21" s="1"/>
  <c r="G53" i="34"/>
  <c r="H53" i="34" s="1"/>
  <c r="G54" i="34"/>
  <c r="H54" i="34" s="1"/>
  <c r="E36" i="43"/>
  <c r="G36" i="43"/>
  <c r="I36" i="43" s="1"/>
  <c r="E34" i="43"/>
  <c r="G34" i="43"/>
  <c r="I34" i="43" s="1"/>
  <c r="C30" i="43"/>
  <c r="E30" i="43" s="1"/>
  <c r="C27" i="43" s="1"/>
  <c r="E29" i="43"/>
  <c r="C26" i="43" s="1"/>
  <c r="G39" i="43"/>
  <c r="I39" i="43" s="1"/>
  <c r="E39" i="43"/>
  <c r="E36" i="36"/>
  <c r="R37" i="36"/>
  <c r="R49" i="33"/>
  <c r="E48" i="33"/>
  <c r="I53" i="33" s="1"/>
  <c r="J53" i="33" s="1"/>
  <c r="I42" i="35"/>
  <c r="J42" i="35" s="1"/>
  <c r="I43" i="35"/>
  <c r="J43" i="35" s="1"/>
  <c r="U7" i="21"/>
  <c r="AB7" i="21"/>
  <c r="T48" i="21" s="1"/>
  <c r="G48" i="21" s="1"/>
  <c r="AA7" i="37"/>
  <c r="R42" i="37" s="1"/>
  <c r="S7" i="37"/>
  <c r="G46" i="37"/>
  <c r="H46" i="37" s="1"/>
  <c r="G47" i="37"/>
  <c r="H47" i="37" s="1"/>
  <c r="E49" i="34"/>
  <c r="R50" i="34"/>
  <c r="I53" i="34"/>
  <c r="J53" i="34" s="1"/>
  <c r="I54" i="34"/>
  <c r="J54" i="34" s="1"/>
  <c r="G40" i="36"/>
  <c r="H40" i="36" s="1"/>
  <c r="G41" i="36"/>
  <c r="H41" i="36" s="1"/>
  <c r="U7" i="78"/>
  <c r="AB7" i="78"/>
  <c r="T49" i="78" s="1"/>
  <c r="G49" i="78" s="1"/>
  <c r="E49" i="78"/>
  <c r="R50" i="78"/>
  <c r="I52" i="33"/>
  <c r="J52" i="33" s="1"/>
  <c r="C22" i="11"/>
  <c r="C66" i="67"/>
  <c r="C60" i="67"/>
  <c r="C14" i="15"/>
  <c r="E6" i="76"/>
  <c r="C23" i="67" l="1"/>
  <c r="C29" i="67" s="1"/>
  <c r="J14" i="67" s="1"/>
  <c r="H27" i="6"/>
  <c r="C28" i="11"/>
  <c r="C27" i="11" s="1"/>
  <c r="C31" i="11" s="1"/>
  <c r="R20" i="6"/>
  <c r="R21" i="6"/>
  <c r="D16" i="6"/>
  <c r="C18" i="15"/>
  <c r="C15" i="15"/>
  <c r="C19" i="15"/>
  <c r="C10" i="69"/>
  <c r="C8" i="69" s="1"/>
  <c r="C5" i="69" s="1"/>
  <c r="C23" i="69" s="1"/>
  <c r="D19" i="69"/>
  <c r="C21" i="12"/>
  <c r="T16" i="1"/>
  <c r="R24" i="6"/>
  <c r="R22" i="6"/>
  <c r="R25" i="6"/>
  <c r="R23" i="6"/>
  <c r="A7" i="51"/>
  <c r="B7" i="72" s="1"/>
  <c r="C4" i="52"/>
  <c r="B45" i="72" s="1"/>
  <c r="A10" i="51"/>
  <c r="B9" i="72" s="1"/>
  <c r="L18" i="9"/>
  <c r="S19" i="6"/>
  <c r="S27" i="6" s="1"/>
  <c r="I27" i="6"/>
  <c r="C10" i="68"/>
  <c r="D19" i="68"/>
  <c r="L16" i="1"/>
  <c r="N16" i="1"/>
  <c r="C34" i="68"/>
  <c r="C34" i="11"/>
  <c r="R26" i="6"/>
  <c r="M19" i="9"/>
  <c r="C118" i="9" s="1"/>
  <c r="C14" i="74" s="1"/>
  <c r="B2" i="74" s="1"/>
  <c r="R19" i="6"/>
  <c r="L19" i="9"/>
  <c r="D27" i="6"/>
  <c r="D31" i="6" s="1"/>
  <c r="C36" i="67"/>
  <c r="E2" i="76"/>
  <c r="C50" i="78"/>
  <c r="C49" i="78"/>
  <c r="G52" i="21"/>
  <c r="H52" i="21" s="1"/>
  <c r="G53" i="21"/>
  <c r="H53" i="21" s="1"/>
  <c r="E53" i="78"/>
  <c r="F53" i="78" s="1"/>
  <c r="E54" i="78"/>
  <c r="F54" i="78" s="1"/>
  <c r="E54" i="34"/>
  <c r="F54" i="34" s="1"/>
  <c r="E53" i="34"/>
  <c r="F53" i="34" s="1"/>
  <c r="E42" i="37"/>
  <c r="R43" i="37"/>
  <c r="C48" i="33"/>
  <c r="C49" i="33"/>
  <c r="B2" i="33" s="1"/>
  <c r="B3" i="33" s="1"/>
  <c r="E40" i="36"/>
  <c r="F40" i="36" s="1"/>
  <c r="E41" i="36"/>
  <c r="F41" i="36" s="1"/>
  <c r="I52" i="21"/>
  <c r="J52" i="21" s="1"/>
  <c r="G63" i="40"/>
  <c r="F65" i="40"/>
  <c r="G68" i="39"/>
  <c r="F70" i="39"/>
  <c r="E43" i="35"/>
  <c r="F43" i="35" s="1"/>
  <c r="E42" i="35"/>
  <c r="F42" i="35" s="1"/>
  <c r="G54" i="78"/>
  <c r="H54" i="78" s="1"/>
  <c r="G53" i="78"/>
  <c r="H53" i="78" s="1"/>
  <c r="C50" i="34"/>
  <c r="C49" i="34"/>
  <c r="E53" i="33"/>
  <c r="F53" i="33" s="1"/>
  <c r="E52" i="33"/>
  <c r="F52" i="33" s="1"/>
  <c r="C36" i="36"/>
  <c r="C37" i="36"/>
  <c r="B2" i="36" s="1"/>
  <c r="B3" i="36" s="1"/>
  <c r="B2" i="43"/>
  <c r="R49" i="21"/>
  <c r="E48" i="21"/>
  <c r="I53" i="21" s="1"/>
  <c r="J53" i="21" s="1"/>
  <c r="G42" i="35"/>
  <c r="H42" i="35" s="1"/>
  <c r="G43" i="35"/>
  <c r="H43" i="35" s="1"/>
  <c r="I54" i="78"/>
  <c r="J54" i="78" s="1"/>
  <c r="C39" i="35"/>
  <c r="B2" i="35" s="1"/>
  <c r="B3" i="35" s="1"/>
  <c r="C38" i="35"/>
  <c r="B6" i="76"/>
  <c r="Q49" i="67" l="1"/>
  <c r="C13" i="67"/>
  <c r="C75" i="67" s="1"/>
  <c r="J13" i="67"/>
  <c r="J23" i="67" s="1"/>
  <c r="J22" i="67"/>
  <c r="C57" i="67"/>
  <c r="J19" i="67"/>
  <c r="C38" i="11"/>
  <c r="C35" i="11"/>
  <c r="F50" i="69"/>
  <c r="F50" i="11"/>
  <c r="F50" i="68"/>
  <c r="D37" i="68"/>
  <c r="C37" i="68" s="1"/>
  <c r="C19" i="68"/>
  <c r="I6" i="6"/>
  <c r="I5" i="6"/>
  <c r="R6" i="1"/>
  <c r="R27" i="6"/>
  <c r="C35" i="68"/>
  <c r="C38" i="68"/>
  <c r="C22" i="12"/>
  <c r="C30" i="12" s="1"/>
  <c r="C28" i="12" s="1"/>
  <c r="D7" i="74"/>
  <c r="D8" i="74"/>
  <c r="C19" i="69"/>
  <c r="D37" i="69"/>
  <c r="C37" i="69" s="1"/>
  <c r="C33" i="69" s="1"/>
  <c r="C20" i="15"/>
  <c r="C26" i="15" s="1"/>
  <c r="Q70" i="67"/>
  <c r="B2" i="76"/>
  <c r="B3" i="76" s="1"/>
  <c r="C43" i="37"/>
  <c r="B2" i="37" s="1"/>
  <c r="B3" i="37" s="1"/>
  <c r="C42" i="37"/>
  <c r="B3" i="78"/>
  <c r="B2" i="78"/>
  <c r="C48" i="21"/>
  <c r="C49" i="21"/>
  <c r="B2" i="21" s="1"/>
  <c r="B3" i="21" s="1"/>
  <c r="E52" i="21"/>
  <c r="F52" i="21" s="1"/>
  <c r="E53" i="21"/>
  <c r="F53" i="21" s="1"/>
  <c r="B3" i="43"/>
  <c r="B3" i="34"/>
  <c r="U6" i="1"/>
  <c r="Z18" i="1"/>
  <c r="B2" i="34"/>
  <c r="G70" i="39"/>
  <c r="H68" i="39"/>
  <c r="H63" i="40"/>
  <c r="G65" i="40"/>
  <c r="E47" i="37"/>
  <c r="F47" i="37" s="1"/>
  <c r="E46" i="37"/>
  <c r="F46" i="37" s="1"/>
  <c r="I47" i="37"/>
  <c r="J47" i="37" s="1"/>
  <c r="F35" i="15"/>
  <c r="M21" i="15"/>
  <c r="M21" i="67"/>
  <c r="F35" i="67"/>
  <c r="C20" i="9"/>
  <c r="F6" i="15"/>
  <c r="F6" i="67"/>
  <c r="C19" i="9"/>
  <c r="C37" i="67" l="1"/>
  <c r="C56" i="67"/>
  <c r="C65" i="67" s="1"/>
  <c r="C61" i="67"/>
  <c r="C64" i="67"/>
  <c r="C33" i="68"/>
  <c r="C42" i="68" s="1"/>
  <c r="C27" i="12"/>
  <c r="C25" i="12" s="1"/>
  <c r="C32" i="12" s="1"/>
  <c r="B2" i="12" s="1"/>
  <c r="B3" i="12" s="1"/>
  <c r="F63" i="67"/>
  <c r="C62" i="67" s="1"/>
  <c r="C34" i="67"/>
  <c r="J20" i="67"/>
  <c r="J17" i="67" s="1"/>
  <c r="J16" i="67" s="1"/>
  <c r="J25" i="67" s="1"/>
  <c r="J20" i="15"/>
  <c r="J17" i="15" s="1"/>
  <c r="F63" i="15"/>
  <c r="C62" i="15" s="1"/>
  <c r="C34" i="15"/>
  <c r="C39" i="68"/>
  <c r="C43" i="68" s="1"/>
  <c r="C23" i="15"/>
  <c r="C29" i="15" s="1"/>
  <c r="C39" i="69"/>
  <c r="C42" i="69"/>
  <c r="C33" i="11"/>
  <c r="C20" i="69"/>
  <c r="C24" i="69"/>
  <c r="R16" i="1"/>
  <c r="C20" i="68"/>
  <c r="C25" i="68" s="1"/>
  <c r="C24" i="68"/>
  <c r="C21" i="9"/>
  <c r="C102" i="9"/>
  <c r="C6" i="15"/>
  <c r="C6" i="67"/>
  <c r="C103" i="9"/>
  <c r="H65" i="40"/>
  <c r="I63" i="40"/>
  <c r="I68" i="39"/>
  <c r="H70" i="39"/>
  <c r="C28" i="68" l="1"/>
  <c r="C27" i="68" s="1"/>
  <c r="C59" i="67"/>
  <c r="C58" i="67" s="1"/>
  <c r="C67" i="67" s="1"/>
  <c r="C68" i="67" s="1"/>
  <c r="C71" i="67" s="1"/>
  <c r="C39" i="11"/>
  <c r="C43" i="11" s="1"/>
  <c r="C42" i="11"/>
  <c r="C46" i="69"/>
  <c r="C45" i="69" s="1"/>
  <c r="C43" i="69"/>
  <c r="C41" i="69" s="1"/>
  <c r="C41" i="68"/>
  <c r="C22" i="68"/>
  <c r="C28" i="69"/>
  <c r="C27" i="69" s="1"/>
  <c r="C25" i="69"/>
  <c r="C22" i="69" s="1"/>
  <c r="J14" i="15"/>
  <c r="C57" i="15"/>
  <c r="C13" i="15"/>
  <c r="C36" i="15"/>
  <c r="Q49" i="15"/>
  <c r="C46" i="68"/>
  <c r="C45" i="68" s="1"/>
  <c r="I65" i="40"/>
  <c r="J63" i="40"/>
  <c r="C10" i="67"/>
  <c r="C5" i="67" s="1"/>
  <c r="C38" i="67" s="1"/>
  <c r="C33" i="67"/>
  <c r="C32" i="67"/>
  <c r="J68" i="39"/>
  <c r="I70" i="39"/>
  <c r="C10" i="15"/>
  <c r="C5" i="15" s="1"/>
  <c r="C38" i="15" s="1"/>
  <c r="C33" i="15"/>
  <c r="C32" i="15"/>
  <c r="C31" i="68" l="1"/>
  <c r="C31" i="69"/>
  <c r="C49" i="69"/>
  <c r="C51" i="69" s="1"/>
  <c r="C52" i="69" s="1"/>
  <c r="B2" i="69" s="1"/>
  <c r="B3" i="69" s="1"/>
  <c r="C46" i="11"/>
  <c r="C45" i="11" s="1"/>
  <c r="C41" i="11"/>
  <c r="C64" i="15"/>
  <c r="C61" i="15"/>
  <c r="C59" i="15" s="1"/>
  <c r="C56" i="15"/>
  <c r="C65" i="15" s="1"/>
  <c r="C37" i="15"/>
  <c r="Q70" i="15"/>
  <c r="C75" i="15"/>
  <c r="J22" i="15"/>
  <c r="J13" i="15"/>
  <c r="J23" i="15" s="1"/>
  <c r="C49" i="68"/>
  <c r="C51" i="68" s="1"/>
  <c r="C31" i="15"/>
  <c r="C30" i="15" s="1"/>
  <c r="C39" i="15" s="1"/>
  <c r="Q69" i="15" s="1"/>
  <c r="Q68" i="15" s="1"/>
  <c r="K68" i="39"/>
  <c r="J70" i="39"/>
  <c r="C31" i="67"/>
  <c r="C30" i="67" s="1"/>
  <c r="C39" i="67" s="1"/>
  <c r="K63" i="40"/>
  <c r="J65" i="40"/>
  <c r="L51" i="15"/>
  <c r="L51" i="67"/>
  <c r="C52" i="68" l="1"/>
  <c r="B2" i="68" s="1"/>
  <c r="B3" i="68" s="1"/>
  <c r="C57" i="69"/>
  <c r="C56" i="69" s="1"/>
  <c r="J16" i="15"/>
  <c r="J25" i="15" s="1"/>
  <c r="C49" i="11"/>
  <c r="C51" i="11" s="1"/>
  <c r="C52" i="11" s="1"/>
  <c r="B2" i="11" s="1"/>
  <c r="B3" i="11" s="1"/>
  <c r="C58" i="15"/>
  <c r="C67" i="15" s="1"/>
  <c r="C68" i="15" s="1"/>
  <c r="C71" i="15" s="1"/>
  <c r="Q67" i="15"/>
  <c r="C40" i="15"/>
  <c r="Q56" i="15" s="1"/>
  <c r="Q62" i="15" s="1"/>
  <c r="C80" i="15"/>
  <c r="C79" i="15" s="1"/>
  <c r="Q67" i="67"/>
  <c r="L63" i="40"/>
  <c r="K65" i="40"/>
  <c r="Q69" i="67"/>
  <c r="Q68" i="67" s="1"/>
  <c r="C40" i="67"/>
  <c r="C80" i="67"/>
  <c r="C79" i="67" s="1"/>
  <c r="L68" i="39"/>
  <c r="K70" i="39"/>
  <c r="C57" i="68" l="1"/>
  <c r="C56" i="68" s="1"/>
  <c r="Q47" i="15"/>
  <c r="Q53" i="15" s="1"/>
  <c r="C83" i="15"/>
  <c r="C82" i="15" s="1"/>
  <c r="B2" i="15"/>
  <c r="B3" i="15" s="1"/>
  <c r="C56" i="11"/>
  <c r="C57" i="11" s="1"/>
  <c r="Q65" i="15"/>
  <c r="Q75" i="15" s="1"/>
  <c r="C43" i="15"/>
  <c r="C46" i="15"/>
  <c r="M68" i="39"/>
  <c r="L70" i="39"/>
  <c r="D2" i="67"/>
  <c r="Q65" i="67"/>
  <c r="Q75" i="67" s="1"/>
  <c r="C43" i="67"/>
  <c r="C45" i="67"/>
  <c r="C46" i="67" s="1"/>
  <c r="Q56" i="67"/>
  <c r="Q62" i="67" s="1"/>
  <c r="Q47" i="67"/>
  <c r="Q53" i="67" s="1"/>
  <c r="C83" i="67"/>
  <c r="C82" i="67" s="1"/>
  <c r="M63" i="40"/>
  <c r="L65" i="40"/>
  <c r="N63" i="40" l="1"/>
  <c r="M65" i="40"/>
  <c r="B3" i="67"/>
  <c r="B2" i="67"/>
  <c r="N68" i="39"/>
  <c r="M70" i="39"/>
  <c r="D19" i="9"/>
  <c r="D20" i="9"/>
  <c r="AO6" i="1"/>
  <c r="B6" i="70" l="1"/>
  <c r="B2" i="70" s="1"/>
  <c r="B3" i="70" s="1"/>
  <c r="D102" i="9"/>
  <c r="D21" i="9"/>
  <c r="D22" i="9"/>
  <c r="G19" i="9"/>
  <c r="G20" i="9"/>
  <c r="R24" i="31" s="1"/>
  <c r="D103" i="9"/>
  <c r="O68" i="39"/>
  <c r="O70" i="39" s="1"/>
  <c r="N70" i="39"/>
  <c r="N65" i="40"/>
  <c r="O63" i="40"/>
  <c r="O65" i="40" s="1"/>
  <c r="J7" i="40" l="1"/>
  <c r="F7" i="40"/>
  <c r="H7" i="40"/>
  <c r="C32" i="9"/>
  <c r="G21" i="9"/>
  <c r="H7" i="39"/>
  <c r="J7" i="39"/>
  <c r="F7" i="39"/>
  <c r="R27" i="31"/>
  <c r="S27" i="31" s="1"/>
  <c r="S24" i="31"/>
  <c r="R30" i="31"/>
  <c r="S30" i="31" s="1"/>
  <c r="R33" i="31"/>
  <c r="S33" i="31" s="1"/>
  <c r="R26" i="31"/>
  <c r="S26" i="31" s="1"/>
  <c r="R34" i="31"/>
  <c r="S34" i="31" s="1"/>
  <c r="R39" i="31"/>
  <c r="S39" i="31" s="1"/>
  <c r="R36" i="31"/>
  <c r="S36" i="31" s="1"/>
  <c r="R25" i="31"/>
  <c r="S25" i="31" s="1"/>
  <c r="R28" i="31"/>
  <c r="S28" i="31" s="1"/>
  <c r="R37" i="31"/>
  <c r="S37" i="31" s="1"/>
  <c r="R32" i="31"/>
  <c r="S32" i="31" s="1"/>
  <c r="R31" i="31"/>
  <c r="S31" i="31" s="1"/>
  <c r="R35" i="31"/>
  <c r="S35" i="31" s="1"/>
  <c r="R40" i="31"/>
  <c r="S40" i="31" s="1"/>
  <c r="R41" i="31"/>
  <c r="S41" i="31" s="1"/>
  <c r="R29" i="31"/>
  <c r="S29" i="31" s="1"/>
  <c r="R38" i="31"/>
  <c r="S38" i="31" s="1"/>
  <c r="S22" i="31" l="1"/>
  <c r="R22" i="31" s="1"/>
  <c r="B21" i="31" s="1"/>
  <c r="AA7" i="39"/>
  <c r="R47" i="39" s="1"/>
  <c r="S7" i="39"/>
  <c r="U7" i="39"/>
  <c r="AB7" i="39"/>
  <c r="T47" i="39" s="1"/>
  <c r="G47" i="39" s="1"/>
  <c r="C35" i="9"/>
  <c r="F118" i="9" s="1"/>
  <c r="H118" i="9"/>
  <c r="C34" i="9"/>
  <c r="D118" i="9" s="1"/>
  <c r="S7" i="40"/>
  <c r="AA7" i="40"/>
  <c r="R42" i="40" s="1"/>
  <c r="W7" i="39"/>
  <c r="AC7" i="39"/>
  <c r="V47" i="39" s="1"/>
  <c r="I47" i="39" s="1"/>
  <c r="AB7" i="40"/>
  <c r="T42" i="40" s="1"/>
  <c r="G42" i="40" s="1"/>
  <c r="U7" i="40"/>
  <c r="W7" i="40"/>
  <c r="AC7" i="40"/>
  <c r="V42" i="40" s="1"/>
  <c r="I42" i="40" s="1"/>
  <c r="B20" i="31" l="1"/>
  <c r="D14" i="74" s="1"/>
  <c r="I46" i="40"/>
  <c r="J46" i="40" s="1"/>
  <c r="I51" i="39"/>
  <c r="J51" i="39" s="1"/>
  <c r="R43" i="40"/>
  <c r="E42" i="40"/>
  <c r="I47" i="40" s="1"/>
  <c r="J47" i="40" s="1"/>
  <c r="G118" i="9"/>
  <c r="G4" i="52" s="1"/>
  <c r="B52" i="72" s="1"/>
  <c r="F119" i="9"/>
  <c r="F5" i="52" s="1"/>
  <c r="B53" i="72" s="1"/>
  <c r="F4" i="52"/>
  <c r="B51" i="72" s="1"/>
  <c r="G47" i="40"/>
  <c r="H47" i="40" s="1"/>
  <c r="G46" i="40"/>
  <c r="H46" i="40" s="1"/>
  <c r="H101" i="9"/>
  <c r="I118" i="9"/>
  <c r="C104" i="9"/>
  <c r="H119" i="9"/>
  <c r="H5" i="52" s="1"/>
  <c r="H4" i="52"/>
  <c r="G51" i="39"/>
  <c r="H51" i="39" s="1"/>
  <c r="G52" i="39"/>
  <c r="H52" i="39" s="1"/>
  <c r="D119" i="9"/>
  <c r="D5" i="52" s="1"/>
  <c r="B49" i="72" s="1"/>
  <c r="D4" i="52"/>
  <c r="B47" i="72" s="1"/>
  <c r="E47" i="39"/>
  <c r="I52" i="39" s="1"/>
  <c r="J52" i="39" s="1"/>
  <c r="R48" i="39"/>
  <c r="U25" i="31" l="1"/>
  <c r="U26" i="31" s="1"/>
  <c r="H102" i="9"/>
  <c r="D7" i="53" s="1"/>
  <c r="B21" i="72" s="1"/>
  <c r="E118" i="9"/>
  <c r="E4" i="52" s="1"/>
  <c r="B48" i="72" s="1"/>
  <c r="C105" i="9"/>
  <c r="I4" i="52"/>
  <c r="C47" i="39"/>
  <c r="C48" i="39"/>
  <c r="G14" i="74"/>
  <c r="B6" i="74" s="1"/>
  <c r="B5" i="74"/>
  <c r="F14" i="74"/>
  <c r="E14" i="74"/>
  <c r="D5" i="53"/>
  <c r="M48" i="9"/>
  <c r="H107" i="9"/>
  <c r="D45" i="9"/>
  <c r="E47" i="40"/>
  <c r="F47" i="40" s="1"/>
  <c r="E46" i="40"/>
  <c r="F46" i="40" s="1"/>
  <c r="E52" i="39"/>
  <c r="F52" i="39" s="1"/>
  <c r="E51" i="39"/>
  <c r="F51" i="39" s="1"/>
  <c r="C43" i="40"/>
  <c r="C42" i="40"/>
  <c r="D55" i="9" l="1"/>
  <c r="M53" i="9" s="1"/>
  <c r="C72" i="9"/>
  <c r="D53" i="9"/>
  <c r="C64" i="9"/>
  <c r="C63" i="9" s="1"/>
  <c r="C67" i="9" s="1"/>
  <c r="C68" i="9" s="1"/>
  <c r="D54" i="9" s="1"/>
  <c r="C93" i="9"/>
  <c r="C86" i="9" s="1"/>
  <c r="C78" i="9"/>
  <c r="C73" i="9" s="1"/>
  <c r="D52" i="9"/>
  <c r="C85" i="9"/>
  <c r="C5" i="74"/>
  <c r="D5" i="74"/>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H108" i="9"/>
  <c r="D15" i="53" s="1"/>
  <c r="B31" i="72" s="1"/>
  <c r="D122" i="9"/>
  <c r="M49" i="9"/>
  <c r="D13" i="53"/>
  <c r="B20" i="72"/>
  <c r="D6" i="53"/>
  <c r="B22" i="72" s="1"/>
  <c r="C6" i="74"/>
  <c r="D6" i="74"/>
  <c r="L66" i="9" l="1"/>
  <c r="M66" i="9" s="1"/>
  <c r="L68" i="9"/>
  <c r="M68" i="9" s="1"/>
  <c r="L67" i="9"/>
  <c r="M67" i="9" s="1"/>
  <c r="L65" i="9"/>
  <c r="M65" i="9" s="1"/>
  <c r="L64" i="9"/>
  <c r="M64" i="9" s="1"/>
  <c r="L63" i="9"/>
  <c r="M63" i="9" s="1"/>
  <c r="C95" i="9"/>
  <c r="C79" i="9"/>
  <c r="B30" i="72"/>
  <c r="D14" i="53"/>
  <c r="B32" i="72" s="1"/>
  <c r="D123" i="9"/>
  <c r="D9" i="52" s="1"/>
  <c r="D8" i="52"/>
  <c r="M69" i="9" l="1"/>
  <c r="N69" i="9" s="1"/>
  <c r="C96" i="9"/>
  <c r="E96" i="9" s="1"/>
  <c r="E97" i="9" s="1"/>
  <c r="C80" i="9"/>
  <c r="E80" i="9" s="1"/>
  <c r="E81" i="9" s="1"/>
  <c r="C81" i="9" l="1"/>
  <c r="C97" i="9"/>
  <c r="D58" i="9" s="1"/>
  <c r="D56" i="9" s="1"/>
  <c r="M54" i="9" s="1"/>
  <c r="N57" i="9" s="1"/>
  <c r="P57"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<sst xmlns="http://schemas.openxmlformats.org/spreadsheetml/2006/main" count="7826" uniqueCount="3172">
  <si>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</si>
  <si>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</si>
  <si>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</si>
  <si>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</si>
  <si>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</si>
  <si>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</si>
  <si>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</si>
  <si>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</si>
  <si>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</si>
  <si>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</si>
  <si>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</si>
  <si>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</si>
  <si>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</si>
  <si>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</si>
  <si>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</si>
  <si>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</si>
  <si>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</si>
  <si>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</si>
  <si>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</si>
  <si>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</si>
  <si>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</si>
  <si>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</si>
  <si>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</si>
  <si>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</si>
  <si>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</si>
  <si>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</si>
  <si>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</si>
  <si>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</si>
  <si>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</si>
  <si>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</si>
  <si>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</si>
  <si>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</si>
  <si>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</si>
  <si>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</si>
  <si>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</si>
  <si>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</si>
  <si>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</si>
  <si>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</si>
  <si>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</si>
  <si>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</si>
  <si>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</si>
  <si>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</si>
  <si>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</si>
  <si>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</si>
  <si>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</si>
  <si>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</si>
  <si>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</si>
  <si>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</si>
  <si>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</si>
  <si>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</si>
  <si>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</si>
  <si>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</si>
  <si>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</si>
  <si>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</si>
  <si>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</si>
  <si>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</si>
  <si>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</si>
  <si>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</si>
  <si>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</si>
  <si>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</si>
  <si>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</si>
  <si>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</si>
  <si>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</si>
  <si>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</si>
  <si>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</si>
  <si>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</si>
  <si>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</si>
  <si>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</si>
  <si>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</si>
  <si>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</si>
  <si>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</si>
  <si>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</si>
  <si>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</si>
  <si>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</si>
  <si>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</si>
  <si>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</si>
  <si>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</si>
  <si>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</si>
  <si>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</si>
  <si>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</si>
  <si>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</si>
  <si>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</si>
  <si>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</si>
  <si>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</si>
  <si>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</si>
  <si>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</si>
  <si>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</si>
  <si>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</si>
  <si>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</si>
  <si>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</si>
  <si>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</si>
  <si>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</si>
  <si>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</si>
  <si>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</si>
  <si>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</si>
  <si>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</si>
  <si>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</si>
  <si>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</si>
  <si>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</si>
  <si>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</si>
  <si>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</si>
  <si>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</si>
  <si>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</si>
  <si>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</si>
  <si>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</si>
  <si>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</si>
  <si>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</si>
  <si>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</si>
  <si>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</si>
  <si>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</si>
  <si>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</si>
  <si>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</si>
  <si>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</si>
  <si>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</si>
  <si>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</si>
  <si>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</si>
  <si>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</si>
  <si>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</si>
  <si>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</si>
  <si>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</si>
  <si>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</si>
  <si>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</si>
  <si>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</si>
  <si>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</si>
  <si>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</si>
  <si>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</si>
  <si>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</si>
  <si>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</si>
  <si>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</si>
  <si>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</si>
  <si>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</si>
  <si>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</si>
  <si>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</si>
  <si>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</si>
  <si>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</si>
  <si>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</si>
  <si>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</si>
  <si>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</si>
  <si>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</si>
  <si>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</si>
  <si>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</si>
  <si>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</si>
  <si>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</si>
  <si>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</si>
  <si>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</si>
  <si>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</si>
  <si>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</si>
  <si>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</si>
  <si>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</si>
  <si>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</si>
  <si>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</si>
  <si>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</si>
  <si>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</si>
  <si>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</si>
  <si>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</si>
  <si>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</si>
  <si>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</si>
  <si>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</si>
  <si>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</si>
  <si>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</si>
  <si>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</si>
  <si>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</si>
  <si>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</si>
  <si>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</si>
  <si>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</si>
  <si>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</si>
  <si>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</si>
  <si>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</si>
  <si>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</si>
  <si>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</si>
  <si>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</si>
  <si>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</si>
  <si>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</si>
  <si>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</si>
  <si>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</si>
  <si>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</si>
  <si>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</si>
  <si>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</si>
  <si>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</si>
  <si>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</si>
  <si>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</si>
  <si>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</si>
  <si>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</si>
  <si>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</si>
  <si>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</si>
  <si>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</si>
  <si>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</si>
  <si>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</si>
  <si>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</si>
  <si>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</si>
  <si>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</si>
  <si>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</si>
  <si>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</si>
  <si>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</si>
  <si>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</si>
  <si>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</si>
  <si>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</si>
  <si>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</si>
  <si>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</si>
  <si>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</si>
  <si>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</si>
  <si>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</si>
  <si>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</si>
  <si>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</si>
  <si>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</si>
  <si>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</si>
  <si>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</si>
  <si>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</si>
  <si>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</si>
  <si>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</si>
  <si>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</si>
  <si>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</si>
  <si>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</si>
  <si>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</si>
  <si>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</si>
  <si>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</si>
  <si>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</si>
  <si>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</si>
  <si>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</si>
  <si>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</si>
  <si>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</si>
  <si>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</si>
  <si>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</si>
  <si>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</si>
  <si>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</si>
  <si>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</si>
  <si>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</si>
  <si>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</si>
  <si>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</si>
  <si>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</si>
  <si>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</si>
  <si>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</si>
  <si>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</si>
  <si>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</si>
  <si>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</si>
  <si>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</si>
  <si>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</si>
  <si>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</si>
  <si>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</si>
  <si>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</si>
  <si>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</si>
  <si>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</si>
  <si>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</si>
  <si>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</si>
  <si>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</si>
  <si>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</si>
  <si>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</si>
  <si>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</si>
  <si>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</si>
  <si>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</si>
  <si>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</si>
  <si>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</si>
  <si>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</si>
  <si>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</si>
  <si>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</si>
  <si>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</si>
  <si>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</si>
  <si>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</si>
  <si>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</si>
  <si>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</si>
  <si>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</si>
  <si>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</si>
  <si>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</si>
  <si>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</si>
  <si>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</si>
  <si>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</si>
  <si>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</si>
  <si>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</si>
  <si>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</si>
  <si>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</si>
  <si>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</si>
  <si>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</si>
  <si>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</si>
  <si>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</si>
  <si>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</si>
  <si>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</si>
  <si>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</si>
  <si>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</si>
  <si>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</si>
  <si>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</si>
  <si>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</si>
  <si>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</si>
  <si>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</si>
  <si>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</si>
  <si>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</si>
  <si>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</si>
  <si>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</si>
  <si>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</si>
  <si>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</si>
  <si>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</si>
  <si>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</si>
  <si>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</si>
  <si>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</si>
  <si>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</si>
  <si>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</si>
  <si>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</si>
  <si>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</si>
  <si>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</si>
  <si>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</si>
  <si>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</si>
  <si>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</si>
  <si>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</si>
  <si>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</si>
  <si>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</si>
  <si>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</si>
  <si>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</si>
  <si>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</si>
  <si>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</si>
  <si>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</si>
  <si>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</si>
  <si>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</si>
  <si>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</si>
  <si>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</si>
  <si>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</si>
  <si>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</si>
  <si>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</si>
  <si>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</si>
  <si>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</si>
  <si>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</si>
  <si>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</si>
  <si>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</si>
  <si>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</si>
  <si>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</si>
  <si>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</si>
  <si>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</si>
  <si>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</si>
  <si>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</si>
  <si>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</si>
  <si>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</si>
  <si>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</si>
  <si>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</si>
  <si>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</si>
  <si>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</si>
  <si>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</si>
  <si>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</si>
  <si>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</si>
  <si>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</si>
  <si>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</si>
  <si>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</si>
  <si>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</si>
  <si>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</si>
  <si>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</si>
  <si>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</si>
  <si>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</si>
  <si>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</si>
  <si>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</si>
  <si>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</si>
  <si>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</si>
  <si>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</si>
  <si>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</si>
  <si>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</si>
  <si>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</si>
  <si>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</si>
  <si>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</si>
  <si>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</si>
  <si>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</si>
  <si>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</si>
  <si>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</si>
  <si>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</si>
  <si>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</si>
  <si>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</si>
  <si>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</si>
  <si>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</si>
  <si>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</si>
  <si>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</si>
  <si>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</si>
  <si>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</si>
  <si>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</si>
  <si>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</si>
  <si>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</si>
  <si>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</si>
  <si>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</si>
  <si>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</si>
  <si>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</si>
  <si>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</si>
  <si>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</si>
  <si>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</si>
  <si>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</si>
  <si>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</si>
  <si>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</si>
  <si>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</si>
  <si>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</si>
  <si>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</si>
  <si>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</si>
  <si>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</si>
  <si>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</si>
  <si>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</si>
  <si>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</si>
  <si>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</si>
  <si>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</si>
  <si>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</si>
  <si>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</si>
  <si>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</si>
  <si>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</si>
  <si>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</si>
  <si>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</si>
  <si>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</si>
  <si>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</si>
  <si>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</si>
  <si>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</si>
  <si>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</si>
  <si>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</si>
  <si>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</si>
  <si>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</si>
  <si>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</si>
  <si>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</si>
  <si>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</si>
  <si>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</si>
  <si>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</si>
  <si>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</si>
  <si>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</si>
  <si>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</si>
  <si>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</si>
  <si>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</si>
  <si>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</si>
  <si>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</si>
  <si>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</si>
  <si>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</si>
  <si>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</si>
  <si>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</si>
  <si>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</si>
  <si>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</si>
  <si>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</si>
  <si>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</si>
  <si>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</si>
  <si>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</si>
  <si>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</si>
  <si>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</si>
  <si>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</si>
  <si>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</si>
  <si>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</si>
  <si>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</si>
  <si>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</si>
  <si>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</si>
  <si>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</si>
  <si>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</si>
  <si>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</si>
  <si>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</si>
  <si>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</si>
  <si>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</si>
  <si>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</si>
  <si>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</si>
  <si>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</si>
  <si>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</si>
  <si>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</si>
  <si>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</si>
  <si>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</si>
  <si>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</si>
  <si>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</si>
  <si>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</si>
  <si>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</si>
  <si>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</si>
  <si>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</si>
  <si>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</si>
  <si>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</si>
  <si>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</si>
  <si>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</si>
  <si>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</si>
  <si>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</si>
  <si>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</si>
  <si>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</si>
  <si>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</si>
  <si>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</si>
  <si>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</si>
  <si>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</si>
  <si>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</si>
  <si>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</si>
  <si>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</si>
  <si>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</si>
  <si>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</si>
  <si>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</si>
  <si>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</si>
  <si>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</si>
  <si>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</si>
  <si>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</si>
  <si>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</si>
  <si>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</si>
  <si>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</si>
  <si>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</si>
  <si>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</si>
  <si>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</si>
  <si>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</si>
  <si>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</si>
  <si>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</si>
  <si>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</si>
  <si>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</si>
  <si>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</si>
  <si>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</si>
  <si>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</si>
  <si>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</si>
  <si>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</si>
  <si>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</si>
  <si>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</si>
  <si>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</si>
  <si>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</si>
  <si>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</si>
  <si>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</si>
  <si>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</si>
  <si>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</si>
  <si>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</si>
  <si>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</si>
  <si>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</si>
  <si>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</si>
  <si>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</si>
  <si>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</si>
  <si>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</si>
  <si>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</si>
  <si>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</si>
  <si>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</si>
  <si>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</si>
  <si>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</si>
  <si>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</si>
  <si>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</si>
  <si>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</si>
  <si>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</si>
  <si>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</si>
  <si>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</si>
  <si>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</si>
  <si>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</si>
  <si>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</si>
  <si>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</si>
  <si>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</si>
  <si>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</si>
  <si>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</si>
  <si>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</si>
  <si>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</si>
  <si>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</si>
  <si>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</si>
  <si>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</si>
  <si>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</si>
  <si>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</si>
  <si>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</si>
  <si>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</si>
  <si>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</si>
  <si>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</si>
  <si>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</si>
  <si>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</si>
  <si>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</si>
  <si>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</si>
  <si>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</si>
  <si>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</si>
  <si>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</si>
  <si>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</si>
  <si>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</si>
  <si>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</si>
  <si>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</si>
  <si>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</si>
  <si>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</si>
  <si>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</si>
  <si>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</si>
  <si>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</si>
  <si>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</si>
  <si>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</si>
  <si>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</si>
  <si>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</si>
  <si>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</si>
  <si>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</si>
  <si>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</si>
  <si>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</si>
  <si>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</si>
  <si>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</si>
  <si>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</si>
  <si>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</si>
  <si>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</si>
  <si>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</si>
  <si>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</si>
  <si>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</si>
  <si>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</si>
  <si>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</si>
  <si>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</si>
  <si>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</si>
  <si>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</si>
  <si>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</si>
  <si>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</si>
  <si>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</si>
  <si>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</si>
  <si>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</si>
  <si>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</si>
  <si>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</si>
  <si>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</si>
  <si>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</si>
  <si>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</si>
  <si>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</si>
  <si>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</si>
  <si>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</si>
  <si>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</si>
  <si>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</si>
  <si>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</si>
  <si>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</si>
  <si>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</si>
  <si>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</si>
  <si>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</si>
  <si>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</si>
  <si>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</si>
  <si>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</si>
  <si>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</si>
  <si>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</si>
  <si>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</si>
  <si>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</si>
  <si>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</si>
  <si>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</si>
  <si>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</si>
  <si>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</si>
  <si>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</si>
  <si>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</si>
  <si>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</si>
  <si>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</si>
  <si>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</si>
  <si>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</si>
  <si>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</si>
  <si>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</si>
  <si>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</si>
  <si>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</si>
  <si>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</si>
  <si>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</si>
  <si>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</si>
  <si>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</si>
  <si>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</si>
  <si>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</si>
  <si>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</si>
  <si>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</si>
  <si>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</si>
  <si>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</si>
  <si>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</si>
  <si>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</si>
  <si>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</si>
  <si>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</si>
  <si>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</si>
  <si>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</si>
  <si>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</si>
  <si>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</si>
  <si>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</si>
  <si>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</si>
  <si>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</si>
  <si>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</si>
  <si>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</si>
  <si>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</si>
  <si>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</si>
  <si>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</si>
  <si>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</si>
  <si>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</si>
  <si>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</si>
  <si>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</si>
  <si>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</si>
  <si>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</si>
  <si>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</si>
  <si>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</si>
  <si>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</si>
  <si>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</si>
  <si>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</si>
  <si>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</si>
  <si>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</si>
  <si>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</si>
  <si>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</si>
  <si>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</si>
  <si>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</si>
  <si>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</si>
  <si>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</si>
  <si>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</si>
  <si>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</si>
  <si>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</si>
  <si>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</si>
  <si>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</si>
  <si>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</si>
  <si>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</si>
  <si>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</si>
  <si>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</si>
  <si>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</si>
  <si>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</si>
  <si>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</si>
  <si>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</si>
  <si>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</si>
  <si>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</si>
  <si>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</si>
  <si>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</si>
  <si>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</si>
  <si>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</si>
  <si>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</si>
  <si>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</si>
  <si>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</si>
  <si>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</si>
  <si>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</si>
  <si>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</si>
  <si>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</si>
  <si>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</si>
  <si>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</si>
  <si>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</si>
  <si>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</si>
  <si>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</si>
  <si>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</si>
  <si>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</si>
  <si>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</si>
  <si>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</si>
  <si>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</si>
  <si>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</si>
  <si>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</si>
  <si>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</si>
  <si>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</si>
  <si>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</si>
  <si>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</si>
  <si>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</si>
  <si>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</si>
  <si>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</si>
  <si>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</si>
  <si>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</si>
  <si>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</si>
  <si>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</si>
  <si>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</si>
  <si>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</si>
  <si>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</si>
  <si>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</si>
  <si>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</si>
  <si>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</si>
  <si>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</si>
  <si>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</si>
  <si>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</si>
  <si>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</si>
  <si>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</si>
  <si>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</si>
  <si>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</si>
  <si>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</si>
  <si>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</si>
  <si>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</si>
  <si>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</si>
  <si>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</si>
  <si>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</si>
  <si>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</si>
  <si>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</si>
  <si>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</si>
  <si>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</si>
  <si>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</si>
  <si>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</si>
  <si>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</si>
  <si>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</si>
  <si>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</si>
  <si>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</si>
  <si>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</si>
  <si>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</si>
  <si>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</si>
  <si>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</si>
  <si>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</si>
  <si>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</si>
  <si>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</si>
  <si>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</si>
  <si>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</si>
  <si>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</si>
  <si>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</si>
  <si>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</si>
  <si>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</si>
  <si>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</si>
  <si>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</si>
  <si>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</si>
  <si>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</si>
  <si>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</si>
  <si>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</si>
  <si>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</si>
  <si>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</si>
  <si>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</si>
  <si>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</si>
  <si>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</si>
  <si>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</si>
  <si>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</si>
  <si>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</si>
  <si>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</si>
  <si>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</si>
  <si>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</si>
  <si>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</si>
  <si>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</si>
  <si>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</si>
  <si>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</si>
  <si>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</si>
  <si>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</si>
  <si>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</si>
  <si>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</si>
  <si>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</si>
  <si>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</si>
  <si>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</si>
  <si>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</si>
  <si>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</si>
  <si>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</si>
  <si>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</si>
  <si>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</si>
  <si>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</si>
  <si>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</si>
  <si>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</si>
  <si>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</si>
  <si>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</si>
  <si>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</si>
  <si>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</si>
  <si>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</si>
  <si>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</si>
  <si>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</si>
  <si>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</si>
  <si>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</si>
  <si>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</si>
  <si>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</si>
  <si>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</si>
  <si>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</si>
  <si>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</si>
  <si>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</si>
  <si>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</si>
  <si>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</si>
  <si>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</si>
  <si>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</si>
  <si>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</si>
  <si>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</si>
  <si>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</si>
  <si>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</si>
  <si>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</si>
  <si>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</si>
  <si>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</si>
  <si>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</si>
  <si>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</si>
  <si>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</si>
  <si>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</si>
  <si>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</si>
  <si>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</si>
  <si>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</si>
  <si>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</si>
  <si>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</si>
  <si>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</si>
  <si>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</si>
  <si>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</si>
  <si>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</si>
  <si>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</si>
  <si>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</si>
  <si>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</si>
  <si>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</si>
  <si>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</si>
  <si>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</si>
  <si>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</si>
  <si>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</si>
  <si>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</si>
  <si>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</si>
  <si>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</si>
  <si>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</si>
  <si>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</si>
  <si>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</si>
  <si>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</si>
  <si>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</si>
  <si>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</si>
  <si>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</si>
  <si>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</si>
  <si>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</si>
  <si>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</si>
  <si>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</si>
  <si>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</si>
  <si>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</si>
  <si>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</si>
  <si>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</si>
  <si>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</si>
  <si>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</si>
  <si>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</si>
  <si>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</si>
  <si>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</si>
  <si>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</si>
  <si>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</si>
  <si>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</si>
  <si>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</si>
  <si>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</si>
  <si>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</si>
  <si>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</si>
  <si>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</si>
  <si>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</si>
  <si>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</si>
  <si>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</si>
  <si>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</si>
  <si>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</si>
  <si>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</si>
  <si>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</si>
  <si>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</si>
  <si>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</si>
  <si>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</si>
  <si>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</si>
  <si>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</si>
  <si>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</si>
  <si>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</si>
  <si>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</si>
  <si>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</si>
  <si>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</si>
  <si>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</si>
  <si>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</si>
  <si>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</si>
  <si>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</si>
  <si>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</si>
  <si>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</si>
  <si>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</si>
  <si>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</si>
  <si>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</si>
  <si>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</si>
  <si>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</si>
  <si>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</si>
  <si>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</si>
  <si>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</si>
  <si>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</si>
  <si>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</si>
  <si>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</si>
  <si>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</si>
  <si>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</si>
  <si>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</si>
  <si>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</si>
  <si>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</si>
  <si>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</si>
  <si>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</si>
  <si>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</si>
  <si>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</si>
  <si>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</si>
  <si>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</si>
  <si>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</si>
  <si>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</si>
  <si>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</si>
  <si>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</si>
  <si>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</si>
  <si>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</si>
  <si>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</si>
  <si>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</si>
  <si>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</si>
  <si>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</si>
  <si>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</si>
  <si>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</si>
  <si>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</si>
  <si>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</si>
  <si>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</si>
  <si>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</si>
  <si>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</si>
  <si>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</si>
  <si>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</si>
  <si>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</si>
  <si>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</si>
  <si>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</si>
  <si>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</si>
  <si>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</si>
  <si>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</si>
  <si>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</si>
  <si>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</si>
  <si>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</si>
  <si>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</si>
  <si>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</si>
  <si>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</si>
  <si>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</si>
  <si>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</si>
  <si>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</si>
  <si>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</si>
  <si>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</si>
  <si>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</si>
  <si>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</si>
  <si>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</si>
  <si>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</si>
  <si>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</si>
  <si>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</si>
  <si>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</si>
  <si>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</si>
  <si>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</si>
  <si>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</si>
  <si>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</si>
  <si>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</si>
  <si>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</si>
  <si>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</si>
  <si>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</si>
  <si>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</si>
  <si>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</si>
  <si>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</si>
  <si>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</si>
  <si>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</si>
  <si>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</si>
  <si>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</si>
  <si>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</si>
  <si>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</si>
  <si>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</si>
  <si>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</si>
  <si>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</si>
  <si>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</si>
  <si>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</si>
  <si>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</si>
  <si>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</si>
  <si>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</si>
  <si>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</si>
  <si>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</si>
  <si>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</si>
  <si>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</si>
  <si>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</si>
  <si>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</si>
  <si>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</si>
  <si>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</si>
  <si>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</si>
  <si>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</si>
  <si>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</si>
  <si>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</si>
  <si>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</si>
  <si>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</si>
  <si>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</si>
  <si>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</si>
  <si>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</si>
  <si>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</si>
  <si>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</si>
  <si>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</si>
  <si>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</si>
  <si>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</si>
  <si>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</si>
  <si>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</si>
  <si>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</si>
  <si>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</si>
  <si>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</si>
  <si>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</si>
  <si>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</si>
  <si>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</si>
  <si>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</si>
  <si>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</si>
  <si>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</si>
  <si>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</si>
  <si>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</si>
  <si>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</si>
  <si>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</si>
  <si>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</si>
  <si>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</si>
  <si>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</si>
  <si>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</si>
  <si>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</si>
  <si>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</si>
  <si>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</si>
  <si>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</si>
  <si>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</si>
  <si>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</si>
  <si>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</si>
  <si>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</si>
  <si>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</si>
  <si>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</si>
  <si>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</si>
  <si>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</si>
  <si>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</si>
  <si>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</si>
  <si>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</si>
  <si>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</si>
  <si>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</si>
  <si>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</si>
  <si>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</si>
  <si>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</si>
  <si>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</si>
  <si>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</si>
  <si>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</si>
  <si>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</si>
  <si>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</si>
  <si>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</si>
  <si>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</si>
  <si>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</si>
  <si>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</si>
  <si>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</si>
  <si>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</si>
  <si>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</si>
  <si>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</si>
  <si>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</si>
  <si>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</si>
  <si>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</si>
  <si>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</si>
  <si>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</si>
  <si>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</si>
  <si>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</si>
  <si>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</si>
  <si>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</si>
  <si>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</si>
  <si>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</si>
  <si>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</si>
  <si>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</si>
  <si>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</si>
  <si>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</si>
  <si>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</si>
  <si>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</si>
  <si>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</si>
  <si>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</si>
  <si>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</si>
  <si>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</si>
  <si>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</si>
  <si>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</si>
  <si>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</si>
  <si>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</si>
  <si>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</si>
  <si>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</si>
  <si>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</si>
  <si>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</si>
  <si>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</si>
  <si>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</si>
  <si>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</si>
  <si>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</si>
  <si>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</si>
  <si>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</si>
  <si>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</si>
  <si>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</si>
  <si>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</si>
  <si>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</si>
  <si>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</si>
  <si>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</si>
  <si>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</si>
  <si>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</si>
  <si>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</si>
  <si>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</si>
  <si>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</si>
  <si>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</si>
  <si>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</si>
  <si>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</si>
  <si>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</si>
  <si>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</si>
  <si>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</si>
  <si>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</si>
  <si>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</si>
  <si>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</si>
  <si>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</si>
  <si>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</si>
  <si>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</si>
  <si>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</si>
  <si>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</si>
  <si>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</si>
  <si>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</si>
  <si>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</si>
  <si>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</si>
  <si>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</si>
  <si>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</si>
  <si>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</si>
  <si>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</si>
  <si>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</si>
  <si>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</si>
  <si>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</si>
  <si>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</si>
  <si>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</si>
  <si>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</si>
  <si>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</si>
  <si>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</si>
  <si>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</si>
  <si>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</si>
  <si>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</si>
  <si>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</si>
  <si>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</si>
  <si>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</si>
  <si>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</si>
  <si>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</si>
  <si>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</si>
  <si>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</si>
  <si>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</si>
  <si>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</si>
  <si>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</si>
  <si>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</si>
  <si>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</si>
  <si>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</si>
  <si>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</si>
  <si>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</si>
  <si>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</si>
  <si>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</si>
  <si>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</si>
  <si>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</si>
  <si>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</si>
  <si>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</si>
  <si>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</si>
  <si>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</si>
  <si>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</si>
  <si>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</si>
  <si>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</si>
  <si>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</si>
  <si>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</si>
  <si>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</si>
  <si>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</si>
  <si>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</si>
  <si>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</si>
  <si>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</si>
  <si>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</si>
  <si>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</si>
  <si>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</si>
  <si>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</si>
  <si>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</si>
  <si>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</si>
  <si>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</si>
  <si>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</si>
  <si>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</si>
  <si>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</si>
  <si>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</si>
  <si>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</si>
  <si>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</si>
  <si>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</si>
  <si>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</si>
  <si>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</si>
  <si>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</si>
  <si>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</si>
  <si>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</si>
  <si>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</si>
  <si>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</si>
  <si>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</si>
  <si>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</si>
  <si>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</si>
  <si>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</si>
  <si>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</si>
  <si>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</si>
  <si>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</si>
  <si>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</si>
  <si>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</si>
  <si>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</si>
  <si>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</si>
  <si>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</si>
  <si>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</si>
  <si>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</si>
  <si>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</si>
  <si>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</si>
  <si>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</si>
  <si>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</si>
  <si>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</si>
  <si>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</si>
  <si>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</si>
  <si>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</si>
  <si>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</si>
  <si>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</si>
  <si>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</si>
  <si>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</si>
  <si>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</si>
  <si>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</si>
  <si>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</si>
  <si>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</si>
  <si>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</si>
  <si>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</si>
  <si>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</si>
  <si>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</si>
  <si>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</si>
  <si>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</si>
  <si>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</si>
  <si>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</si>
  <si>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</si>
  <si>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</si>
  <si>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</si>
  <si>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</si>
  <si>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</si>
  <si>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</si>
  <si>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</si>
  <si>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</si>
  <si>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</si>
  <si>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</si>
  <si>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</si>
  <si>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</si>
  <si>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</si>
  <si>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</si>
  <si>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</si>
  <si>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</si>
  <si>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</si>
  <si>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</si>
  <si>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</si>
  <si>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</si>
  <si>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</si>
  <si>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</si>
  <si>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</si>
  <si>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</si>
  <si>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</si>
  <si>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</si>
  <si>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</si>
  <si>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</si>
  <si>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</si>
  <si>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</si>
  <si>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</si>
  <si>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</si>
  <si>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</si>
  <si>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</si>
  <si>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</si>
  <si>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</si>
  <si>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</si>
  <si>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</si>
  <si>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</si>
  <si>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</si>
  <si>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</si>
  <si>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</si>
  <si>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</si>
  <si>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</si>
  <si>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</si>
  <si>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</si>
  <si>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</si>
  <si>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</si>
  <si>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</si>
  <si>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</si>
  <si>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</si>
  <si>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</si>
  <si>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</si>
  <si>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</si>
  <si>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</si>
  <si>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</si>
  <si>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</si>
  <si>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</si>
  <si>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</si>
  <si>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</si>
  <si>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</si>
  <si>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</si>
  <si>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</si>
  <si>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</si>
  <si>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</si>
  <si>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</si>
  <si>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</si>
  <si>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</si>
  <si>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</si>
  <si>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</si>
  <si>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</si>
  <si>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</si>
  <si>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</si>
  <si>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</si>
  <si>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</si>
  <si>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</si>
  <si>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</si>
  <si>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</si>
  <si>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</si>
  <si>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</si>
  <si>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</si>
  <si>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</si>
  <si>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</si>
  <si>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</si>
  <si>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</si>
  <si>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</si>
  <si>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</si>
  <si>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</si>
  <si>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</si>
  <si>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</si>
  <si>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</si>
  <si>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</si>
  <si>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</si>
  <si>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</si>
  <si>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</si>
  <si>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</si>
  <si>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</si>
  <si>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</si>
  <si>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</si>
  <si>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</si>
  <si>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</si>
  <si>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</si>
  <si>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</si>
  <si>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</si>
  <si>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</si>
  <si>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</si>
  <si>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</si>
  <si>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</si>
  <si>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</si>
  <si>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</si>
  <si>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</si>
  <si>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</si>
  <si>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</si>
  <si>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</si>
  <si>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</si>
  <si>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</si>
  <si>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</si>
  <si>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</si>
  <si>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</si>
  <si>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</si>
  <si>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</si>
  <si>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</si>
  <si>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</si>
  <si>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</si>
  <si>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</si>
  <si>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</si>
  <si>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</si>
  <si>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</si>
  <si>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</si>
  <si>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</si>
  <si>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</si>
  <si>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</si>
  <si>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</si>
  <si>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</si>
  <si>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</si>
  <si>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</si>
  <si>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</si>
  <si>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</si>
  <si>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</si>
  <si>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</si>
  <si>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</si>
  <si>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</si>
  <si>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</si>
  <si>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</si>
  <si>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</si>
  <si>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</si>
  <si>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</si>
  <si>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</si>
  <si>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</si>
  <si>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</si>
  <si>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</si>
  <si>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</si>
  <si>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</si>
  <si>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</si>
  <si>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</si>
  <si>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</si>
  <si>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</si>
  <si>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</si>
  <si>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</si>
  <si>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</si>
  <si>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</si>
  <si>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</si>
  <si>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</si>
  <si>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</si>
  <si>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</si>
  <si>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</si>
  <si>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</si>
  <si>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</si>
  <si>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</si>
  <si>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</si>
  <si>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</si>
  <si>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</si>
  <si>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</si>
  <si>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</si>
  <si>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</si>
  <si>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</si>
  <si>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</si>
  <si>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</si>
  <si>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</si>
  <si>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</si>
  <si>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</si>
  <si>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</si>
  <si>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</si>
  <si>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</si>
  <si>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</si>
  <si>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</si>
  <si>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</si>
  <si>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</si>
  <si>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</si>
  <si>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</si>
  <si>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</si>
  <si>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</si>
  <si>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</si>
  <si>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</si>
  <si>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</si>
  <si>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</si>
  <si>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</si>
  <si>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</si>
  <si>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</si>
  <si>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</si>
  <si>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</si>
  <si>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</si>
  <si>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</si>
  <si>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</si>
  <si>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</si>
  <si>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</si>
  <si>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</si>
  <si>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</si>
  <si>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</si>
  <si>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</si>
  <si>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</si>
  <si>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</si>
  <si>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</si>
  <si>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</si>
  <si>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</si>
  <si>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</si>
  <si>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</si>
  <si>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</si>
  <si>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</si>
  <si>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</si>
  <si>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</si>
  <si>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</si>
  <si>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</si>
  <si>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</si>
  <si>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</si>
  <si>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</si>
  <si>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</si>
  <si>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</si>
  <si>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</si>
  <si>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</si>
  <si>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</si>
  <si>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</si>
  <si>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</si>
  <si>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</si>
  <si>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</si>
  <si>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</si>
  <si>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</si>
  <si>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</si>
  <si>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</si>
  <si>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</si>
  <si>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</si>
  <si>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</si>
  <si>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</si>
  <si>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</si>
  <si>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</si>
  <si>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</si>
  <si>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</si>
  <si>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</si>
  <si>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</si>
  <si>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</si>
  <si>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</si>
  <si>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</si>
  <si>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</si>
  <si>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</si>
  <si>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</si>
  <si>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</si>
  <si>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</si>
  <si>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</si>
  <si>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</si>
  <si>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</si>
  <si>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</si>
  <si>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</si>
  <si>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</si>
  <si>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</si>
  <si>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</si>
  <si>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</si>
  <si>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</si>
  <si>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</si>
  <si>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</si>
  <si>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</si>
  <si>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</si>
  <si>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</si>
  <si>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</si>
  <si>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</si>
  <si>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</si>
  <si>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</si>
  <si>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</si>
  <si>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</si>
  <si>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</si>
  <si>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</si>
  <si>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</si>
  <si>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</si>
  <si>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</si>
  <si>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</si>
  <si>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</si>
  <si>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</si>
  <si>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</si>
  <si>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</si>
  <si>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</si>
  <si>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</si>
  <si>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</si>
  <si>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</si>
  <si>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</si>
  <si>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</si>
  <si>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</si>
  <si>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</si>
  <si>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</si>
  <si>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</si>
  <si>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</si>
  <si>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</si>
  <si>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</si>
  <si>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</si>
  <si>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</si>
  <si>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</si>
  <si>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</si>
  <si>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</si>
  <si>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</si>
  <si>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</si>
  <si>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</si>
  <si>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</si>
  <si>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</si>
  <si>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</si>
  <si>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</si>
  <si>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</si>
  <si>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</si>
  <si>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</si>
  <si>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</si>
  <si>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</si>
  <si>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</si>
  <si>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</si>
  <si>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</si>
  <si>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</si>
  <si>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</si>
  <si>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</si>
  <si>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</si>
  <si>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</si>
  <si>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</si>
  <si>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</si>
  <si>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</si>
  <si>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</si>
  <si>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</si>
  <si>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</si>
  <si>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</si>
  <si>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</si>
  <si>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</si>
  <si>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</si>
  <si>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</si>
  <si>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</si>
  <si>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</si>
  <si>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</si>
  <si>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</si>
  <si>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</si>
  <si>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</si>
  <si>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</si>
  <si>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</si>
  <si>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</si>
  <si>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</si>
  <si>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</si>
  <si>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</si>
  <si>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</si>
  <si>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</si>
  <si>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</si>
  <si>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</si>
  <si>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</si>
  <si>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</si>
  <si>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</si>
  <si>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</si>
  <si>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</si>
  <si>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</si>
  <si>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</si>
  <si>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</si>
  <si>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</si>
  <si>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</si>
  <si>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</si>
  <si>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</si>
  <si>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</si>
  <si>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</si>
  <si>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</si>
  <si>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</si>
  <si>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</si>
  <si>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</si>
  <si>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</si>
  <si>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</si>
  <si>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</si>
  <si>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</si>
  <si>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</si>
  <si>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</si>
  <si>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</si>
  <si>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</si>
  <si>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</si>
  <si>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</si>
  <si>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</si>
  <si>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</si>
  <si>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</si>
  <si>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</si>
  <si>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</si>
  <si>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</si>
  <si>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</si>
  <si>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</si>
  <si>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</si>
  <si>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</si>
  <si>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</si>
  <si>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</si>
  <si>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</si>
  <si>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</si>
  <si>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</si>
  <si>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</si>
  <si>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</si>
  <si>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</si>
  <si>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</si>
  <si>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</si>
  <si>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</si>
  <si>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</si>
  <si>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</si>
  <si>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</si>
  <si>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</si>
  <si>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</si>
  <si>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</si>
  <si>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</si>
  <si>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</si>
  <si>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</si>
  <si>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</si>
  <si>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</si>
  <si>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</si>
  <si>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</si>
  <si>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</si>
  <si>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</si>
  <si>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</si>
  <si>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</si>
  <si>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</si>
  <si>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</si>
  <si>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</si>
  <si>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</si>
  <si>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</si>
  <si>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</si>
  <si>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</si>
  <si>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</si>
  <si>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</si>
  <si>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</si>
  <si>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</si>
  <si>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</si>
  <si>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</si>
  <si>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</si>
  <si>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</si>
  <si>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</si>
  <si>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</si>
  <si>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</si>
  <si>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</si>
  <si>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</si>
  <si>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</si>
  <si>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</si>
  <si>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</si>
  <si>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</si>
  <si>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</si>
  <si>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</si>
  <si>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</si>
  <si>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</si>
  <si>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</si>
  <si>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</si>
  <si>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</si>
  <si>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</si>
  <si>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</si>
  <si>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</si>
  <si>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</si>
  <si>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</si>
  <si>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</si>
  <si>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</si>
  <si>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</si>
  <si>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</si>
  <si>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</si>
  <si>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</si>
  <si>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</si>
  <si>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</si>
  <si>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</si>
  <si>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</si>
  <si>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</si>
  <si>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</si>
  <si>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</si>
  <si>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</si>
  <si>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</si>
  <si>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</si>
  <si>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</si>
  <si>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</si>
  <si>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</si>
  <si>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</si>
  <si>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</si>
  <si>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</si>
  <si>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</si>
  <si>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</si>
  <si>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</si>
  <si>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</si>
  <si>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</si>
  <si>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</si>
  <si>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</si>
  <si>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</si>
  <si>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</si>
  <si>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</si>
  <si>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</si>
  <si>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</si>
  <si>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</si>
  <si>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</si>
  <si>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</si>
  <si>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</si>
  <si>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</si>
  <si>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</si>
  <si>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</si>
  <si>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</si>
  <si>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</si>
  <si>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</si>
  <si>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</si>
  <si>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</si>
  <si>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</si>
  <si>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</si>
  <si>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</si>
  <si>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</si>
  <si>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</si>
  <si>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</si>
  <si>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</si>
  <si>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</si>
  <si>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</si>
  <si>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</si>
  <si>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</si>
  <si>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</si>
  <si>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</si>
  <si>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</si>
  <si>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</si>
  <si>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</si>
  <si>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</si>
  <si>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</si>
  <si>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</si>
  <si>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</si>
  <si>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</si>
  <si>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</si>
  <si>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</si>
  <si>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</si>
  <si>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</si>
  <si>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</si>
  <si>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</si>
  <si>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</si>
  <si>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</si>
  <si>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</si>
  <si>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</si>
  <si>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</si>
  <si>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</si>
  <si>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</si>
  <si>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</si>
  <si>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</si>
  <si>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</si>
  <si>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</si>
  <si>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</si>
  <si>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</si>
  <si>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</si>
  <si>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</si>
  <si>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</si>
  <si>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</si>
  <si>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</si>
  <si>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</si>
  <si>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</si>
  <si>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</si>
  <si>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</si>
  <si>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</si>
  <si>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</si>
  <si>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</si>
  <si>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</si>
  <si>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</si>
  <si>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</si>
  <si>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</si>
  <si>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</si>
  <si>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</si>
  <si>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</si>
  <si>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</si>
  <si>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</si>
  <si>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</si>
  <si>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</si>
  <si>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</si>
  <si>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</si>
  <si>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</si>
  <si>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</si>
  <si>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</si>
  <si>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</si>
  <si>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</si>
  <si>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</si>
  <si>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</si>
  <si>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</si>
  <si>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</si>
  <si>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</si>
  <si>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</si>
  <si>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</si>
  <si>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</si>
  <si>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</si>
  <si>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</si>
  <si>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</si>
  <si>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</si>
  <si>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</si>
  <si>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</si>
  <si>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</si>
  <si>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</si>
  <si>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</si>
  <si>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</si>
  <si>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</si>
  <si>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</si>
  <si>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</si>
  <si>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</si>
  <si>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</si>
  <si>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</si>
  <si>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</si>
  <si>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</si>
  <si>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</si>
  <si>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</si>
  <si>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</si>
  <si>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</si>
  <si>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</si>
  <si>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</si>
  <si>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</si>
  <si>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</si>
  <si>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</si>
  <si>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</si>
  <si>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</si>
  <si>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</si>
  <si>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</si>
  <si>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</si>
  <si>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</si>
  <si>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</si>
  <si>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</si>
  <si>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</si>
  <si>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</si>
  <si>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</si>
  <si>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</si>
  <si>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</si>
  <si>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</si>
  <si>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</si>
  <si>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</si>
  <si>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</si>
  <si>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</si>
  <si>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</si>
  <si>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</si>
  <si>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</si>
  <si>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</si>
  <si>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</si>
  <si>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</si>
  <si>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</si>
  <si>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</si>
  <si>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</si>
  <si>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</si>
  <si>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</si>
  <si>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</si>
  <si>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</si>
  <si>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</si>
  <si>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</si>
  <si>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</si>
  <si>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</si>
  <si>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</si>
  <si>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</si>
  <si>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</si>
  <si>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</si>
  <si>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</si>
  <si>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</si>
  <si>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</si>
  <si>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</si>
  <si>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</si>
  <si>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</si>
  <si>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</si>
  <si>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</si>
  <si>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</si>
  <si>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</si>
  <si>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</si>
  <si>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</si>
  <si>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</si>
  <si>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</si>
  <si>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</si>
  <si>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</si>
  <si>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</si>
  <si>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</si>
  <si>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</si>
  <si>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</si>
  <si>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</si>
  <si>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</si>
  <si>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</si>
  <si>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</si>
  <si>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</si>
  <si>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</si>
  <si>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</si>
  <si>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</si>
  <si>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</si>
  <si>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</si>
  <si>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</si>
  <si>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</si>
  <si>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</si>
  <si>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</si>
  <si>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</si>
  <si>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</si>
  <si>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</si>
  <si>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</si>
  <si>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</si>
  <si>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</si>
  <si>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</si>
  <si>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</si>
  <si>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</si>
  <si>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</si>
  <si>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</si>
  <si>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</si>
  <si>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</si>
  <si>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</si>
  <si>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</si>
  <si>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</si>
  <si>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</si>
  <si>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</si>
  <si>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</si>
  <si>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</si>
  <si>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</si>
  <si>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</si>
  <si>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</si>
  <si>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</si>
  <si>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</si>
  <si>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</si>
  <si>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</si>
  <si>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</si>
  <si>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</si>
  <si>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</si>
  <si>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</si>
  <si>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</si>
  <si>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</si>
  <si>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</si>
  <si>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</si>
  <si>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</si>
  <si>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</si>
  <si>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</si>
  <si>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</si>
  <si>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</si>
  <si>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</si>
  <si>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</si>
  <si>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</si>
  <si>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</si>
  <si>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</si>
  <si>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</si>
  <si>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</si>
  <si>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</si>
  <si>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</si>
  <si>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</si>
  <si>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</si>
  <si>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</si>
  <si>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</si>
  <si>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</si>
  <si>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</si>
  <si>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</si>
  <si>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</si>
  <si>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</si>
  <si>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</si>
  <si>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</si>
  <si>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</si>
  <si>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</si>
  <si>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</si>
  <si>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</si>
  <si>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</si>
  <si>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</si>
  <si>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</si>
  <si>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</si>
  <si>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</si>
  <si>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</si>
  <si>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</si>
  <si>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</si>
  <si>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</si>
  <si>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</si>
  <si>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</si>
  <si>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</si>
  <si>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</si>
  <si>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</si>
  <si>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</si>
  <si>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</si>
  <si>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</si>
  <si>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</si>
  <si>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</si>
  <si>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</si>
  <si>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</si>
  <si>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</si>
  <si>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</si>
  <si>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</si>
  <si>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</si>
  <si>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</si>
  <si>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</si>
  <si>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</si>
  <si>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</si>
  <si>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</si>
  <si>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</si>
  <si>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</si>
  <si>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</si>
  <si>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</si>
  <si>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</si>
  <si>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</si>
  <si>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</si>
  <si>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</si>
  <si>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</si>
  <si>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</si>
  <si>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</si>
  <si>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</si>
  <si>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</si>
  <si>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</si>
  <si>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</si>
  <si>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</si>
  <si>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</si>
  <si>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</si>
  <si>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</si>
  <si>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</si>
  <si>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</si>
  <si>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</si>
  <si>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</si>
  <si>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</si>
  <si>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</si>
  <si>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</si>
  <si>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</si>
  <si>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</si>
  <si>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</si>
  <si>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</si>
  <si>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</si>
  <si>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</si>
  <si>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</si>
  <si>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</si>
  <si>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</si>
  <si>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</si>
  <si>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</si>
  <si>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</si>
  <si>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</si>
  <si>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</si>
  <si>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</si>
  <si>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</si>
  <si>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</si>
  <si>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</si>
  <si>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</si>
  <si>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</si>
  <si>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</si>
  <si>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</si>
  <si>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</si>
  <si>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</si>
  <si>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</si>
  <si>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</si>
  <si>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</si>
  <si>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</si>
  <si>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</si>
  <si>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</si>
  <si>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</si>
  <si>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</si>
  <si>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</si>
  <si>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</si>
  <si>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</si>
  <si>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</si>
  <si>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</si>
  <si>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</si>
  <si>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</si>
  <si>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</si>
  <si>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</si>
  <si>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</si>
  <si>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</si>
  <si>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</si>
  <si>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</si>
  <si>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</si>
  <si>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</si>
  <si>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</si>
  <si>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</si>
  <si>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</si>
  <si>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</si>
  <si>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</si>
  <si>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</si>
  <si>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</si>
  <si>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</si>
  <si>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</si>
  <si>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</si>
  <si>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</si>
  <si>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</si>
  <si>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</si>
  <si>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</si>
  <si>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</si>
  <si>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</si>
  <si>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</si>
  <si>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</si>
  <si>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</si>
  <si>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</si>
  <si>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</si>
  <si>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</si>
  <si>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</si>
  <si>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</si>
  <si>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</si>
  <si>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</si>
  <si>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</si>
  <si>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</si>
  <si>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</si>
  <si>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</si>
  <si>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</si>
  <si>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</si>
  <si>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</si>
  <si>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</si>
  <si>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</si>
  <si>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</si>
  <si>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</si>
  <si>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</si>
  <si>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</si>
  <si>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</si>
  <si>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</si>
  <si>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</si>
  <si>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</si>
  <si>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</si>
  <si>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</si>
  <si>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</si>
  <si>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</si>
  <si>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</si>
  <si>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</si>
  <si>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</si>
  <si>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</si>
  <si>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</si>
  <si>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</si>
  <si>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</si>
  <si>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</si>
  <si>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</si>
  <si>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</si>
  <si>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</si>
  <si>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</si>
  <si>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</si>
  <si>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</si>
  <si>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</si>
  <si>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</si>
  <si>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</si>
  <si>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</si>
  <si>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</si>
  <si>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</si>
  <si>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</si>
  <si>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</si>
  <si>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</si>
  <si>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</si>
  <si>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</si>
  <si>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</si>
  <si>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</si>
  <si>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</si>
  <si>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</si>
  <si>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</si>
  <si>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</si>
  <si>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</si>
  <si>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</si>
  <si>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</si>
  <si>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</si>
  <si>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</si>
  <si>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</si>
  <si>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</si>
  <si>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</si>
  <si>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</si>
  <si>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</si>
  <si>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</si>
  <si>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</si>
  <si>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</si>
  <si>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</si>
  <si>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</si>
  <si>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</si>
  <si>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</si>
  <si>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</si>
  <si>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</si>
  <si>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</si>
  <si>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</si>
  <si>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</si>
  <si>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</si>
  <si>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</si>
  <si>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</si>
  <si>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</si>
  <si>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</si>
  <si>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</si>
  <si>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</si>
  <si>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</si>
  <si>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</si>
  <si>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</si>
  <si>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</si>
  <si>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</si>
  <si>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</si>
  <si>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</si>
  <si>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</si>
  <si>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</si>
  <si>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</si>
  <si>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</si>
  <si>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</si>
  <si>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</si>
  <si>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</si>
  <si>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</si>
  <si>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</si>
  <si>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</si>
  <si>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</si>
  <si>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</si>
  <si>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</si>
  <si>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</si>
  <si>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</si>
  <si>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</si>
  <si>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</si>
  <si>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</si>
  <si>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</si>
  <si>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</si>
  <si>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</si>
  <si>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</si>
  <si>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</si>
  <si>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</si>
  <si>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</si>
  <si>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</si>
  <si>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</si>
  <si>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</si>
  <si>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</si>
  <si>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</si>
  <si>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</si>
  <si>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</si>
  <si>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</si>
  <si>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</si>
  <si>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</si>
  <si>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</si>
  <si>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</si>
  <si>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</si>
  <si>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</si>
  <si>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</si>
  <si>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</si>
  <si>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</si>
  <si>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</si>
  <si>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</si>
  <si>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</si>
  <si>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</si>
  <si>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</si>
  <si>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</si>
  <si>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</si>
  <si>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</si>
  <si>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</si>
  <si>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</si>
  <si>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</si>
  <si>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</si>
  <si>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</si>
  <si>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</si>
  <si>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</si>
  <si>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</si>
  <si>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</si>
  <si>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</si>
  <si>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</si>
  <si>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</si>
  <si>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</si>
  <si>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</si>
  <si>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</si>
  <si>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</si>
  <si>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</si>
  <si>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</si>
  <si>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</si>
  <si>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</si>
  <si>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</si>
  <si>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</si>
  <si>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</si>
  <si>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</si>
  <si>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</si>
  <si>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</si>
  <si>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</si>
  <si>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</si>
  <si>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</si>
  <si>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</si>
  <si>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</si>
  <si>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</si>
  <si>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</si>
  <si>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</si>
  <si>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</si>
  <si>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</si>
  <si>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</si>
  <si>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</si>
  <si>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</si>
  <si>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</si>
  <si>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</si>
  <si>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</si>
  <si>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</si>
  <si>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</si>
  <si>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</si>
  <si>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</si>
  <si>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</si>
  <si>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</si>
  <si>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</si>
  <si>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</si>
  <si>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</si>
  <si>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</si>
  <si>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</si>
  <si>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</si>
  <si>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</si>
  <si>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</si>
  <si>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</si>
  <si>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</si>
  <si>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</si>
  <si>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</si>
  <si>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</si>
  <si>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</si>
  <si>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</si>
  <si>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</si>
  <si>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</si>
  <si>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</si>
  <si>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</si>
  <si>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</si>
  <si>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</si>
  <si>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</si>
  <si>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</si>
  <si>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</si>
  <si>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</si>
  <si>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</si>
  <si>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</si>
  <si>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</si>
  <si>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</si>
  <si>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</si>
  <si>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</si>
  <si>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</si>
  <si>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</si>
  <si>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</si>
  <si>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</si>
  <si>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</si>
  <si>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</si>
  <si>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</si>
  <si>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</si>
  <si>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</si>
  <si>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</si>
  <si>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</si>
  <si>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</si>
  <si>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</si>
  <si>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</si>
  <si>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</si>
  <si>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</si>
  <si>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</si>
  <si>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</si>
  <si>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</si>
  <si>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</si>
  <si>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</si>
  <si>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</si>
  <si>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</si>
  <si>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</si>
  <si>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</si>
  <si>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</si>
  <si>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</si>
  <si>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</si>
  <si>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</si>
  <si>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</si>
  <si>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</si>
  <si>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</si>
  <si>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</si>
  <si>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</si>
  <si>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</si>
  <si>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</si>
  <si>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</si>
  <si>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</si>
  <si>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</si>
  <si>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</si>
  <si>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</si>
  <si>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</si>
  <si>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</si>
  <si>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</si>
  <si>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</si>
  <si>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</si>
  <si>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</si>
  <si>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</si>
  <si>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</si>
  <si>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</si>
  <si>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</si>
  <si>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</si>
  <si>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</si>
  <si>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</si>
  <si>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</si>
  <si>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</si>
  <si>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</si>
  <si>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</si>
  <si>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</si>
  <si>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</si>
  <si>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</si>
  <si>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</si>
  <si>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</si>
  <si>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</si>
  <si>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</si>
  <si>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</si>
  <si>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</si>
  <si>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</si>
  <si>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</si>
  <si>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</si>
  <si>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</si>
  <si>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</si>
  <si>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</si>
  <si>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</si>
  <si>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</si>
  <si>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</si>
  <si>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</si>
  <si>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</si>
  <si>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</si>
  <si>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</si>
  <si>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</si>
  <si>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</si>
  <si>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</si>
  <si>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</si>
  <si>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</si>
  <si>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</si>
  <si>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</si>
  <si>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</si>
  <si>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</si>
  <si>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</si>
  <si>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</si>
  <si>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</si>
  <si>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</si>
  <si>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</si>
  <si>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</si>
  <si>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</si>
  <si>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</si>
  <si>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</si>
  <si>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</si>
  <si>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</si>
  <si>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</si>
  <si>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</si>
  <si>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</si>
  <si>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</si>
  <si>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</si>
  <si>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</si>
  <si>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</si>
  <si>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</si>
  <si>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</si>
  <si>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</si>
  <si>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</si>
  <si>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</si>
  <si>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</si>
  <si>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</si>
  <si>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</si>
  <si>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</si>
  <si>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</si>
  <si>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</si>
  <si>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</si>
  <si>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</si>
  <si>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</si>
  <si>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</si>
  <si>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</si>
  <si>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</si>
  <si>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</si>
  <si>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</si>
  <si>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</si>
  <si>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</si>
  <si>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</si>
  <si>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</si>
  <si>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</si>
  <si>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</si>
  <si>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</si>
  <si>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</si>
  <si>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</si>
  <si>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</si>
  <si>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</si>
  <si>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</si>
  <si>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</si>
  <si>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</si>
  <si>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</si>
  <si>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</si>
  <si>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</si>
  <si>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</si>
  <si>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</si>
  <si>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</si>
  <si>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</si>
  <si>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</si>
  <si>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</si>
  <si>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</si>
  <si>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</si>
  <si>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</si>
  <si>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</si>
  <si>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</si>
  <si>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</si>
  <si>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</si>
  <si>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</si>
  <si>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</si>
  <si>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</si>
  <si>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</si>
  <si>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</si>
  <si>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</si>
  <si>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</si>
  <si>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</si>
  <si>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</si>
  <si>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</si>
  <si>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</si>
  <si>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</si>
  <si>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</si>
  <si>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</si>
  <si>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</si>
  <si>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</si>
  <si>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</si>
  <si>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</si>
  <si>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</si>
  <si>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</si>
  <si>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</si>
  <si>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</si>
  <si>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</si>
  <si>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</si>
  <si>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</si>
  <si>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</si>
  <si>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</si>
  <si>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</si>
  <si>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</si>
  <si>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</si>
  <si>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</si>
  <si>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</si>
  <si>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</si>
  <si>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</si>
  <si>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</si>
  <si>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</si>
  <si>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</si>
  <si>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</si>
  <si>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</si>
  <si>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</si>
  <si>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</si>
  <si>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</si>
  <si>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</si>
  <si>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</si>
  <si>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</si>
  <si>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</si>
  <si>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</si>
  <si>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</si>
  <si>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</si>
  <si>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</si>
  <si>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</si>
  <si>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</si>
  <si>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</si>
  <si>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</si>
  <si>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</si>
  <si>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</si>
  <si>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</si>
  <si>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</si>
  <si>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</si>
  <si>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</si>
  <si>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</si>
  <si>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</si>
  <si>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</si>
  <si>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</si>
  <si>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</si>
  <si>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</si>
  <si>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</si>
  <si>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</si>
  <si>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</si>
  <si>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</si>
  <si>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</si>
  <si>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</si>
  <si>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</si>
  <si>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</si>
  <si>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</si>
  <si>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</si>
  <si>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</si>
  <si>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</si>
  <si>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</si>
  <si>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</si>
  <si>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</si>
  <si>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</si>
  <si>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</si>
  <si>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</si>
  <si>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</si>
  <si>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</si>
  <si>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</si>
  <si>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</si>
  <si>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</si>
  <si>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</si>
  <si>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</si>
  <si>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</si>
  <si>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</si>
  <si>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</si>
  <si>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</si>
  <si>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</si>
  <si>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</si>
  <si>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</si>
  <si>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</si>
  <si>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</si>
  <si>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</si>
  <si>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</si>
  <si>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</si>
  <si>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</si>
  <si>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</si>
  <si>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</si>
  <si>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</si>
  <si>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</si>
  <si>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</si>
  <si>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</si>
  <si>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</si>
  <si>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</si>
  <si>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</si>
  <si>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</si>
  <si>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</si>
  <si>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</si>
  <si>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</si>
  <si>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</si>
  <si>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</si>
  <si>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</si>
  <si>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</si>
  <si>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</si>
  <si>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</si>
  <si>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</si>
  <si>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</si>
  <si>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</si>
  <si>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</si>
  <si>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</si>
  <si>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</si>
  <si>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</si>
  <si>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</si>
  <si>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</si>
  <si>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</si>
  <si>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</si>
  <si>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</si>
  <si>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</si>
  <si>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</si>
  <si>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</si>
  <si>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</si>
  <si>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</si>
  <si>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</si>
  <si>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</si>
  <si>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</si>
  <si>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</si>
  <si>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</si>
  <si>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</si>
  <si>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</si>
  <si>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</si>
  <si>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</si>
  <si>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</si>
  <si>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</si>
  <si>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</si>
  <si>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</si>
  <si>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</si>
  <si>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</si>
  <si>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</si>
  <si>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</si>
  <si>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</si>
  <si>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</si>
  <si>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</si>
  <si>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</si>
  <si>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</si>
  <si>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</si>
  <si>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</si>
  <si>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</si>
  <si>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</si>
  <si>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</si>
  <si>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</si>
  <si>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</si>
  <si>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</si>
  <si>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</si>
  <si>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</si>
  <si>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</si>
  <si>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</si>
  <si>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</si>
  <si>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</si>
  <si>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</si>
  <si>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</si>
  <si>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</si>
  <si>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</si>
  <si>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</si>
  <si>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</si>
  <si>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</si>
  <si>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</si>
  <si>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</si>
  <si>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</si>
  <si>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</si>
  <si>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</si>
  <si>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</si>
  <si>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</si>
  <si>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</si>
  <si>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</si>
  <si>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</si>
  <si>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</si>
  <si>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</si>
  <si>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</si>
  <si>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</si>
  <si>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</si>
  <si>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</si>
  <si>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</si>
  <si>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</si>
  <si>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</si>
  <si>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</si>
  <si>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</si>
  <si>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</si>
  <si>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</si>
  <si>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</si>
  <si>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</si>
  <si>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</si>
  <si>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</si>
  <si>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</si>
  <si>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</si>
  <si>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</si>
  <si>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</si>
  <si>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</si>
  <si>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</si>
  <si>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</si>
  <si>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</si>
  <si>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</si>
  <si>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</si>
  <si>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</si>
  <si>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</si>
  <si>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</si>
  <si>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</si>
  <si>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</si>
  <si>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</si>
  <si>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</si>
  <si>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</si>
  <si>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</si>
  <si>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</si>
  <si>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</si>
  <si>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</si>
  <si>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</si>
  <si>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</si>
  <si>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</si>
  <si>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</si>
  <si>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</si>
  <si>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</si>
  <si>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</si>
  <si>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</si>
  <si>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</si>
  <si>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</si>
  <si>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</si>
  <si>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</si>
  <si>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</si>
  <si>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</si>
  <si>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</si>
  <si>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</si>
  <si>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</si>
  <si>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</si>
  <si>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</si>
  <si>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</si>
  <si>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</si>
  <si>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</si>
  <si>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</si>
  <si>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</si>
  <si>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</si>
  <si>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</si>
  <si>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</si>
  <si>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</si>
  <si>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</si>
  <si>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</si>
  <si>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</si>
  <si>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</si>
  <si>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</si>
  <si>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</si>
  <si>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</si>
  <si>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</si>
  <si>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</si>
  <si>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</si>
  <si>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</si>
  <si>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</si>
  <si>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</si>
  <si>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</si>
  <si>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</si>
  <si>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</si>
  <si>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</si>
  <si>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</si>
  <si>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</si>
  <si>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</si>
  <si>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</si>
  <si>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</si>
  <si>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</si>
  <si>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</si>
  <si>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</si>
  <si>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</si>
  <si>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</si>
  <si>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</si>
  <si>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</si>
  <si>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</si>
  <si>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</si>
  <si>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</si>
  <si>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</si>
  <si>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</si>
  <si>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</si>
  <si>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</si>
  <si>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</si>
  <si>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</si>
  <si>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</si>
  <si>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</si>
  <si>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</si>
  <si>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</si>
  <si>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</si>
  <si>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</si>
  <si>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</si>
  <si>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</si>
  <si>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</si>
  <si>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</si>
  <si>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</si>
  <si>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</si>
  <si>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</si>
  <si>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</si>
  <si>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</si>
  <si>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</si>
  <si>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</si>
  <si>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</si>
  <si>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</si>
  <si>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</si>
  <si>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</si>
  <si>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</si>
  <si>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</si>
  <si>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</si>
  <si>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</si>
  <si>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</si>
  <si>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</si>
  <si>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</si>
  <si>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</si>
  <si>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</si>
  <si>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</si>
  <si>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</si>
  <si>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</si>
  <si>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</si>
  <si>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</si>
  <si>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</si>
  <si>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</si>
  <si>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</si>
  <si>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</si>
  <si>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</si>
  <si>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</si>
  <si>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</si>
  <si>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</si>
  <si>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</si>
  <si>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</si>
  <si>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</si>
  <si>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</si>
  <si>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</si>
  <si>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</si>
  <si>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</si>
  <si>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</si>
  <si>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</si>
  <si>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</si>
  <si>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</si>
  <si>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</si>
  <si>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</si>
  <si>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</si>
  <si>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</si>
  <si>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</si>
  <si>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</si>
  <si>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</si>
  <si>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</si>
  <si>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</si>
  <si>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</si>
  <si>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</si>
  <si>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</si>
  <si>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</si>
  <si>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</si>
  <si>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</si>
  <si>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</si>
  <si>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</si>
  <si>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</si>
  <si>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</si>
  <si>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</si>
  <si>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</si>
  <si>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</si>
  <si>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</si>
  <si>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</si>
  <si>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</si>
  <si>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</si>
  <si>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</si>
  <si>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</si>
  <si>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</si>
  <si>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</si>
  <si>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</si>
  <si>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</si>
  <si>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</si>
  <si>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</si>
  <si>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</si>
  <si>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</si>
  <si>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</si>
  <si>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</si>
  <si>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</si>
  <si>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</si>
  <si>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</si>
  <si>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</si>
  <si>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</si>
  <si>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</si>
  <si>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</si>
  <si>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</si>
  <si>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</si>
  <si>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</si>
  <si>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</si>
  <si>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</si>
  <si>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</si>
  <si>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</si>
  <si>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</si>
  <si>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</si>
  <si>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</si>
  <si>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</si>
  <si>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</si>
  <si>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</si>
  <si>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</si>
  <si>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</si>
  <si>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</si>
  <si>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</si>
  <si>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</si>
  <si>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</si>
  <si>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</si>
  <si>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</si>
  <si>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</si>
  <si>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</si>
  <si>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</si>
  <si>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</si>
  <si>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</si>
  <si>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</si>
  <si>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</si>
  <si>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</si>
  <si>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</si>
  <si>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</si>
  <si>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</si>
  <si>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</si>
  <si>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</si>
  <si>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</si>
  <si>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</si>
  <si>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</si>
  <si>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</si>
  <si>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</si>
  <si>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</si>
  <si>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</si>
  <si>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</si>
  <si>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</si>
  <si>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</si>
  <si>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</si>
  <si>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</si>
  <si>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</si>
  <si>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</si>
  <si>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</si>
  <si>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</si>
  <si>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</si>
  <si>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</si>
  <si>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</si>
  <si>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</si>
  <si>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</si>
  <si>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</si>
  <si>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</si>
  <si>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</si>
  <si>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</si>
  <si>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</si>
  <si>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</si>
  <si>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</si>
  <si>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</si>
  <si>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</si>
  <si>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</si>
  <si>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</si>
  <si>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</si>
  <si>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</si>
  <si>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</si>
  <si>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</si>
  <si>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</si>
  <si>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</si>
  <si>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</si>
  <si>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</si>
  <si>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</si>
  <si>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</si>
  <si>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</si>
  <si>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</si>
  <si>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</si>
  <si>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</si>
  <si>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</si>
  <si>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</si>
  <si>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</si>
  <si>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</si>
  <si>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</si>
  <si>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</si>
  <si>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</si>
  <si>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</si>
  <si>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</si>
  <si>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</si>
  <si>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</si>
  <si>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</si>
  <si>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</si>
  <si>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</si>
  <si>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</si>
  <si>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</si>
  <si>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</si>
  <si>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</si>
  <si>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</si>
  <si>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</si>
  <si>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</si>
  <si>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</si>
  <si>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</si>
  <si>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</si>
  <si>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</si>
  <si>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</si>
  <si>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</si>
  <si>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</si>
  <si>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</si>
  <si>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</si>
  <si>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</si>
  <si>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</si>
  <si>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</si>
  <si>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</si>
  <si>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</si>
  <si>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</si>
  <si>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</si>
  <si>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</si>
  <si>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</si>
  <si>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</si>
  <si>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</si>
  <si>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</si>
  <si>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</si>
  <si>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</si>
  <si>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</si>
  <si>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</si>
  <si>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</si>
  <si>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</si>
  <si>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</si>
  <si>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</si>
  <si>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</si>
  <si>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</si>
  <si>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</si>
  <si>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</si>
  <si>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</si>
  <si>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</si>
  <si>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</si>
  <si>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</si>
  <si>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</si>
  <si>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</si>
  <si>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</si>
  <si>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</si>
  <si>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</si>
  <si>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</si>
  <si>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</si>
  <si>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</si>
  <si>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</si>
  <si>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</si>
  <si>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</si>
  <si>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</si>
  <si>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</si>
  <si>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</si>
  <si>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</si>
  <si>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</si>
  <si>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</si>
  <si>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</si>
  <si>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</si>
  <si>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</si>
  <si>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</si>
  <si>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</si>
  <si>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</si>
  <si>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</si>
  <si>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</si>
  <si>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</si>
  <si>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</si>
  <si>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</si>
  <si>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</si>
  <si>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</si>
  <si>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</si>
  <si>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</si>
  <si>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</si>
  <si>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</si>
  <si>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</si>
  <si>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</si>
  <si>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</si>
  <si>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</si>
  <si>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</si>
  <si>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</si>
  <si>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</si>
  <si>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2020-1-0042-P01DYGJ1</t>
    <phoneticPr fontId="6" type="noConversion"/>
  </si>
  <si>
    <t>吴薇</t>
  </si>
  <si>
    <t>崔锴</t>
  </si>
  <si>
    <t>北京新媒传信科技有限公司</t>
    <phoneticPr fontId="6" type="noConversion"/>
  </si>
  <si>
    <t>浦发银行</t>
    <phoneticPr fontId="6" type="noConversion"/>
  </si>
  <si>
    <t>抵押</t>
  </si>
  <si>
    <t>房地产抵押价值</t>
  </si>
  <si>
    <t>北京市</t>
  </si>
  <si>
    <r>
      <rPr>
        <sz val="12"/>
        <color theme="9" tint="-0.249977111117893"/>
        <rFont val="宋体"/>
        <family val="3"/>
        <charset val="134"/>
      </rPr>
      <t>朝阳区北苑路甲</t>
    </r>
    <r>
      <rPr>
        <sz val="12"/>
        <color theme="9" tint="-0.249977111117893"/>
        <rFont val="Arial"/>
        <family val="2"/>
      </rPr>
      <t>13</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15</t>
    </r>
    <r>
      <rPr>
        <sz val="12"/>
        <color theme="9" tint="-0.249977111117893"/>
        <rFont val="宋体"/>
        <family val="3"/>
        <charset val="134"/>
      </rPr>
      <t>层</t>
    </r>
    <r>
      <rPr>
        <sz val="12"/>
        <color theme="9" tint="-0.249977111117893"/>
        <rFont val="Arial"/>
        <family val="2"/>
      </rPr>
      <t>1-1501</t>
    </r>
    <r>
      <rPr>
        <sz val="12"/>
        <color theme="9" tint="-0.249977111117893"/>
        <rFont val="宋体"/>
        <family val="3"/>
        <charset val="134"/>
      </rPr>
      <t>等</t>
    </r>
    <r>
      <rPr>
        <sz val="12"/>
        <color theme="9" tint="-0.249977111117893"/>
        <rFont val="Arial"/>
        <family val="2"/>
      </rPr>
      <t>18</t>
    </r>
    <r>
      <rPr>
        <sz val="12"/>
        <color theme="9" tint="-0.249977111117893"/>
        <rFont val="宋体"/>
        <family val="3"/>
        <charset val="134"/>
      </rPr>
      <t>套办公用房房地产</t>
    </r>
    <phoneticPr fontId="6" type="noConversion"/>
  </si>
  <si>
    <t>企业</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</si>
  <si>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</si>
  <si>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</si>
  <si>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复印件</t>
  </si>
  <si>
    <t>办公项目</t>
  </si>
  <si>
    <t>无</t>
  </si>
  <si>
    <t>否</t>
  </si>
  <si>
    <t>现房</t>
  </si>
  <si>
    <t>通路</t>
  </si>
  <si>
    <t>通电</t>
  </si>
  <si>
    <t>通讯</t>
  </si>
  <si>
    <t>通上水</t>
  </si>
  <si>
    <t>通下水</t>
  </si>
  <si>
    <t>燃气</t>
  </si>
  <si>
    <t>是</t>
  </si>
  <si>
    <t>地上</t>
  </si>
  <si>
    <t>办公楼</t>
  </si>
  <si>
    <t>成新度</t>
  </si>
  <si>
    <t>建成</t>
    <phoneticPr fontId="3" type="noConversion"/>
  </si>
  <si>
    <t>年</t>
    <phoneticPr fontId="3" type="noConversion"/>
  </si>
  <si>
    <t>序号</t>
    <phoneticPr fontId="143" type="noConversion"/>
  </si>
  <si>
    <t>承租方</t>
    <phoneticPr fontId="143" type="noConversion"/>
  </si>
  <si>
    <t>在线途游（北京）科技有限公司</t>
    <phoneticPr fontId="143" type="noConversion"/>
  </si>
  <si>
    <t>位置</t>
    <phoneticPr fontId="143" type="noConversion"/>
  </si>
  <si>
    <r>
      <t>1</t>
    </r>
    <r>
      <rPr>
        <sz val="11"/>
        <color theme="1"/>
        <rFont val="宋体"/>
        <family val="3"/>
        <charset val="134"/>
        <scheme val="minor"/>
      </rPr>
      <t>5层</t>
    </r>
    <phoneticPr fontId="143" type="noConversion"/>
  </si>
  <si>
    <t>建筑面积</t>
    <phoneticPr fontId="143" type="noConversion"/>
  </si>
  <si>
    <t>租赁起始</t>
    <phoneticPr fontId="143" type="noConversion"/>
  </si>
  <si>
    <t>云派互联科技（北京）有限公司</t>
    <phoneticPr fontId="143" type="noConversion"/>
  </si>
  <si>
    <r>
      <t>1</t>
    </r>
    <r>
      <rPr>
        <sz val="11"/>
        <color theme="1"/>
        <rFont val="宋体"/>
        <family val="3"/>
        <charset val="134"/>
        <scheme val="minor"/>
      </rPr>
      <t>6层1604-1608</t>
    </r>
    <phoneticPr fontId="143" type="noConversion"/>
  </si>
  <si>
    <t>租赁终止</t>
    <phoneticPr fontId="143" type="noConversion"/>
  </si>
  <si>
    <t>保证金</t>
    <phoneticPr fontId="143" type="noConversion"/>
  </si>
  <si>
    <t>租金（含物业）</t>
    <phoneticPr fontId="143" type="noConversion"/>
  </si>
  <si>
    <t>物业费（元/季度/平方米）</t>
    <phoneticPr fontId="143" type="noConversion"/>
  </si>
  <si>
    <t>北京泰岳宏光科技发展有限公司</t>
    <phoneticPr fontId="143" type="noConversion"/>
  </si>
  <si>
    <t>16层1601-1602</t>
    <phoneticPr fontId="143" type="noConversion"/>
  </si>
  <si>
    <t>净租金</t>
    <phoneticPr fontId="143" type="noConversion"/>
  </si>
  <si>
    <t xml:space="preserve"> </t>
    <phoneticPr fontId="143" type="noConversion"/>
  </si>
  <si>
    <t>市场租金</t>
    <phoneticPr fontId="3" type="noConversion"/>
  </si>
  <si>
    <t>租金</t>
  </si>
  <si>
    <t>朝阳区北苑路甲13号</t>
    <phoneticPr fontId="3" type="noConversion"/>
  </si>
  <si>
    <t>办公</t>
    <phoneticPr fontId="32" type="noConversion"/>
  </si>
  <si>
    <t>40-50（含）</t>
  </si>
  <si>
    <t>较好</t>
  </si>
  <si>
    <t>较好</t>
    <phoneticPr fontId="41" type="noConversion"/>
  </si>
  <si>
    <t>七通</t>
  </si>
  <si>
    <t>七通</t>
    <phoneticPr fontId="25" type="noConversion"/>
  </si>
  <si>
    <r>
      <rPr>
        <sz val="11"/>
        <rFont val="宋体"/>
        <family val="3"/>
        <charset val="134"/>
      </rPr>
      <t>城市主干道</t>
    </r>
    <r>
      <rPr>
        <sz val="11"/>
        <rFont val="Arial"/>
        <family val="2"/>
      </rPr>
      <t>-</t>
    </r>
    <r>
      <rPr>
        <sz val="11"/>
        <rFont val="宋体"/>
        <family val="3"/>
        <charset val="134"/>
      </rPr>
      <t>北苑路</t>
    </r>
    <phoneticPr fontId="32" type="noConversion"/>
  </si>
  <si>
    <t>城市快速路</t>
    <phoneticPr fontId="32" type="noConversion"/>
  </si>
  <si>
    <t>城市主干道</t>
  </si>
  <si>
    <t>城市主干道</t>
    <phoneticPr fontId="32" type="noConversion"/>
  </si>
  <si>
    <t>城市次干道</t>
    <phoneticPr fontId="32" type="noConversion"/>
  </si>
  <si>
    <t>城市支路</t>
    <phoneticPr fontId="32" type="noConversion"/>
  </si>
  <si>
    <t>高区</t>
  </si>
  <si>
    <t>高区</t>
    <phoneticPr fontId="32" type="noConversion"/>
  </si>
  <si>
    <t>中区</t>
  </si>
  <si>
    <t>中区</t>
    <phoneticPr fontId="32" type="noConversion"/>
  </si>
  <si>
    <t>低区</t>
  </si>
  <si>
    <t>低区</t>
    <phoneticPr fontId="32" type="noConversion"/>
  </si>
  <si>
    <t>塔楼</t>
  </si>
  <si>
    <t>塔楼</t>
    <phoneticPr fontId="32" type="noConversion"/>
  </si>
  <si>
    <t>钢混</t>
  </si>
  <si>
    <t>钢混</t>
    <phoneticPr fontId="32" type="noConversion"/>
  </si>
  <si>
    <t>精装修</t>
  </si>
  <si>
    <t>精装修</t>
    <phoneticPr fontId="32" type="noConversion"/>
  </si>
  <si>
    <t>甲级</t>
  </si>
  <si>
    <t>甲级</t>
    <phoneticPr fontId="32" type="noConversion"/>
  </si>
  <si>
    <t>专业</t>
  </si>
  <si>
    <t>专业</t>
    <phoneticPr fontId="32" type="noConversion"/>
  </si>
  <si>
    <t>七通</t>
    <phoneticPr fontId="32" type="noConversion"/>
  </si>
  <si>
    <t>六通</t>
  </si>
  <si>
    <t>六通</t>
    <phoneticPr fontId="32" type="noConversion"/>
  </si>
  <si>
    <t>五通</t>
    <phoneticPr fontId="32" type="noConversion"/>
  </si>
  <si>
    <t>标准</t>
  </si>
  <si>
    <t>标准</t>
    <phoneticPr fontId="32" type="noConversion"/>
  </si>
  <si>
    <t>300-500</t>
    <phoneticPr fontId="32" type="noConversion"/>
  </si>
  <si>
    <t>100-300</t>
    <phoneticPr fontId="32" type="noConversion"/>
  </si>
  <si>
    <t>0-100</t>
    <phoneticPr fontId="32" type="noConversion"/>
  </si>
  <si>
    <t>普通装修</t>
  </si>
  <si>
    <t>普通装修</t>
    <phoneticPr fontId="32" type="noConversion"/>
  </si>
  <si>
    <t>简单装修</t>
    <phoneticPr fontId="32" type="noConversion"/>
  </si>
  <si>
    <t>毛坯</t>
    <phoneticPr fontId="32" type="noConversion"/>
  </si>
  <si>
    <t>100-300</t>
    <phoneticPr fontId="32" type="noConversion"/>
  </si>
  <si>
    <t>30-40（含）</t>
  </si>
  <si>
    <t>北京文化创意大厦</t>
    <phoneticPr fontId="3" type="noConversion"/>
  </si>
  <si>
    <t>朝阳区北苑路30号</t>
    <phoneticPr fontId="3" type="noConversion"/>
  </si>
  <si>
    <t>办公1-1501</t>
  </si>
  <si>
    <t>项目局部</t>
  </si>
  <si>
    <t>比较法-办公（售价)</t>
  </si>
  <si>
    <t>比较法-办公（售价)</t>
    <phoneticPr fontId="16" type="noConversion"/>
  </si>
  <si>
    <t>售价</t>
  </si>
  <si>
    <t>按租金收入计税</t>
  </si>
  <si>
    <t>押一</t>
  </si>
  <si>
    <t>非生产用房</t>
  </si>
  <si>
    <t>北辰泰岳大厦</t>
    <phoneticPr fontId="3" type="noConversion"/>
  </si>
  <si>
    <t>北辰首作</t>
    <phoneticPr fontId="3" type="noConversion"/>
  </si>
  <si>
    <t>300-500</t>
    <phoneticPr fontId="32" type="noConversion"/>
  </si>
  <si>
    <t>楼层</t>
    <phoneticPr fontId="3" type="noConversion"/>
  </si>
  <si>
    <t>高区</t>
    <phoneticPr fontId="25" type="noConversion"/>
  </si>
  <si>
    <t>中区</t>
    <phoneticPr fontId="25" type="noConversion"/>
  </si>
  <si>
    <t>装修</t>
    <phoneticPr fontId="3" type="noConversion"/>
  </si>
  <si>
    <t>精装修</t>
    <phoneticPr fontId="25" type="noConversion"/>
  </si>
  <si>
    <t>普通装修</t>
    <phoneticPr fontId="25" type="noConversion"/>
  </si>
  <si>
    <t>洛克时代中心</t>
  </si>
  <si>
    <t>朝阳区慧中北路103号</t>
  </si>
  <si>
    <r>
      <rPr>
        <sz val="11"/>
        <rFont val="宋体"/>
        <family val="3"/>
        <charset val="134"/>
      </rPr>
      <t>城市主干道</t>
    </r>
    <r>
      <rPr>
        <sz val="11"/>
        <rFont val="Arial"/>
        <family val="2"/>
      </rPr>
      <t>-</t>
    </r>
    <r>
      <rPr>
        <sz val="11"/>
        <rFont val="宋体"/>
        <family val="3"/>
        <charset val="134"/>
      </rPr>
      <t>安立路</t>
    </r>
  </si>
  <si>
    <t>押二</t>
  </si>
  <si>
    <t>收益法 (元)</t>
  </si>
  <si>
    <t>一般</t>
  </si>
  <si>
    <t>一般</t>
    <phoneticPr fontId="41" type="noConversion"/>
  </si>
  <si>
    <t>一般</t>
    <phoneticPr fontId="25" type="noConversion"/>
  </si>
  <si>
    <t>500-800</t>
    <phoneticPr fontId="32" type="noConversion"/>
  </si>
  <si>
    <t>800-1500</t>
    <phoneticPr fontId="32" type="noConversion"/>
  </si>
  <si>
    <t>1500-3000</t>
    <phoneticPr fontId="143" type="noConversion"/>
  </si>
  <si>
    <t>500-800</t>
    <phoneticPr fontId="32" type="noConversion"/>
  </si>
  <si>
    <t>1500-3000</t>
    <phoneticPr fontId="32" type="noConversion"/>
  </si>
  <si>
    <t>800-1500</t>
    <phoneticPr fontId="143" type="noConversion"/>
  </si>
  <si>
    <t>较好</t>
    <phoneticPr fontId="41" type="noConversion"/>
  </si>
  <si>
    <t>北辰新纪元</t>
    <phoneticPr fontId="3" type="noConversion"/>
  </si>
  <si>
    <t>300-500</t>
    <phoneticPr fontId="32" type="noConversion"/>
  </si>
  <si>
    <t>2-805</t>
  </si>
  <si>
    <t>2-805</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</si>
</sst>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99" fillId="0" borderId="0" xfId="0" applyFont="1">
      <alignment vertical="center"/>
    </xf>
    <xf numFmtId="0" fontId="47" fillId="0" borderId="1" xfId="0" applyFont="1" applyBorder="1" applyAlignment="1" applyProtection="1">
      <alignment horizontal="center" vertical="center"/>
      <protection locked="0"/>
    </xf>
    <xf numFmtId="14"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7" borderId="24"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9" fontId="54" fillId="6" borderId="0" xfId="0" applyNumberFormat="1" applyFont="1" applyFill="1" applyBorder="1" applyAlignment="1" applyProtection="1">
      <alignment horizontal="center" vertical="center"/>
      <protection locked="0"/>
    </xf>
    <xf numFmtId="184" fontId="47" fillId="0" borderId="70" xfId="10" applyNumberFormat="1" applyFont="1" applyFill="1" applyBorder="1" applyAlignment="1" applyProtection="1">
      <alignment horizontal="center" vertical="center" wrapText="1"/>
      <protection locked="0"/>
    </xf>
    <xf numFmtId="49" fontId="47" fillId="2" borderId="26" xfId="10" applyNumberFormat="1" applyFont="1" applyFill="1" applyBorder="1" applyAlignment="1" applyProtection="1">
      <alignment horizontal="center" vertical="center" wrapText="1"/>
      <protection locked="0"/>
    </xf>
    <xf numFmtId="49" fontId="47" fillId="2" borderId="6" xfId="10" applyNumberFormat="1" applyFont="1" applyFill="1" applyBorder="1" applyAlignment="1" applyProtection="1">
      <alignment horizontal="center" vertical="center" wrapText="1"/>
      <protection locked="0"/>
    </xf>
    <xf numFmtId="49" fontId="47" fillId="2"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0" fontId="47" fillId="0" borderId="37"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47" fillId="0" borderId="7" xfId="10" applyNumberFormat="1" applyFont="1" applyFill="1" applyBorder="1" applyAlignment="1" applyProtection="1">
      <alignment horizontal="center" vertical="center" wrapText="1"/>
      <protection locked="0"/>
    </xf>
    <xf numFmtId="0" fontId="54" fillId="2" borderId="35"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9" fontId="106"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10</xdr:col>
      <xdr:colOff>65693</xdr:colOff>
      <xdr:row>33</xdr:row>
      <xdr:rowOff>161326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7857143" cy="4790476"/>
        </a:xfrm>
        <a:prstGeom prst="rect">
          <a:avLst/>
        </a:prstGeom>
      </xdr:spPr>
    </xdr:pic>
    <xdr:clientData/>
  </xdr:twoCellAnchor>
  <xdr:twoCellAnchor editAs="oneCell">
    <xdr:from>
      <xdr:col>1</xdr:col>
      <xdr:colOff>0</xdr:colOff>
      <xdr:row>34</xdr:row>
      <xdr:rowOff>0</xdr:rowOff>
    </xdr:from>
    <xdr:to>
      <xdr:col>10</xdr:col>
      <xdr:colOff>522836</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8314286" cy="5114286"/>
        </a:xfrm>
        <a:prstGeom prst="rect">
          <a:avLst/>
        </a:prstGeom>
      </xdr:spPr>
    </xdr:pic>
    <xdr:clientData/>
  </xdr:twoCellAnchor>
  <xdr:twoCellAnchor editAs="oneCell">
    <xdr:from>
      <xdr:col>1</xdr:col>
      <xdr:colOff>0</xdr:colOff>
      <xdr:row>64</xdr:row>
      <xdr:rowOff>0</xdr:rowOff>
    </xdr:from>
    <xdr:to>
      <xdr:col>10</xdr:col>
      <xdr:colOff>675217</xdr:colOff>
      <xdr:row>93</xdr:row>
      <xdr:rowOff>18426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972800"/>
          <a:ext cx="8466667" cy="4990476"/>
        </a:xfrm>
        <a:prstGeom prst="rect">
          <a:avLst/>
        </a:prstGeom>
      </xdr:spPr>
    </xdr:pic>
    <xdr:clientData/>
  </xdr:twoCellAnchor>
  <xdr:twoCellAnchor editAs="oneCell">
    <xdr:from>
      <xdr:col>1</xdr:col>
      <xdr:colOff>0</xdr:colOff>
      <xdr:row>94</xdr:row>
      <xdr:rowOff>0</xdr:rowOff>
    </xdr:from>
    <xdr:to>
      <xdr:col>4</xdr:col>
      <xdr:colOff>694807</xdr:colOff>
      <xdr:row>131</xdr:row>
      <xdr:rowOff>94445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6116300"/>
          <a:ext cx="4142857" cy="6438095"/>
        </a:xfrm>
        <a:prstGeom prst="rect">
          <a:avLst/>
        </a:prstGeom>
      </xdr:spPr>
    </xdr:pic>
    <xdr:clientData/>
  </xdr:twoCellAnchor>
  <xdr:twoCellAnchor editAs="oneCell">
    <xdr:from>
      <xdr:col>5</xdr:col>
      <xdr:colOff>0</xdr:colOff>
      <xdr:row>94</xdr:row>
      <xdr:rowOff>0</xdr:rowOff>
    </xdr:from>
    <xdr:to>
      <xdr:col>19</xdr:col>
      <xdr:colOff>103548</xdr:colOff>
      <xdr:row>120</xdr:row>
      <xdr:rowOff>85157</xdr:rowOff>
    </xdr:to>
    <xdr:pic>
      <xdr:nvPicPr>
        <xdr:cNvPr id="6" name="图片 5"/>
        <xdr:cNvPicPr>
          <a:picLocks noChangeAspect="1"/>
        </xdr:cNvPicPr>
      </xdr:nvPicPr>
      <xdr:blipFill>
        <a:blip xmlns:r="http://schemas.openxmlformats.org/officeDocument/2006/relationships" r:embed="rId5"/>
        <a:stretch>
          <a:fillRect/>
        </a:stretch>
      </xdr:blipFill>
      <xdr:spPr>
        <a:xfrm>
          <a:off x="4933950" y="16116300"/>
          <a:ext cx="9819048" cy="4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28</xdr:row>
      <xdr:rowOff>113686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23809" cy="4914286"/>
        </a:xfrm>
        <a:prstGeom prst="rect">
          <a:avLst/>
        </a:prstGeom>
      </xdr:spPr>
    </xdr:pic>
    <xdr:clientData/>
  </xdr:twoCellAnchor>
  <xdr:twoCellAnchor editAs="oneCell">
    <xdr:from>
      <xdr:col>0</xdr:col>
      <xdr:colOff>0</xdr:colOff>
      <xdr:row>29</xdr:row>
      <xdr:rowOff>0</xdr:rowOff>
    </xdr:from>
    <xdr:to>
      <xdr:col>10</xdr:col>
      <xdr:colOff>161048</xdr:colOff>
      <xdr:row>52</xdr:row>
      <xdr:rowOff>37602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019048" cy="3980952"/>
        </a:xfrm>
        <a:prstGeom prst="rect">
          <a:avLst/>
        </a:prstGeom>
      </xdr:spPr>
    </xdr:pic>
    <xdr:clientData/>
  </xdr:twoCellAnchor>
  <xdr:twoCellAnchor editAs="oneCell">
    <xdr:from>
      <xdr:col>0</xdr:col>
      <xdr:colOff>0</xdr:colOff>
      <xdr:row>53</xdr:row>
      <xdr:rowOff>0</xdr:rowOff>
    </xdr:from>
    <xdr:to>
      <xdr:col>11</xdr:col>
      <xdr:colOff>684771</xdr:colOff>
      <xdr:row>87</xdr:row>
      <xdr:rowOff>56414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228571" cy="5885714"/>
        </a:xfrm>
        <a:prstGeom prst="rect">
          <a:avLst/>
        </a:prstGeom>
      </xdr:spPr>
    </xdr:pic>
    <xdr:clientData/>
  </xdr:twoCellAnchor>
  <xdr:twoCellAnchor editAs="oneCell">
    <xdr:from>
      <xdr:col>0</xdr:col>
      <xdr:colOff>0</xdr:colOff>
      <xdr:row>88</xdr:row>
      <xdr:rowOff>0</xdr:rowOff>
    </xdr:from>
    <xdr:to>
      <xdr:col>9</xdr:col>
      <xdr:colOff>132562</xdr:colOff>
      <xdr:row>111</xdr:row>
      <xdr:rowOff>47126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6304762" cy="3990476"/>
        </a:xfrm>
        <a:prstGeom prst="rect">
          <a:avLst/>
        </a:prstGeom>
      </xdr:spPr>
    </xdr:pic>
    <xdr:clientData/>
  </xdr:twoCellAnchor>
  <xdr:twoCellAnchor editAs="oneCell">
    <xdr:from>
      <xdr:col>0</xdr:col>
      <xdr:colOff>0</xdr:colOff>
      <xdr:row>112</xdr:row>
      <xdr:rowOff>0</xdr:rowOff>
    </xdr:from>
    <xdr:to>
      <xdr:col>7</xdr:col>
      <xdr:colOff>618448</xdr:colOff>
      <xdr:row>132</xdr:row>
      <xdr:rowOff>132905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202400"/>
          <a:ext cx="5419048" cy="3561905"/>
        </a:xfrm>
        <a:prstGeom prst="rect">
          <a:avLst/>
        </a:prstGeom>
      </xdr:spPr>
    </xdr:pic>
    <xdr:clientData/>
  </xdr:twoCellAnchor>
  <xdr:twoCellAnchor editAs="oneCell">
    <xdr:from>
      <xdr:col>0</xdr:col>
      <xdr:colOff>0</xdr:colOff>
      <xdr:row>133</xdr:row>
      <xdr:rowOff>0</xdr:rowOff>
    </xdr:from>
    <xdr:to>
      <xdr:col>12</xdr:col>
      <xdr:colOff>37067</xdr:colOff>
      <xdr:row>161</xdr:row>
      <xdr:rowOff>85114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8266667" cy="4885714"/>
        </a:xfrm>
        <a:prstGeom prst="rect">
          <a:avLst/>
        </a:prstGeom>
      </xdr:spPr>
    </xdr:pic>
    <xdr:clientData/>
  </xdr:twoCellAnchor>
  <xdr:twoCellAnchor editAs="oneCell">
    <xdr:from>
      <xdr:col>13</xdr:col>
      <xdr:colOff>0</xdr:colOff>
      <xdr:row>1</xdr:row>
      <xdr:rowOff>0</xdr:rowOff>
    </xdr:from>
    <xdr:to>
      <xdr:col>25</xdr:col>
      <xdr:colOff>494209</xdr:colOff>
      <xdr:row>29</xdr:row>
      <xdr:rowOff>113686</xdr:rowOff>
    </xdr:to>
    <xdr:pic>
      <xdr:nvPicPr>
        <xdr:cNvPr id="8" name="图片 7"/>
        <xdr:cNvPicPr>
          <a:picLocks noChangeAspect="1"/>
        </xdr:cNvPicPr>
      </xdr:nvPicPr>
      <xdr:blipFill>
        <a:blip xmlns:r="http://schemas.openxmlformats.org/officeDocument/2006/relationships" r:embed="rId7"/>
        <a:stretch>
          <a:fillRect/>
        </a:stretch>
      </xdr:blipFill>
      <xdr:spPr>
        <a:xfrm>
          <a:off x="8915400" y="171450"/>
          <a:ext cx="8723809" cy="4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北京市朝阳区北苑路甲13号院1号楼15层1-1501等18套办公用房房地产房地产抵押价值预评估</v>
      </c>
    </row>
    <row r="3" spans="1:2" s="1593" customFormat="1">
      <c r="A3" s="1591" t="s">
        <v>1216</v>
      </c>
      <c r="B3" s="1592" t="str">
        <f>'预评函-封皮'!B40</f>
        <v>北京新媒传信科技有限公司</v>
      </c>
    </row>
    <row r="4" spans="1:2" s="1593" customFormat="1">
      <c r="A4" s="1591" t="s">
        <v>1217</v>
      </c>
      <c r="B4" s="1592" t="str">
        <f ca="1">'预评函-封皮'!B46</f>
        <v>吴薇（注册号：0)、崔锴（注册号：1120100036)</v>
      </c>
    </row>
    <row r="5" spans="1:2" s="1587" customFormat="1" ht="15" thickBot="1">
      <c r="A5" s="1594" t="s">
        <v>1218</v>
      </c>
      <c r="B5" s="1595" t="str">
        <f>'预评函-封皮'!B49</f>
        <v>康正预评字2020-1-0042-P01DYGJ1号</v>
      </c>
    </row>
    <row r="6" spans="1:2" s="1590" customFormat="1" ht="15" thickTop="1">
      <c r="A6" s="1588" t="s">
        <v>1219</v>
      </c>
      <c r="B6" s="1589" t="str">
        <f>'预评函-1'!A4</f>
        <v>受贵公司委托，我公司对北京市朝阳区北苑路甲13号院1号楼15层1-1501等18套办公用房房地产房地产抵押价值进行了预评估。</v>
      </c>
    </row>
    <row r="7" spans="1:2" s="1593" customFormat="1">
      <c r="A7" s="1591" t="s">
        <v>1259</v>
      </c>
      <c r="B7" s="1592" t="str">
        <f>'预评函-1'!A7</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333.1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333.1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为估价委托人在向浦发银行办理贷款手续过程中，确定房地产抵押贷款额度提供参考依据而评估房地产抵押价值。</v>
      </c>
    </row>
    <row r="12" spans="1:2" s="1593" customFormat="1">
      <c r="A12" s="1591" t="s">
        <v>1221</v>
      </c>
      <c r="B12" s="1592" t="str">
        <f>'预评函-1'!A15</f>
        <v>2021年12月22日（评估专业人员实地查勘之日）</v>
      </c>
    </row>
    <row r="13" spans="1:2" s="1593" customFormat="1">
      <c r="A13" s="1591" t="s">
        <v>1222</v>
      </c>
      <c r="B13" s="1592" t="str">
        <f>'预评函-1'!A18</f>
        <v>本次估价的“房地产价值”是指在正常市场情况下，在价值时点2021年12月22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1204</v>
      </c>
    </row>
    <row r="21" spans="1:2" s="1593" customFormat="1">
      <c r="A21" s="1591" t="s">
        <v>1230</v>
      </c>
      <c r="B21" s="1592">
        <f ca="1">'预评函-2'!D7</f>
        <v>36145</v>
      </c>
    </row>
    <row r="22" spans="1:2" s="1593" customFormat="1">
      <c r="A22" s="1591" t="s">
        <v>1231</v>
      </c>
      <c r="B22" s="1592" t="str">
        <f ca="1">'预评函-2'!D6</f>
        <v>壹仟贰佰零肆万元整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1204</v>
      </c>
    </row>
    <row r="31" spans="1:2" s="1593" customFormat="1">
      <c r="A31" s="1591" t="s">
        <v>1269</v>
      </c>
      <c r="B31" s="1592">
        <f ca="1">'预评函-2'!D15</f>
        <v>36145</v>
      </c>
    </row>
    <row r="32" spans="1:2" s="1593" customFormat="1">
      <c r="A32" s="1591" t="s">
        <v>1236</v>
      </c>
      <c r="B32" s="1592" t="str">
        <f ca="1">'预评函-2'!D14</f>
        <v>壹仟贰佰零肆万元整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北京市朝阳区北苑路甲13号院1号楼15层1-1501等18套办公用房房地产房地产</v>
      </c>
    </row>
    <row r="42" spans="1:2" s="1593" customFormat="1">
      <c r="A42" s="1591" t="s">
        <v>1283</v>
      </c>
      <c r="B42" s="1592" t="str">
        <f>'预评函-3'!B2</f>
        <v>建筑面积</v>
      </c>
    </row>
    <row r="43" spans="1:2" s="1593" customFormat="1">
      <c r="A43" s="1591" t="s">
        <v>1284</v>
      </c>
      <c r="B43" s="1592">
        <f>'预评函-3'!B4</f>
        <v>333.1</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0</v>
      </c>
    </row>
    <row r="72" spans="1:2">
      <c r="A72" s="1591" t="s">
        <v>1257</v>
      </c>
      <c r="B72" s="1600" t="str">
        <f>'预评函-4'!A5</f>
        <v>崔锴</v>
      </c>
    </row>
    <row r="73" spans="1:2" s="1587" customFormat="1" ht="15" thickBot="1">
      <c r="A73" s="1594" t="s">
        <v>1258</v>
      </c>
      <c r="B73" s="1595">
        <f ca="1">'预评函-4'!B5</f>
        <v>1120100036</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42" sqref="N4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1140</v>
      </c>
      <c r="R1" s="2008" t="s">
        <v>1134</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1136</v>
      </c>
      <c r="S2" s="2014" t="s">
        <v>1706</v>
      </c>
      <c r="T2" s="2014" t="s">
        <v>1707</v>
      </c>
      <c r="U2" s="2014" t="s">
        <v>1706</v>
      </c>
      <c r="V2" s="2014" t="s">
        <v>1708</v>
      </c>
      <c r="W2" s="2014" t="s">
        <v>1706</v>
      </c>
    </row>
    <row r="3" spans="1:23">
      <c r="A3" s="2012" t="s">
        <v>1709</v>
      </c>
      <c r="B3" s="2015" t="s">
        <v>1141</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1135</v>
      </c>
      <c r="S3" s="2014" t="s">
        <v>1714</v>
      </c>
      <c r="T3" s="2014" t="s">
        <v>1715</v>
      </c>
      <c r="U3" s="2014" t="s">
        <v>1714</v>
      </c>
      <c r="V3" s="2014" t="s">
        <v>1716</v>
      </c>
      <c r="W3" s="2014" t="s">
        <v>1714</v>
      </c>
    </row>
    <row r="4" spans="1:23">
      <c r="A4" s="2012" t="s">
        <v>1717</v>
      </c>
      <c r="B4" s="2012" t="s">
        <v>1718</v>
      </c>
      <c r="C4" s="2013" t="s">
        <v>762</v>
      </c>
      <c r="D4" s="2014" t="s">
        <v>864</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1137</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1138</v>
      </c>
      <c r="S5" s="2014" t="s">
        <v>1729</v>
      </c>
      <c r="T5" s="2014" t="s">
        <v>1730</v>
      </c>
      <c r="U5" s="2014" t="s">
        <v>1729</v>
      </c>
      <c r="W5" s="2014" t="s">
        <v>1729</v>
      </c>
    </row>
    <row r="6" spans="1:23">
      <c r="A6" s="2012" t="s">
        <v>1731</v>
      </c>
      <c r="B6" s="2015" t="s">
        <v>1142</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1139</v>
      </c>
      <c r="S6" s="2014" t="s">
        <v>1734</v>
      </c>
      <c r="T6" s="2014"/>
      <c r="U6" s="2014" t="s">
        <v>1734</v>
      </c>
      <c r="W6" s="2014" t="s">
        <v>1734</v>
      </c>
    </row>
    <row r="7" spans="1:23">
      <c r="A7" s="2012" t="s">
        <v>1735</v>
      </c>
      <c r="B7" s="2015" t="s">
        <v>1143</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3139</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媒传信科技有限公司拟使用北京市朝阳区北苑路甲13号院1号楼15层1-1501等18套办公用房房地产房地产作为抵押担保物，向浦发银行办理贷款手续。浦发银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8"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020" t="s">
        <v>860</v>
      </c>
      <c r="C54" s="2017" t="s">
        <v>1276</v>
      </c>
    </row>
    <row r="55" spans="1:4">
      <c r="A55" s="3048"/>
      <c r="B55" s="2020" t="s">
        <v>861</v>
      </c>
      <c r="C55" s="2017" t="s">
        <v>1277</v>
      </c>
    </row>
    <row r="56" spans="1:4">
      <c r="A56" s="3048"/>
      <c r="B56" s="2020" t="s">
        <v>862</v>
      </c>
      <c r="C56" s="2017" t="s">
        <v>1281</v>
      </c>
    </row>
    <row r="57" spans="1:4">
      <c r="A57" s="3048"/>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0" customWidth="1"/>
    <col min="2" max="2" width="15.375" style="2030" customWidth="1"/>
    <col min="3" max="3" width="11.5" style="2030" customWidth="1"/>
    <col min="4" max="4" width="12.87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1769</v>
      </c>
      <c r="B1" s="3057" t="str">
        <f>IF(B10="北京市","北京市",C10)&amp;F10&amp;IF(结果表!G1="在建","出让国有建设用地使用权及在建建筑物",IF(结果表!G1="土地","出让国有建设用地使用权",))&amp;B9&amp;"预评估"</f>
        <v>北京市朝阳区北苑路甲13号院1号楼15层1-1501等18套办公用房房地产房地产抵押价值预评估</v>
      </c>
      <c r="C1" s="3058"/>
      <c r="D1" s="3058"/>
      <c r="E1" s="3058"/>
      <c r="F1" s="3058"/>
      <c r="G1" s="3058"/>
      <c r="H1" s="3058"/>
      <c r="I1" s="305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北京市朝阳区北苑路甲13号院1号楼15层1-1501等18套办公用房房地产房地产抵押价值</v>
      </c>
    </row>
    <row r="2" spans="1:19" ht="18" customHeight="1">
      <c r="A2" s="2024" t="s">
        <v>1770</v>
      </c>
      <c r="B2" s="1039" t="s">
        <v>3042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北京市朝阳区北苑路甲13号院1号楼15层1-1501等18套办公用房房地产房地产</v>
      </c>
    </row>
    <row r="3" spans="1:19" ht="18" customHeight="1">
      <c r="A3" s="2033" t="s">
        <v>1771</v>
      </c>
      <c r="B3" s="2034">
        <v>44552</v>
      </c>
      <c r="C3" s="2035" t="s">
        <v>1772</v>
      </c>
      <c r="D3" s="2034">
        <f>B3</f>
        <v>44552</v>
      </c>
      <c r="E3" s="2024"/>
      <c r="F3" s="2024"/>
      <c r="G3" s="2024"/>
      <c r="H3" s="2024"/>
      <c r="I3" s="2024"/>
      <c r="J3" s="2024"/>
      <c r="K3" s="2025"/>
      <c r="L3" s="2026"/>
      <c r="M3" s="2026"/>
      <c r="N3" s="2027"/>
      <c r="O3" s="2028"/>
      <c r="P3" s="2027"/>
      <c r="Q3" s="2027"/>
      <c r="R3" s="2027"/>
      <c r="S3" s="2029"/>
    </row>
    <row r="4" spans="1:19" ht="18" customHeight="1" thickBot="1">
      <c r="A4" s="2036" t="s">
        <v>1773</v>
      </c>
      <c r="B4" s="2037" t="s">
        <v>3043</v>
      </c>
      <c r="C4" s="1037">
        <f ca="1">SUMIF(注册房地产估价师,B4,估价师及机构信息!B3:B24)</f>
        <v>0</v>
      </c>
      <c r="D4" s="2037" t="s">
        <v>3044</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吴薇（注册号：0)、崔锴（注册号：1120100036)</v>
      </c>
      <c r="L4" s="2026"/>
      <c r="M4" s="2026"/>
      <c r="N4" s="2027"/>
      <c r="O4" s="2028"/>
      <c r="P4" s="2027"/>
      <c r="Q4" s="2027"/>
      <c r="R4" s="2027"/>
      <c r="S4" s="2029"/>
    </row>
    <row r="5" spans="1:19" ht="18" customHeight="1" thickTop="1">
      <c r="A5" s="2042" t="s">
        <v>1774</v>
      </c>
      <c r="B5" s="2961" t="s">
        <v>3045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1775</v>
      </c>
      <c r="B6" s="2962" t="s">
        <v>3046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049" t="str">
        <f>B5</f>
        <v>北京新媒传信科技有限公司</v>
      </c>
      <c r="C7" s="2046"/>
      <c r="D7" s="2047"/>
      <c r="E7" s="2032"/>
      <c r="F7" s="2040"/>
      <c r="G7" s="2040"/>
      <c r="H7" s="2040"/>
      <c r="I7" s="2040"/>
      <c r="J7" s="2040"/>
      <c r="K7" s="2050"/>
      <c r="L7" s="2026"/>
      <c r="M7" s="2026"/>
      <c r="N7" s="2027"/>
      <c r="O7" s="2028"/>
      <c r="P7" s="2027"/>
      <c r="Q7" s="2027"/>
      <c r="R7" s="2027"/>
    </row>
    <row r="8" spans="1:19" ht="18" customHeight="1">
      <c r="A8" s="2045" t="s">
        <v>1777</v>
      </c>
      <c r="B8" s="2051" t="s">
        <v>3047</v>
      </c>
      <c r="C8" s="2052"/>
      <c r="D8" s="3060" t="s">
        <v>1778</v>
      </c>
      <c r="E8" s="2053" t="s">
        <v>3048</v>
      </c>
      <c r="F8" s="2054"/>
      <c r="G8" s="2024"/>
      <c r="H8" s="2024"/>
      <c r="I8" s="2024"/>
      <c r="J8" s="2040"/>
      <c r="K8" s="2041"/>
      <c r="L8" s="2026"/>
      <c r="M8" s="2026"/>
      <c r="N8" s="2027"/>
      <c r="O8" s="2028"/>
      <c r="P8" s="2027"/>
      <c r="Q8" s="2027"/>
      <c r="R8" s="2027"/>
    </row>
    <row r="9" spans="1:19" ht="18" customHeight="1" thickBot="1">
      <c r="A9" s="2038" t="s">
        <v>1779</v>
      </c>
      <c r="B9" s="2055" t="s">
        <v>3048</v>
      </c>
      <c r="C9" s="2056"/>
      <c r="D9" s="3061"/>
      <c r="E9" s="2055" t="s">
        <v>70</v>
      </c>
      <c r="F9" s="2057"/>
      <c r="G9" s="2058"/>
      <c r="H9" s="2058"/>
      <c r="I9" s="2058"/>
      <c r="J9" s="2040"/>
      <c r="K9" s="2050"/>
      <c r="L9" s="2026"/>
      <c r="M9" s="2026"/>
      <c r="N9" s="2027"/>
      <c r="O9" s="2028"/>
      <c r="P9" s="2027"/>
      <c r="Q9" s="2027"/>
      <c r="R9" s="2027"/>
    </row>
    <row r="10" spans="1:19" ht="18" customHeight="1" thickTop="1">
      <c r="A10" s="2059" t="s">
        <v>1780</v>
      </c>
      <c r="B10" s="2060" t="s">
        <v>3049</v>
      </c>
      <c r="C10" s="2061"/>
      <c r="D10" s="2044"/>
      <c r="E10" s="2062" t="s">
        <v>1781</v>
      </c>
      <c r="F10" s="2063" t="s">
        <v>3050</v>
      </c>
      <c r="G10" s="2064"/>
      <c r="H10" s="2065"/>
      <c r="I10" s="2044"/>
      <c r="J10" s="2040"/>
      <c r="K10" s="2050"/>
      <c r="L10" s="2026"/>
      <c r="M10" s="2026"/>
      <c r="N10" s="2027"/>
      <c r="O10" s="2028"/>
      <c r="P10" s="2027"/>
      <c r="Q10" s="2027"/>
      <c r="R10" s="2027"/>
    </row>
    <row r="11" spans="1:19" ht="18" customHeight="1">
      <c r="A11" s="2066" t="s">
        <v>1782</v>
      </c>
      <c r="B11" s="2067" t="s">
        <v>3051</v>
      </c>
      <c r="C11" s="2068" t="str">
        <f>B5</f>
        <v>北京新媒传信科技有限公司</v>
      </c>
      <c r="D11" s="2069"/>
      <c r="E11" s="2040"/>
      <c r="F11" s="2040"/>
      <c r="G11" s="2040"/>
      <c r="H11" s="2040"/>
      <c r="I11" s="2040"/>
      <c r="J11" s="2040"/>
      <c r="K11" s="2050"/>
      <c r="L11" s="2026"/>
      <c r="M11" s="2026"/>
      <c r="N11" s="2027"/>
      <c r="O11" s="2028"/>
      <c r="P11" s="2027"/>
      <c r="Q11" s="2027"/>
      <c r="R11" s="2027"/>
    </row>
    <row r="12" spans="1:19" ht="18" customHeight="1">
      <c r="A12" s="2070" t="s">
        <v>1783</v>
      </c>
      <c r="B12" s="2067" t="s">
        <v>3052</v>
      </c>
      <c r="C12" s="2071" t="s">
        <v>1784</v>
      </c>
      <c r="D12" s="2072" t="s">
        <v>1785</v>
      </c>
      <c r="E12" s="2072" t="s">
        <v>1786</v>
      </c>
      <c r="F12" s="2072" t="s">
        <v>1787</v>
      </c>
      <c r="G12" s="2072" t="s">
        <v>1788</v>
      </c>
      <c r="H12" s="2072" t="s">
        <v>1789</v>
      </c>
      <c r="I12" s="2072" t="s">
        <v>1790</v>
      </c>
      <c r="J12" s="2040"/>
      <c r="K12" s="2050"/>
      <c r="L12" s="2026"/>
      <c r="M12" s="2026"/>
      <c r="N12" s="2027"/>
      <c r="O12" s="2028"/>
      <c r="P12" s="2027"/>
      <c r="Q12" s="2027"/>
      <c r="R12" s="2027"/>
    </row>
    <row r="13" spans="1:19" ht="18" customHeight="1">
      <c r="A13" s="2073"/>
      <c r="B13" s="2074"/>
      <c r="C13" s="2075" t="s">
        <v>1791</v>
      </c>
      <c r="D13" s="2076"/>
      <c r="E13" s="2076"/>
      <c r="F13" s="2076">
        <v>57357</v>
      </c>
      <c r="G13" s="2076">
        <v>44841</v>
      </c>
      <c r="H13" s="2076"/>
      <c r="I13" s="1047"/>
      <c r="J13" s="2040"/>
      <c r="K13" s="2050"/>
      <c r="L13" s="2026"/>
      <c r="M13" s="2026"/>
      <c r="N13" s="2027"/>
      <c r="O13" s="2028"/>
      <c r="P13" s="2027"/>
      <c r="Q13" s="2027"/>
      <c r="R13" s="2027"/>
    </row>
    <row r="14" spans="1:19" ht="18" customHeight="1">
      <c r="A14" s="2073"/>
      <c r="B14" s="2074"/>
      <c r="C14" s="2075" t="s">
        <v>1792</v>
      </c>
      <c r="D14" s="1050"/>
      <c r="E14" s="1050"/>
      <c r="F14" s="1050">
        <v>50</v>
      </c>
      <c r="G14" s="1050"/>
      <c r="H14" s="1050"/>
      <c r="I14" s="1050"/>
      <c r="J14" s="2040"/>
      <c r="K14" s="2077"/>
      <c r="L14" s="2026"/>
      <c r="M14" s="2026"/>
      <c r="N14" s="2027"/>
      <c r="O14" s="2028"/>
      <c r="P14" s="2027"/>
      <c r="Q14" s="2027"/>
      <c r="R14" s="2027"/>
    </row>
    <row r="15" spans="1:19" ht="18" customHeight="1">
      <c r="A15" s="2059"/>
      <c r="B15" s="2078"/>
      <c r="C15" s="2075" t="s">
        <v>1793</v>
      </c>
      <c r="D15" s="1049" t="str">
        <f>IF(B12="出让",IF(D13="","",ROUNDDOWN(MIN((D13-$D$3)/365,D14),2)),D14)</f>
        <v/>
      </c>
      <c r="E15" s="1049" t="str">
        <f>IF(B12="出让",IF(E13="","",ROUNDDOWN(MIN((E13-$D$3)/365,E14),2)),E14)</f>
        <v/>
      </c>
      <c r="F15" s="1049">
        <f>IF(B12="出让",IF(F13="","",ROUNDDOWN(MIN((F13-$D$3)/365,F14),2)),F14)</f>
        <v>35.08</v>
      </c>
      <c r="G15" s="1049">
        <f>IF(B12="出让",IF(G13="","",ROUNDDOWN(MIN((G13-$D$3)/365,G14),2)),G14)</f>
        <v>0.79</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2" t="s">
        <v>1794</v>
      </c>
      <c r="B16" s="3067"/>
      <c r="C16" s="3068"/>
      <c r="D16" s="3069"/>
      <c r="E16" s="2082" t="s">
        <v>1795</v>
      </c>
      <c r="F16" s="3070"/>
      <c r="G16" s="3071"/>
      <c r="H16" s="3071"/>
      <c r="I16" s="3072"/>
      <c r="J16" s="2027"/>
      <c r="K16" s="2079"/>
      <c r="L16" s="2080"/>
      <c r="M16" s="2080"/>
      <c r="N16" s="2081"/>
      <c r="O16" s="2080"/>
      <c r="P16" s="2081"/>
      <c r="Q16" s="2027"/>
      <c r="R16" s="2027"/>
    </row>
    <row r="17" spans="1:22" ht="18" customHeight="1">
      <c r="A17" s="2083" t="s">
        <v>1796</v>
      </c>
      <c r="B17" s="2033" t="s">
        <v>1797</v>
      </c>
      <c r="C17" s="1054">
        <f>'数据-汇总表'!E3</f>
        <v>333.1</v>
      </c>
      <c r="D17" s="2084" t="s">
        <v>1798</v>
      </c>
      <c r="E17" s="3073" t="s">
        <v>3053</v>
      </c>
      <c r="F17" s="3074"/>
      <c r="G17" s="3074"/>
      <c r="H17" s="3074"/>
      <c r="I17" s="3075"/>
      <c r="J17" s="2027"/>
      <c r="K17" s="2085"/>
      <c r="L17" s="2080"/>
      <c r="M17" s="2080"/>
      <c r="N17" s="2081"/>
      <c r="O17" s="2080"/>
      <c r="P17" s="2081"/>
      <c r="Q17" s="2027"/>
      <c r="R17" s="2027"/>
      <c r="S17" s="2027"/>
      <c r="T17" s="2027"/>
      <c r="U17" s="2027"/>
      <c r="V17" s="2027"/>
    </row>
    <row r="18" spans="1:22" ht="36" customHeight="1" thickBot="1">
      <c r="A18" s="2086" t="s">
        <v>70</v>
      </c>
      <c r="B18" s="2036" t="s">
        <v>1799</v>
      </c>
      <c r="C18" s="1444">
        <f>'数据-汇总表'!D3</f>
        <v>0</v>
      </c>
      <c r="D18" s="2087" t="s">
        <v>1798</v>
      </c>
      <c r="E18" s="3076" t="s">
        <v>1800</v>
      </c>
      <c r="F18" s="3077"/>
      <c r="G18" s="3077"/>
      <c r="H18" s="3077"/>
      <c r="I18" s="3078"/>
      <c r="J18" s="2027"/>
      <c r="K18" s="2085"/>
      <c r="L18" s="2080"/>
      <c r="M18" s="2080"/>
      <c r="N18" s="2081"/>
      <c r="O18" s="2080"/>
      <c r="P18" s="2081"/>
      <c r="Q18" s="2027"/>
      <c r="R18" s="2027"/>
      <c r="S18" s="2027"/>
      <c r="T18" s="2027"/>
      <c r="U18" s="2027"/>
      <c r="V18" s="2027"/>
    </row>
    <row r="19" spans="1:22" ht="37.5" customHeight="1" thickTop="1" thickBot="1">
      <c r="A19" s="373" t="s">
        <v>1801</v>
      </c>
      <c r="B19" s="352" t="s">
        <v>1802</v>
      </c>
      <c r="C19" s="2088"/>
      <c r="D19" s="2089" t="s">
        <v>1803</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1804</v>
      </c>
      <c r="B20" s="3063" t="s">
        <v>1805</v>
      </c>
      <c r="C20" s="3064"/>
      <c r="D20" s="3065" t="s">
        <v>1806</v>
      </c>
      <c r="E20" s="3066"/>
      <c r="F20" s="2094" t="s">
        <v>1807</v>
      </c>
      <c r="G20" s="2040"/>
      <c r="H20" s="2040"/>
      <c r="I20" s="2040"/>
      <c r="J20" s="2040"/>
      <c r="K20" s="3062" t="s">
        <v>1808</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6"/>
      <c r="N20" s="2081"/>
      <c r="O20" s="2080"/>
      <c r="P20" s="2081"/>
      <c r="Q20" s="2027"/>
      <c r="R20" s="2027"/>
      <c r="S20" s="2027"/>
      <c r="T20" s="2027"/>
      <c r="U20" s="2027"/>
      <c r="V20" s="2027"/>
    </row>
    <row r="21" spans="1:22" ht="24.75" customHeight="1">
      <c r="A21" s="2093"/>
      <c r="B21" s="2095" t="s">
        <v>1809</v>
      </c>
      <c r="C21" s="2096" t="s">
        <v>3054</v>
      </c>
      <c r="D21" s="2097"/>
      <c r="E21" s="2098"/>
      <c r="F21" s="2099"/>
      <c r="G21" s="2040"/>
      <c r="H21" s="2040"/>
      <c r="I21" s="2040"/>
      <c r="J21" s="2040"/>
      <c r="K21" s="306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c r="C22" s="2096"/>
      <c r="D22" s="2024"/>
      <c r="E22" s="2024"/>
      <c r="F22" s="2101"/>
      <c r="G22" s="2040"/>
      <c r="H22" s="2040"/>
      <c r="I22" s="2040"/>
      <c r="J22" s="2040"/>
      <c r="K22" s="306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1810</v>
      </c>
      <c r="B23" s="183" t="s">
        <v>1811</v>
      </c>
      <c r="C23" s="2103"/>
      <c r="D23" s="2104" t="s">
        <v>1811</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1812</v>
      </c>
      <c r="C24" s="2108"/>
      <c r="D24" s="2102" t="s">
        <v>1812</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1813</v>
      </c>
      <c r="C25" s="2108"/>
      <c r="D25" s="2102" t="s">
        <v>1813</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1814</v>
      </c>
      <c r="C26" s="2112"/>
      <c r="D26" s="2113" t="s">
        <v>1815</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50" t="s">
        <v>1816</v>
      </c>
      <c r="B27" s="2059" t="s">
        <v>1817</v>
      </c>
      <c r="C27" s="2116" t="s">
        <v>3055</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50"/>
      <c r="B28" s="2033" t="s">
        <v>1818</v>
      </c>
      <c r="C28" s="2118" t="s">
        <v>3056</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50"/>
      <c r="B29" s="2033" t="s">
        <v>1819</v>
      </c>
      <c r="C29" s="2121" t="s">
        <v>3057</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51"/>
      <c r="B30" s="2033" t="s">
        <v>1820</v>
      </c>
      <c r="C30" s="3052"/>
      <c r="D30" s="3053"/>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54" t="s">
        <v>1821</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55"/>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55"/>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1822</v>
      </c>
      <c r="B34" s="2130" t="s">
        <v>3059</v>
      </c>
      <c r="C34" s="2130" t="s">
        <v>3060</v>
      </c>
      <c r="D34" s="2130" t="s">
        <v>3061</v>
      </c>
      <c r="E34" s="2130" t="s">
        <v>3062</v>
      </c>
      <c r="F34" s="2130" t="s">
        <v>3063</v>
      </c>
      <c r="G34" s="2130" t="s">
        <v>3064</v>
      </c>
      <c r="H34" s="2130" t="s">
        <v>70</v>
      </c>
      <c r="I34" s="2040"/>
      <c r="J34" s="2040"/>
      <c r="K34" s="1794">
        <f>COUNTIF(B34:H34,"——")</f>
        <v>1</v>
      </c>
      <c r="L34" s="2071" t="s">
        <v>1823</v>
      </c>
      <c r="M34" s="2071" t="s">
        <v>1824</v>
      </c>
      <c r="N34" s="2071" t="s">
        <v>1825</v>
      </c>
      <c r="O34" s="2071" t="s">
        <v>1826</v>
      </c>
      <c r="P34" s="2071" t="s">
        <v>1827</v>
      </c>
      <c r="Q34" s="2071" t="s">
        <v>1828</v>
      </c>
      <c r="R34" s="2071" t="s">
        <v>1829</v>
      </c>
      <c r="S34" s="3049" t="s">
        <v>1830</v>
      </c>
      <c r="T34" s="2131" t="str">
        <f>NUMBERSTRING(7-K34,1)&amp;"通"</f>
        <v>六通</v>
      </c>
      <c r="U34" s="2027"/>
      <c r="V34" s="2027"/>
    </row>
    <row r="35" spans="1:22" ht="18" customHeight="1">
      <c r="A35" s="2132"/>
      <c r="B35" s="3056" t="s">
        <v>1831</v>
      </c>
      <c r="C35" s="3056"/>
      <c r="D35" s="3056"/>
      <c r="E35" s="3056"/>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27"/>
      <c r="V35" s="2027"/>
    </row>
    <row r="36" spans="1:22" ht="18" customHeight="1">
      <c r="A36" s="2134"/>
      <c r="B36" s="2133" t="s">
        <v>1832</v>
      </c>
      <c r="C36" s="2133" t="s">
        <v>1833</v>
      </c>
      <c r="D36" s="2133" t="s">
        <v>1834</v>
      </c>
      <c r="E36" s="2133" t="s">
        <v>1835</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1836</v>
      </c>
      <c r="B37" s="2137"/>
      <c r="C37" s="2137"/>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1837</v>
      </c>
      <c r="B38" s="2139"/>
      <c r="C38" s="2139"/>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1838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1839</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1840</v>
      </c>
      <c r="B42" s="1794" t="s">
        <v>1841</v>
      </c>
      <c r="C42" s="1794" t="s">
        <v>1842</v>
      </c>
      <c r="D42" s="1794" t="s">
        <v>1843</v>
      </c>
      <c r="E42" s="1794" t="s">
        <v>1844</v>
      </c>
      <c r="F42" s="1794" t="s">
        <v>1845</v>
      </c>
      <c r="G42" s="1794" t="s">
        <v>1846</v>
      </c>
      <c r="H42" s="1794" t="s">
        <v>1847</v>
      </c>
      <c r="I42" s="1794" t="s">
        <v>1848</v>
      </c>
      <c r="J42" s="2149" t="s">
        <v>1849</v>
      </c>
      <c r="K42" s="2072" t="s">
        <v>1850</v>
      </c>
      <c r="L42" s="2072" t="s">
        <v>1851</v>
      </c>
      <c r="M42" s="2072" t="s">
        <v>1852</v>
      </c>
      <c r="N42" s="1794" t="s">
        <v>1853</v>
      </c>
      <c r="O42" s="1794" t="s">
        <v>1854</v>
      </c>
      <c r="P42" s="1794" t="s">
        <v>1855</v>
      </c>
      <c r="Q42" s="2071" t="s">
        <v>1856</v>
      </c>
      <c r="R42" s="2071" t="s">
        <v>1857</v>
      </c>
      <c r="S42" s="2027"/>
      <c r="T42" s="2027"/>
      <c r="U42" s="2027"/>
      <c r="V42" s="2027"/>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1860</v>
      </c>
      <c r="B2" s="11" t="s">
        <v>1861</v>
      </c>
      <c r="C2" s="11" t="s">
        <v>1862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1863</v>
      </c>
      <c r="AZ2" s="1270" t="s">
        <v>1864</v>
      </c>
      <c r="BA2" s="11" t="s">
        <v>1865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333.1</v>
      </c>
      <c r="C3" s="2165" t="s">
        <v>1866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1867</v>
      </c>
      <c r="B5" s="1802"/>
      <c r="C5" s="1802"/>
      <c r="D5" s="1805"/>
      <c r="E5" s="16" t="s">
        <v>1</v>
      </c>
      <c r="F5" s="16">
        <f>SUM(F13:F587)</f>
        <v>0</v>
      </c>
      <c r="G5" s="16">
        <f>SUM(G13:G587)</f>
        <v>333.1</v>
      </c>
      <c r="H5" s="16">
        <f t="shared" ref="H5:AT5" si="0">SUM(H13:H656)</f>
        <v>333.1</v>
      </c>
      <c r="I5" s="16">
        <f t="shared" si="0"/>
        <v>333.1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1867</v>
      </c>
      <c r="AW5" s="1802"/>
      <c r="AX5" s="1802"/>
      <c r="AY5" s="17" t="s">
        <v>3</v>
      </c>
      <c r="AZ5" s="18">
        <f t="shared" ref="AZ5:BT5" si="1">SUM(AZ13:AZ656)</f>
        <v>333.1</v>
      </c>
      <c r="BA5" s="18">
        <f t="shared" si="1"/>
        <v>333.1</v>
      </c>
      <c r="BB5" s="18">
        <f t="shared" si="1"/>
        <v>333.1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1868</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1868</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1869</v>
      </c>
      <c r="B7" s="2106" t="s">
        <v>1870</v>
      </c>
      <c r="C7" s="2106" t="s">
        <v>1871</v>
      </c>
      <c r="D7" s="2106" t="s">
        <v>1872</v>
      </c>
      <c r="E7" s="2106" t="s">
        <v>1873</v>
      </c>
      <c r="F7" s="2106" t="s">
        <v>1874</v>
      </c>
      <c r="G7" s="2175" t="s">
        <v>1875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1876</v>
      </c>
      <c r="AV7" s="23" t="s">
        <v>1877</v>
      </c>
      <c r="AW7" s="2163" t="s">
        <v>1878</v>
      </c>
      <c r="AX7" s="23" t="s">
        <v>1871</v>
      </c>
      <c r="AY7" s="1802" t="s">
        <v>1879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1880</v>
      </c>
      <c r="H8" s="2181" t="s">
        <v>1881</v>
      </c>
      <c r="I8" s="2182"/>
      <c r="J8" s="1817"/>
      <c r="K8" s="1817"/>
      <c r="L8" s="1817"/>
      <c r="M8" s="1817"/>
      <c r="N8" s="1817"/>
      <c r="O8" s="1817"/>
      <c r="P8" s="1817"/>
      <c r="Q8" s="1817"/>
      <c r="R8" s="1817"/>
      <c r="S8" s="1817"/>
      <c r="T8" s="1817"/>
      <c r="U8" s="1817"/>
      <c r="V8" s="2183"/>
      <c r="W8" s="1817"/>
      <c r="X8" s="1817"/>
      <c r="Y8" s="1817"/>
      <c r="Z8" s="1817"/>
      <c r="AA8" s="2183"/>
      <c r="AB8" s="2184"/>
      <c r="AC8" s="981" t="s">
        <v>1882</v>
      </c>
      <c r="AD8" s="2185"/>
      <c r="AE8" s="2177"/>
      <c r="AF8" s="1817"/>
      <c r="AG8" s="1817"/>
      <c r="AH8" s="1817"/>
      <c r="AI8" s="1817"/>
      <c r="AJ8" s="1817"/>
      <c r="AK8" s="1817"/>
      <c r="AL8" s="1817"/>
      <c r="AM8" s="1817"/>
      <c r="AN8" s="1817"/>
      <c r="AO8" s="1817"/>
      <c r="AP8" s="1817"/>
      <c r="AQ8" s="1817"/>
      <c r="AR8" s="1817"/>
      <c r="AS8" s="1817"/>
      <c r="AT8" s="1292" t="s">
        <v>1883</v>
      </c>
      <c r="AU8" s="2179" t="s">
        <v>1884</v>
      </c>
      <c r="AV8" s="1292"/>
      <c r="AW8" s="2162"/>
      <c r="AX8" s="1292"/>
      <c r="AY8" s="2163"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1887</v>
      </c>
      <c r="I9" s="2188" t="s">
        <v>3066</v>
      </c>
      <c r="J9" s="981"/>
      <c r="K9" s="2188"/>
      <c r="L9" s="981"/>
      <c r="M9" s="2188"/>
      <c r="N9" s="981"/>
      <c r="O9" s="2188"/>
      <c r="P9" s="981"/>
      <c r="Q9" s="2188"/>
      <c r="R9" s="981"/>
      <c r="S9" s="2188"/>
      <c r="T9" s="981"/>
      <c r="U9" s="2188"/>
      <c r="V9" s="981"/>
      <c r="W9" s="2188"/>
      <c r="X9" s="2189"/>
      <c r="Y9" s="2188"/>
      <c r="Z9" s="981"/>
      <c r="AA9" s="2188"/>
      <c r="AB9" s="981"/>
      <c r="AC9" s="2180"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90"/>
      <c r="AT9" s="2179"/>
      <c r="AU9" s="2179" t="s">
        <v>1890</v>
      </c>
      <c r="AV9" s="1292"/>
      <c r="AW9" s="2162"/>
      <c r="AX9" s="1292"/>
      <c r="AY9" s="28"/>
      <c r="AZ9" s="28" t="s">
        <v>1880</v>
      </c>
      <c r="BA9" s="2191" t="s">
        <v>1891</v>
      </c>
      <c r="BB9" s="2192"/>
      <c r="BC9" s="1338"/>
      <c r="BD9" s="1338"/>
      <c r="BE9" s="1338"/>
      <c r="BF9" s="1338"/>
      <c r="BG9" s="1338"/>
      <c r="BH9" s="1338"/>
      <c r="BI9" s="1338"/>
      <c r="BJ9" s="1338"/>
      <c r="BK9" s="2193"/>
      <c r="BL9" s="15" t="s">
        <v>1892</v>
      </c>
      <c r="BM9" s="1817"/>
      <c r="BN9" s="2182"/>
      <c r="BO9" s="1817"/>
      <c r="BP9" s="1817"/>
      <c r="BQ9" s="1817"/>
      <c r="BR9" s="1817"/>
      <c r="BS9" s="1817"/>
      <c r="BT9" s="26"/>
    </row>
    <row r="10" spans="1:72" s="2186" customFormat="1" ht="12.75">
      <c r="A10" s="2179"/>
      <c r="B10" s="2179"/>
      <c r="C10" s="2179"/>
      <c r="D10" s="2179"/>
      <c r="E10" s="2179"/>
      <c r="F10" s="2179"/>
      <c r="G10" s="1292"/>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2"/>
      <c r="AD10" s="15" t="s">
        <v>1893</v>
      </c>
      <c r="AE10" s="2195"/>
      <c r="AF10" s="15" t="s">
        <v>1893</v>
      </c>
      <c r="AG10" s="2195"/>
      <c r="AH10" s="15" t="s">
        <v>1894</v>
      </c>
      <c r="AI10" s="2195"/>
      <c r="AJ10" s="15" t="s">
        <v>1894</v>
      </c>
      <c r="AK10" s="2195"/>
      <c r="AL10" s="15" t="s">
        <v>1895</v>
      </c>
      <c r="AM10" s="1298"/>
      <c r="AN10" s="15" t="s">
        <v>1895</v>
      </c>
      <c r="AO10" s="1298"/>
      <c r="AP10" s="15" t="s">
        <v>1896</v>
      </c>
      <c r="AQ10" s="1298"/>
      <c r="AR10" s="15" t="s">
        <v>1896</v>
      </c>
      <c r="AS10" s="1298"/>
      <c r="AT10" s="2179"/>
      <c r="AU10" s="2179"/>
      <c r="AV10" s="1292"/>
      <c r="AW10" s="2162"/>
      <c r="AX10" s="1292"/>
      <c r="AY10" s="28"/>
      <c r="AZ10" s="28"/>
      <c r="BA10" s="2196" t="s">
        <v>1887</v>
      </c>
      <c r="BB10" s="2197" t="str">
        <f>I9</f>
        <v>地上</v>
      </c>
      <c r="BC10" s="29">
        <f>K9</f>
        <v>0</v>
      </c>
      <c r="BD10" s="29">
        <f>M9</f>
        <v>0</v>
      </c>
      <c r="BE10" s="29">
        <f>O9</f>
        <v>0</v>
      </c>
      <c r="BF10" s="29">
        <f>Q9</f>
        <v>0</v>
      </c>
      <c r="BG10" s="29">
        <f>S9</f>
        <v>0</v>
      </c>
      <c r="BH10" s="29">
        <f>U9</f>
        <v>0</v>
      </c>
      <c r="BI10" s="29">
        <f>W9</f>
        <v>0</v>
      </c>
      <c r="BJ10" s="29">
        <f>Y9</f>
        <v>0</v>
      </c>
      <c r="BK10" s="29">
        <f>AA9</f>
        <v>0</v>
      </c>
      <c r="BL10" s="25" t="s">
        <v>1887</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3067</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1897</v>
      </c>
      <c r="AE11" s="1818"/>
      <c r="AF11" s="2201" t="s">
        <v>1897</v>
      </c>
      <c r="AG11" s="1818"/>
      <c r="AH11" s="2201" t="s">
        <v>1898</v>
      </c>
      <c r="AI11" s="2202"/>
      <c r="AJ11" s="2201" t="s">
        <v>1898</v>
      </c>
      <c r="AK11" s="1818"/>
      <c r="AL11" s="1816"/>
      <c r="AM11" s="1818"/>
      <c r="AN11" s="1816"/>
      <c r="AO11" s="1818"/>
      <c r="AP11" s="1816"/>
      <c r="AQ11" s="1818"/>
      <c r="AR11" s="1816"/>
      <c r="AS11" s="1818"/>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6"/>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4" t="s">
        <v>1900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150" t="s">
        <v>3171</v>
      </c>
      <c r="D13" s="2210" t="s">
        <v>3065</v>
      </c>
      <c r="E13" s="16">
        <f>IF($C$3="是",ROUND($A$3*G13/$B$3,2),ROUND($A$3*(G13-AT13)/$B$3,2))</f>
        <v>0</v>
      </c>
      <c r="F13" s="32"/>
      <c r="G13" s="33">
        <f>H13+AC13+AT13</f>
        <v>333.1</v>
      </c>
      <c r="H13" s="20">
        <f>SUMIF(I$12:AB$12,"总值",I13:AB13)</f>
        <v>333.1</v>
      </c>
      <c r="I13" s="2211">
        <v>333.1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2-805</v>
      </c>
      <c r="AY13" s="1805">
        <f>ROUND($AY$6*AZ13/$AZ$5,2)</f>
        <v>0</v>
      </c>
      <c r="AZ13" s="16">
        <f>BA13+BL13</f>
        <v>333.1</v>
      </c>
      <c r="BA13" s="16">
        <f>SUM(BB13:BK13)</f>
        <v>333.1</v>
      </c>
      <c r="BB13" s="16">
        <f>IF($D13="是",I13-J13,0)</f>
        <v>333.1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0"/>
      <c r="D18" s="2210"/>
      <c r="E18" s="35">
        <f t="shared" ref="E18:E112" si="7">IF($C$3="是",ROUND($A$3*G18/$B$3,2),ROUND($A$3*(G18-AT18)/$B$3,2))</f>
        <v>0</v>
      </c>
      <c r="F18" s="36"/>
      <c r="G18" s="37">
        <f t="shared" ref="G18:G109" si="8">H18+AC18+AT18</f>
        <v>0</v>
      </c>
      <c r="H18" s="38">
        <f t="shared" ref="H18:H109" si="9">SUMIF(I$12:AB$12,"总值",I18:AB18)</f>
        <v>0</v>
      </c>
      <c r="I18" s="221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0"/>
      <c r="D19" s="2210"/>
      <c r="E19" s="35">
        <f t="shared" si="7"/>
        <v>0</v>
      </c>
      <c r="F19" s="36"/>
      <c r="G19" s="37">
        <f t="shared" si="8"/>
        <v>0</v>
      </c>
      <c r="H19" s="38">
        <f t="shared" si="9"/>
        <v>0</v>
      </c>
      <c r="I19" s="221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0"/>
      <c r="D20" s="2210"/>
      <c r="E20" s="35">
        <f t="shared" si="7"/>
        <v>0</v>
      </c>
      <c r="F20" s="36"/>
      <c r="G20" s="37">
        <f t="shared" si="8"/>
        <v>0</v>
      </c>
      <c r="H20" s="38">
        <f t="shared" si="9"/>
        <v>0</v>
      </c>
      <c r="I20" s="221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0"/>
      <c r="D21" s="2210"/>
      <c r="E21" s="35">
        <f t="shared" si="7"/>
        <v>0</v>
      </c>
      <c r="F21" s="36"/>
      <c r="G21" s="37">
        <f t="shared" si="8"/>
        <v>0</v>
      </c>
      <c r="H21" s="38">
        <f t="shared" si="9"/>
        <v>0</v>
      </c>
      <c r="I21" s="221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0"/>
      <c r="D22" s="2210"/>
      <c r="E22" s="35">
        <f t="shared" si="7"/>
        <v>0</v>
      </c>
      <c r="F22" s="36"/>
      <c r="G22" s="37">
        <f t="shared" si="8"/>
        <v>0</v>
      </c>
      <c r="H22" s="38">
        <f t="shared" si="9"/>
        <v>0</v>
      </c>
      <c r="I22" s="2211"/>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0"/>
      <c r="D23" s="2210"/>
      <c r="E23" s="35">
        <f t="shared" si="7"/>
        <v>0</v>
      </c>
      <c r="F23" s="36"/>
      <c r="G23" s="37">
        <f t="shared" si="8"/>
        <v>0</v>
      </c>
      <c r="H23" s="38">
        <f t="shared" si="9"/>
        <v>0</v>
      </c>
      <c r="I23" s="2211"/>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0"/>
      <c r="D24" s="2210"/>
      <c r="E24" s="35">
        <f t="shared" si="7"/>
        <v>0</v>
      </c>
      <c r="F24" s="36"/>
      <c r="G24" s="37">
        <f t="shared" si="8"/>
        <v>0</v>
      </c>
      <c r="H24" s="38">
        <f t="shared" si="9"/>
        <v>0</v>
      </c>
      <c r="I24" s="2211"/>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50"/>
      <c r="D25" s="2210"/>
      <c r="E25" s="35">
        <f t="shared" si="7"/>
        <v>0</v>
      </c>
      <c r="F25" s="36"/>
      <c r="G25" s="37">
        <f t="shared" si="8"/>
        <v>0</v>
      </c>
      <c r="H25" s="38">
        <f t="shared" si="9"/>
        <v>0</v>
      </c>
      <c r="I25" s="2211"/>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150"/>
      <c r="D26" s="2210"/>
      <c r="E26" s="35">
        <f t="shared" si="7"/>
        <v>0</v>
      </c>
      <c r="F26" s="36"/>
      <c r="G26" s="37">
        <f t="shared" si="8"/>
        <v>0</v>
      </c>
      <c r="H26" s="38">
        <f t="shared" si="9"/>
        <v>0</v>
      </c>
      <c r="I26" s="2211"/>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150"/>
      <c r="D27" s="2210"/>
      <c r="E27" s="35">
        <f t="shared" si="7"/>
        <v>0</v>
      </c>
      <c r="F27" s="36"/>
      <c r="G27" s="37">
        <f t="shared" si="8"/>
        <v>0</v>
      </c>
      <c r="H27" s="38">
        <f t="shared" si="9"/>
        <v>0</v>
      </c>
      <c r="I27" s="2211"/>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150"/>
      <c r="D28" s="2210"/>
      <c r="E28" s="35">
        <f t="shared" si="7"/>
        <v>0</v>
      </c>
      <c r="F28" s="36"/>
      <c r="G28" s="37">
        <f t="shared" si="8"/>
        <v>0</v>
      </c>
      <c r="H28" s="38">
        <f t="shared" si="9"/>
        <v>0</v>
      </c>
      <c r="I28" s="2211"/>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150"/>
      <c r="D29" s="2210"/>
      <c r="E29" s="35">
        <f t="shared" si="7"/>
        <v>0</v>
      </c>
      <c r="F29" s="36"/>
      <c r="G29" s="37">
        <f t="shared" si="8"/>
        <v>0</v>
      </c>
      <c r="H29" s="38">
        <f t="shared" si="9"/>
        <v>0</v>
      </c>
      <c r="I29" s="2211"/>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150"/>
      <c r="D30" s="2210"/>
      <c r="E30" s="35">
        <f t="shared" si="7"/>
        <v>0</v>
      </c>
      <c r="F30" s="36"/>
      <c r="G30" s="37">
        <f t="shared" si="8"/>
        <v>0</v>
      </c>
      <c r="H30" s="38">
        <f t="shared" si="9"/>
        <v>0</v>
      </c>
      <c r="I30" s="2211"/>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1926</v>
      </c>
      <c r="B1" s="1392"/>
      <c r="C1" s="1392"/>
      <c r="D1" s="1392"/>
      <c r="E1" s="1392"/>
      <c r="F1" s="1392"/>
      <c r="G1" s="1392"/>
      <c r="H1" s="1392"/>
      <c r="I1" s="1392"/>
      <c r="J1" s="1392"/>
      <c r="K1" s="1392"/>
      <c r="L1" s="1392"/>
      <c r="M1" s="1392"/>
      <c r="N1" s="1392"/>
      <c r="O1" s="1392"/>
      <c r="P1" s="1392"/>
    </row>
    <row r="2" spans="1:16" ht="15">
      <c r="A2" s="3090" t="s">
        <v>1927</v>
      </c>
      <c r="B2" s="3090"/>
      <c r="C2" s="3090"/>
      <c r="D2" s="967" t="s">
        <v>1903</v>
      </c>
      <c r="E2" s="2224" t="s">
        <v>1904</v>
      </c>
      <c r="F2" s="1392"/>
      <c r="G2" s="2225"/>
      <c r="H2" s="2226"/>
      <c r="I2" s="2227" t="s">
        <v>1928</v>
      </c>
      <c r="J2" s="1392"/>
      <c r="K2" s="1392"/>
      <c r="L2" s="1392"/>
      <c r="M2" s="1392"/>
      <c r="N2" s="1427"/>
      <c r="O2" s="1392"/>
      <c r="P2" s="1392"/>
    </row>
    <row r="3" spans="1:16" ht="15.75" thickBot="1">
      <c r="A3" s="3091" t="s">
        <v>1901</v>
      </c>
      <c r="B3" s="3091"/>
      <c r="C3" s="3091"/>
      <c r="D3" s="46">
        <f>'数据-基础表'!AY6</f>
        <v>0</v>
      </c>
      <c r="E3" s="46">
        <f>'数据-基础表'!AZ5</f>
        <v>333.1</v>
      </c>
      <c r="F3" s="1392"/>
      <c r="G3" s="1399"/>
      <c r="H3" s="1247" t="s">
        <v>1902</v>
      </c>
      <c r="I3" s="55" t="e">
        <f>ROUND('数据-基础表'!B3/'数据-基础表'!A3,2)</f>
        <v>#DIV/0!</v>
      </c>
      <c r="J3" s="1392"/>
      <c r="K3" s="1392"/>
      <c r="L3" s="1392"/>
      <c r="M3" s="1392"/>
      <c r="N3" s="1427"/>
      <c r="O3" s="1392"/>
      <c r="P3" s="1392"/>
    </row>
    <row r="4" spans="1:16" ht="15">
      <c r="A4" s="3092"/>
      <c r="B4" s="3093"/>
      <c r="C4" s="3094"/>
      <c r="D4" s="2228" t="s">
        <v>1903</v>
      </c>
      <c r="E4" s="2229" t="s">
        <v>1904</v>
      </c>
      <c r="F4" s="1392"/>
      <c r="G4" s="2230" t="s">
        <v>1929</v>
      </c>
      <c r="H4" s="1247" t="s">
        <v>1909</v>
      </c>
      <c r="I4" s="55" t="e">
        <f>ROUND(SUMIF('数据-基础表'!I9:AS9,"地上",'数据-基础表'!I5:AS5)/'数据-基础表'!A3,2)</f>
        <v>#DIV/0!</v>
      </c>
      <c r="J4" s="1392"/>
      <c r="K4" s="1392"/>
      <c r="L4" s="1392"/>
      <c r="M4" s="1392"/>
      <c r="N4" s="1427"/>
      <c r="O4" s="1392"/>
      <c r="P4" s="1392"/>
    </row>
    <row r="5" spans="1:16">
      <c r="A5" s="47" t="s">
        <v>1905</v>
      </c>
      <c r="B5" s="3095" t="s">
        <v>1906</v>
      </c>
      <c r="C5" s="3095"/>
      <c r="D5" s="48">
        <f>ROUND($D$3*E5/$E$3,2)</f>
        <v>0</v>
      </c>
      <c r="E5" s="49">
        <f>SUMIF('数据-基础表'!$11:$11,"住宅",'数据-基础表'!$5:$5)</f>
        <v>0</v>
      </c>
      <c r="F5" s="1392"/>
      <c r="G5" s="1399"/>
      <c r="H5" s="1247" t="s">
        <v>1902</v>
      </c>
      <c r="I5" s="55" t="e">
        <f>ROUND(E31/D31,2)</f>
        <v>#DIV/0!</v>
      </c>
      <c r="J5" s="1392"/>
      <c r="K5" s="1392"/>
      <c r="L5" s="1392"/>
      <c r="M5" s="1392"/>
      <c r="N5" s="1392"/>
      <c r="O5" s="1392"/>
      <c r="P5" s="1392"/>
    </row>
    <row r="6" spans="1:16" ht="15" thickBot="1">
      <c r="A6" s="2231"/>
      <c r="B6" s="3095" t="s">
        <v>1907</v>
      </c>
      <c r="C6" s="3095"/>
      <c r="D6" s="48">
        <f>ROUND($D$3*E6/$E$3,2)</f>
        <v>0</v>
      </c>
      <c r="E6" s="49">
        <f>E3-E5</f>
        <v>333.1</v>
      </c>
      <c r="F6" s="1392"/>
      <c r="G6" s="2232" t="s">
        <v>1908</v>
      </c>
      <c r="H6" s="1399" t="s">
        <v>1909</v>
      </c>
      <c r="I6" s="939" t="e">
        <f>ROUND(F31/D31,2)</f>
        <v>#DIV/0!</v>
      </c>
      <c r="J6" s="1392"/>
      <c r="K6" s="1392"/>
      <c r="L6" s="1392"/>
      <c r="M6" s="1392"/>
      <c r="N6" s="1392"/>
      <c r="O6" s="1392"/>
      <c r="P6" s="1392"/>
    </row>
    <row r="7" spans="1:16" ht="15">
      <c r="A7" s="3087"/>
      <c r="B7" s="3088"/>
      <c r="C7" s="3089"/>
      <c r="D7" s="2228" t="s">
        <v>1903</v>
      </c>
      <c r="E7" s="2233" t="s">
        <v>1910</v>
      </c>
      <c r="F7" s="1392"/>
      <c r="G7" s="2225" t="s">
        <v>1911</v>
      </c>
      <c r="H7" s="64"/>
      <c r="I7" s="420"/>
      <c r="J7" s="1392"/>
      <c r="K7" s="1392"/>
      <c r="L7" s="1392"/>
      <c r="M7" s="1392"/>
      <c r="N7" s="1392"/>
      <c r="O7" s="1392"/>
      <c r="P7" s="1392"/>
    </row>
    <row r="8" spans="1:16">
      <c r="A8" s="47" t="s">
        <v>1912</v>
      </c>
      <c r="B8" s="50" t="s">
        <v>1913</v>
      </c>
      <c r="C8" s="48" t="s">
        <v>1914</v>
      </c>
      <c r="D8" s="48">
        <f t="shared" ref="D8:D15" si="0">ROUND($D$3*E8/$E$3,2)</f>
        <v>0</v>
      </c>
      <c r="E8" s="51">
        <f>SUMIF('数据-基础表'!BB10:BK10,"地上",'数据-基础表'!BB5:BK5)</f>
        <v>333.1</v>
      </c>
      <c r="F8" s="1392"/>
      <c r="G8" s="2234"/>
      <c r="H8" s="2234"/>
      <c r="I8" s="1392"/>
      <c r="J8" s="1392"/>
      <c r="K8" s="1392"/>
      <c r="L8" s="1392"/>
      <c r="M8" s="1392"/>
      <c r="N8" s="1392"/>
      <c r="O8" s="1392"/>
      <c r="P8" s="1392"/>
    </row>
    <row r="9" spans="1:16">
      <c r="A9" s="2235"/>
      <c r="B9" s="2236"/>
      <c r="C9" s="48" t="s">
        <v>1915</v>
      </c>
      <c r="D9" s="48">
        <f t="shared" si="0"/>
        <v>0</v>
      </c>
      <c r="E9" s="52">
        <v>0</v>
      </c>
      <c r="F9" s="1392"/>
      <c r="G9" s="2234"/>
      <c r="H9" s="2234"/>
      <c r="I9" s="1392"/>
      <c r="J9" s="1392"/>
      <c r="K9" s="1392"/>
      <c r="L9" s="1392"/>
      <c r="M9" s="1392"/>
      <c r="N9" s="1392"/>
      <c r="O9" s="1392"/>
      <c r="P9" s="1392"/>
    </row>
    <row r="10" spans="1:16">
      <c r="A10" s="2235"/>
      <c r="B10" s="2236"/>
      <c r="C10" s="48" t="s">
        <v>1924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1919</v>
      </c>
      <c r="D16" s="50">
        <f>SUM(D8:D15)</f>
        <v>0</v>
      </c>
      <c r="E16" s="53">
        <f>SUM(E8:E15)</f>
        <v>333.1</v>
      </c>
      <c r="F16" s="1392"/>
      <c r="G16" s="2234"/>
      <c r="H16" s="2237" t="s">
        <v>1931</v>
      </c>
      <c r="I16" s="2238"/>
      <c r="J16" s="1392"/>
      <c r="K16" s="3084" t="s">
        <v>1931</v>
      </c>
      <c r="L16" s="3085"/>
      <c r="M16" s="3085"/>
      <c r="N16" s="3085"/>
      <c r="O16" s="3085"/>
      <c r="P16" s="3086"/>
    </row>
    <row r="17" spans="1:19" ht="15">
      <c r="A17" s="2239" t="s">
        <v>1932</v>
      </c>
      <c r="B17" s="2240" t="s">
        <v>1933</v>
      </c>
      <c r="C17" s="2241" t="s">
        <v>1934</v>
      </c>
      <c r="D17" s="2242" t="s">
        <v>1922</v>
      </c>
      <c r="E17" s="2243" t="s">
        <v>1923</v>
      </c>
      <c r="F17" s="2244"/>
      <c r="G17" s="2245"/>
      <c r="H17" s="2246" t="s">
        <v>1935</v>
      </c>
      <c r="I17" s="2247" t="s">
        <v>1920</v>
      </c>
      <c r="J17" s="1392"/>
      <c r="K17" s="3081" t="s">
        <v>1936</v>
      </c>
      <c r="L17" s="3082"/>
      <c r="M17" s="3083"/>
      <c r="N17" s="3081" t="s">
        <v>1937</v>
      </c>
      <c r="O17" s="3082"/>
      <c r="P17" s="3083"/>
      <c r="R17" s="2225" t="s">
        <v>1938</v>
      </c>
      <c r="S17" s="64"/>
    </row>
    <row r="18" spans="1:19" ht="15">
      <c r="A18" s="2235"/>
      <c r="B18" s="2248"/>
      <c r="C18" s="2249"/>
      <c r="D18" s="2250"/>
      <c r="E18" s="2251" t="s">
        <v>1939</v>
      </c>
      <c r="F18" s="2252" t="s">
        <v>1940</v>
      </c>
      <c r="G18" s="2253" t="s">
        <v>1941</v>
      </c>
      <c r="H18" s="1262" t="s">
        <v>1942</v>
      </c>
      <c r="I18" s="2254" t="s">
        <v>1943</v>
      </c>
      <c r="J18" s="1392"/>
      <c r="K18" s="1262" t="s">
        <v>1944</v>
      </c>
      <c r="L18" s="2255" t="s">
        <v>1945</v>
      </c>
      <c r="M18" s="1046" t="s">
        <v>1946</v>
      </c>
      <c r="N18" s="1262" t="s">
        <v>1944</v>
      </c>
      <c r="O18" s="2255" t="s">
        <v>1945</v>
      </c>
      <c r="P18" s="1046" t="s">
        <v>1946</v>
      </c>
      <c r="R18" s="1247" t="s">
        <v>1947</v>
      </c>
      <c r="S18" s="1247" t="s">
        <v>1948</v>
      </c>
    </row>
    <row r="19" spans="1:19">
      <c r="A19" s="2256"/>
      <c r="B19" s="50" t="s">
        <v>1921</v>
      </c>
      <c r="C19" s="2963" t="str">
        <f>'数据-基础表'!C13</f>
        <v>2-805</v>
      </c>
      <c r="D19" s="48">
        <f>ROUND($D$3*E19/$E$3,2)</f>
        <v>0</v>
      </c>
      <c r="E19" s="56">
        <f t="shared" ref="E19:E26" si="1">SUM(F19:G19)</f>
        <v>333.1</v>
      </c>
      <c r="F19" s="57">
        <f>'数据-基础表'!I13</f>
        <v>333.1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333.1</v>
      </c>
    </row>
    <row r="20" spans="1:19">
      <c r="A20" s="2260"/>
      <c r="B20" s="50" t="s">
        <v>1949</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1949</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1950</v>
      </c>
      <c r="D27" s="1393">
        <f>SUM(D19:D26)</f>
        <v>0</v>
      </c>
      <c r="E27" s="1394">
        <f>IF(SUM(E19:E26)='数据-基础表'!BA5,SUM(E19:E26),IF(F27="地上面积有误","面积有误","地下面积有误"))</f>
        <v>333.1</v>
      </c>
      <c r="F27" s="1393">
        <f>IF(SUM(F19:F26)=E8,SUM(F19:F26),"地上面积有误")</f>
        <v>333.1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333.1</v>
      </c>
    </row>
    <row r="28" spans="1:19">
      <c r="A28" s="2260"/>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1951</v>
      </c>
      <c r="C29" s="2264"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1954</v>
      </c>
      <c r="D31" s="729">
        <f>D27+D30</f>
        <v>0</v>
      </c>
      <c r="E31" s="729">
        <f>E27+E30</f>
        <v>333.1</v>
      </c>
      <c r="F31" s="730">
        <f>F27+F30</f>
        <v>333.1</v>
      </c>
      <c r="G31" s="731">
        <f>G27+G30</f>
        <v>0</v>
      </c>
      <c r="H31" s="1392"/>
      <c r="I31" s="1392"/>
      <c r="J31" s="1392"/>
      <c r="K31" s="1392"/>
      <c r="L31" s="1392"/>
      <c r="M31" s="1392"/>
      <c r="N31" s="1392"/>
      <c r="O31" s="1392"/>
      <c r="P31" s="1392"/>
    </row>
    <row r="32" spans="1:19">
      <c r="A32" s="2230"/>
      <c r="B32" s="2230" t="s">
        <v>1955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1956</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9" customFormat="1" ht="15.75" thickBot="1">
      <c r="A2" s="2273" t="s">
        <v>1957</v>
      </c>
      <c r="B2" s="1266">
        <f>项目基本情况!D3</f>
        <v>44552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1958</v>
      </c>
      <c r="B4" s="2278"/>
      <c r="C4" s="2279"/>
      <c r="D4" s="2280"/>
      <c r="E4" s="2279" t="s">
        <v>1959</v>
      </c>
      <c r="F4" s="2279"/>
      <c r="G4" s="2279"/>
      <c r="H4" s="2279"/>
      <c r="I4" s="2279"/>
      <c r="J4" s="2281"/>
      <c r="K4" s="2282"/>
      <c r="L4" s="2283"/>
      <c r="M4" s="2279"/>
      <c r="N4" s="2279" t="s">
        <v>1960</v>
      </c>
      <c r="O4" s="2279"/>
      <c r="P4" s="2279"/>
      <c r="Q4" s="2279"/>
      <c r="R4" s="2279"/>
      <c r="S4" s="2281"/>
      <c r="T4" s="2284" t="str">
        <f>'数据-汇总表'!I17</f>
        <v>按面积比例</v>
      </c>
      <c r="U4" s="2278" t="s">
        <v>1961</v>
      </c>
      <c r="V4" s="2279"/>
      <c r="W4" s="2279"/>
      <c r="X4" s="2279"/>
      <c r="Y4" s="2281"/>
      <c r="Z4" s="2241" t="s">
        <v>1962</v>
      </c>
      <c r="AA4" s="2241"/>
      <c r="AB4" s="2241"/>
      <c r="AC4" s="2241"/>
      <c r="AD4" s="2241"/>
      <c r="AE4" s="2239" t="s">
        <v>1963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1964</v>
      </c>
      <c r="B5" s="2287" t="s">
        <v>1965</v>
      </c>
      <c r="C5" s="2288" t="s">
        <v>1966</v>
      </c>
      <c r="D5" s="2289" t="s">
        <v>1967</v>
      </c>
      <c r="E5" s="1268" t="s">
        <v>1968</v>
      </c>
      <c r="F5" s="2290" t="s">
        <v>1969</v>
      </c>
      <c r="G5" s="1268" t="s">
        <v>1970</v>
      </c>
      <c r="H5" s="1268" t="s">
        <v>1971</v>
      </c>
      <c r="I5" s="1268" t="s">
        <v>1972</v>
      </c>
      <c r="J5" s="2291" t="s">
        <v>1973</v>
      </c>
      <c r="K5" s="2292" t="s">
        <v>1974</v>
      </c>
      <c r="L5" s="2293" t="s">
        <v>1975</v>
      </c>
      <c r="M5" s="2294" t="s">
        <v>1976</v>
      </c>
      <c r="N5" s="2295" t="s">
        <v>3068</v>
      </c>
      <c r="O5" s="2293" t="s">
        <v>1977</v>
      </c>
      <c r="P5" s="2296" t="s">
        <v>1978</v>
      </c>
      <c r="Q5" s="69" t="s">
        <v>1979</v>
      </c>
      <c r="R5" s="2297" t="s">
        <v>1980</v>
      </c>
      <c r="S5" s="2298" t="s">
        <v>1981</v>
      </c>
      <c r="T5" s="2299" t="s">
        <v>1982</v>
      </c>
      <c r="U5" s="1267" t="s">
        <v>1983</v>
      </c>
      <c r="V5" s="1268" t="s">
        <v>1984</v>
      </c>
      <c r="W5" s="1268" t="s">
        <v>1985</v>
      </c>
      <c r="X5" s="71"/>
      <c r="Y5" s="70" t="s">
        <v>1986</v>
      </c>
      <c r="Z5" s="2300" t="s">
        <v>1983</v>
      </c>
      <c r="AA5" s="1268" t="s">
        <v>1984</v>
      </c>
      <c r="AB5" s="1268" t="s">
        <v>1985</v>
      </c>
      <c r="AC5" s="71"/>
      <c r="AD5" s="71" t="s">
        <v>1986</v>
      </c>
      <c r="AE5" s="1267" t="s">
        <v>1987</v>
      </c>
      <c r="AF5" s="1268" t="s">
        <v>1988</v>
      </c>
      <c r="AG5" s="70" t="s">
        <v>1989</v>
      </c>
      <c r="AH5" s="1267" t="s">
        <v>1990</v>
      </c>
      <c r="AI5" s="2300" t="s">
        <v>1991</v>
      </c>
      <c r="AJ5" s="2300" t="s">
        <v>1992</v>
      </c>
      <c r="AK5" s="1268" t="s">
        <v>1993</v>
      </c>
      <c r="AL5" s="1268" t="s">
        <v>1994</v>
      </c>
      <c r="AM5" s="70" t="s">
        <v>1995</v>
      </c>
      <c r="AN5" s="2301" t="s">
        <v>1996</v>
      </c>
      <c r="AO5" s="2071" t="s">
        <v>1997</v>
      </c>
      <c r="AP5" s="1249" t="s">
        <v>1998</v>
      </c>
      <c r="AQ5" s="2302" t="s">
        <v>1999</v>
      </c>
      <c r="AR5" s="2302" t="s">
        <v>2000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2-805</v>
      </c>
      <c r="B6" s="2304" t="str">
        <f>IF(A6=0,"","经营性")</f>
        <v>经营性</v>
      </c>
      <c r="C6" s="2305" t="s">
        <v>27</v>
      </c>
      <c r="D6" s="1051">
        <f>SUMIF(项目基本情况!D$12:I$12,C6,项目基本情况!D$14:I$14)</f>
        <v>50</v>
      </c>
      <c r="E6" s="1048">
        <f>IF(B6="","",SUMIF(项目基本情况!D$12:I$12,C6,项目基本情况!D$13:I$13))</f>
        <v>57357</v>
      </c>
      <c r="F6" s="72">
        <f>SUMIF(项目基本情况!D$12:I$12,C6,项目基本情况!D$15:I$15)</f>
        <v>35.08</v>
      </c>
      <c r="G6" s="73">
        <f>IF(ISERROR(ROUND(POWER(1+H6,D6-F6)*(POWER(1+H6,F6)-1)/(POWER(1+H6,D6)-1),3)),0,ROUND(POWER(1+H6,D6-F6)*(POWER(1+H6,F6)-1)/(POWER(1+H6,D6)-1),3))</f>
        <v>0.89800000000000002</v>
      </c>
      <c r="H6" s="802">
        <v>0.05</v>
      </c>
      <c r="I6" s="802">
        <v>5.5E-2</v>
      </c>
      <c r="J6" s="74">
        <v>8.5000000000000006E-2</v>
      </c>
      <c r="K6" s="1251">
        <f>SUMIF('数据-汇总表'!C$19:C$33,A6,'数据-汇总表'!E$19:E$33)</f>
        <v>333.1</v>
      </c>
      <c r="L6" s="803">
        <v>3500</v>
      </c>
      <c r="M6" s="75">
        <f t="shared" ref="M6:M14" si="0">ROUND(K6*L6/10000,0)</f>
        <v>117</v>
      </c>
      <c r="N6" s="801">
        <f>ROUND(1-(1-0%)*(2020-N18)/60,2)</f>
        <v>0.82</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'比较法-办公（租金)'!C50</f>
        <v>6.4</v>
      </c>
      <c r="V6" s="79">
        <v>2.5000000000000001E-2</v>
      </c>
      <c r="W6" s="79">
        <v>0.1</v>
      </c>
      <c r="X6" s="1261"/>
      <c r="Y6" s="80">
        <f>N6</f>
        <v>0.82</v>
      </c>
      <c r="Z6" s="81"/>
      <c r="AA6" s="74"/>
      <c r="AB6" s="74"/>
      <c r="AC6" s="1261"/>
      <c r="AD6" s="82"/>
      <c r="AE6" s="1262">
        <f ca="1">IF(AN6="",0,SUMIF(INDIRECT("'"&amp;AN6&amp;"'"&amp;"!E:E"),$AE$5,INDIRECT("'"&amp;AN6&amp;"'"&amp;"!F:F")))</f>
        <v>35.08</v>
      </c>
      <c r="AF6" s="2966"/>
      <c r="AG6" s="147">
        <f>IF(AF6="",0,AE6-AF6)</f>
        <v>0</v>
      </c>
      <c r="AH6" s="83"/>
      <c r="AI6" s="85">
        <v>365</v>
      </c>
      <c r="AJ6" s="86"/>
      <c r="AK6" s="87">
        <v>1.4999999999999999E-2</v>
      </c>
      <c r="AL6" s="88">
        <v>1.5E-3</v>
      </c>
      <c r="AM6" s="89">
        <v>0.01</v>
      </c>
      <c r="AN6" s="2306" t="s">
        <v>3157</v>
      </c>
      <c r="AO6" s="55">
        <f ca="1">SUMIF(INDIRECT("'"&amp;AN6&amp;"'"&amp;"!A:A"),"总价",INDIRECT("'"&amp;AN6&amp;"'"&amp;"!B:B"))</f>
        <v>1168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2001</v>
      </c>
      <c r="B14" s="2304" t="s">
        <v>2002</v>
      </c>
      <c r="C14" s="2309"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2003</v>
      </c>
      <c r="B15" s="2304" t="s">
        <v>2002</v>
      </c>
      <c r="C15" s="2309"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2005</v>
      </c>
      <c r="B16" s="97"/>
      <c r="C16" s="1005"/>
      <c r="D16" s="2311"/>
      <c r="E16" s="97"/>
      <c r="F16" s="97"/>
      <c r="G16" s="98">
        <f>ROUND(SUMPRODUCT(G6:G13,K6:K13)/SUMPRODUCT((G6:G13&gt;0)*(K6:K13)),3)</f>
        <v>0.89800000000000002</v>
      </c>
      <c r="H16" s="99">
        <f>ROUND(SUMPRODUCT(H6:H13,K6:K13)/SUMPRODUCT((H6:H13&gt;0)*(K6:K13)),3)</f>
        <v>0.05</v>
      </c>
      <c r="I16" s="100"/>
      <c r="J16" s="100"/>
      <c r="K16" s="101">
        <f>SUM(K6:K15)</f>
        <v>333.1</v>
      </c>
      <c r="L16" s="102">
        <f>ROUND(M16*10000/SUM(K6:K14),0)</f>
        <v>3512</v>
      </c>
      <c r="M16" s="102">
        <f>SUM(M6:M14)</f>
        <v>117</v>
      </c>
      <c r="N16" s="103">
        <f>ROUND(SUMPRODUCT(M6:M14,N6:N14)/M16,3)</f>
        <v>0.82</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2006</v>
      </c>
      <c r="B18" s="2277"/>
      <c r="C18" s="2274"/>
      <c r="D18" s="2275"/>
      <c r="E18" s="2274"/>
      <c r="F18" s="2274"/>
      <c r="G18" s="2274"/>
      <c r="H18" s="2274"/>
      <c r="I18" s="2274"/>
      <c r="J18" s="2274"/>
      <c r="K18" s="168"/>
      <c r="L18" s="168"/>
      <c r="M18" s="2964" t="s">
        <v>3069</v>
      </c>
      <c r="N18" s="1581">
        <v>2009</v>
      </c>
      <c r="O18" s="2964" t="s">
        <v>3070</v>
      </c>
      <c r="P18" s="1581"/>
      <c r="Q18" s="1581"/>
      <c r="R18" s="1581"/>
      <c r="S18" s="1581"/>
      <c r="T18" s="1581"/>
      <c r="U18" s="1581"/>
      <c r="V18" s="1581"/>
      <c r="W18" s="1581"/>
      <c r="X18" s="1581"/>
      <c r="Y18" s="2964" t="s">
        <v>3088</v>
      </c>
      <c r="Z18" s="1581">
        <f>'比较法-办公（租金)'!C50</f>
        <v>6.4</v>
      </c>
      <c r="AA18" s="1581"/>
      <c r="AB18" s="1581"/>
      <c r="AC18" s="1581"/>
      <c r="AD18" s="1581"/>
      <c r="AE18" s="1581"/>
      <c r="AF18" s="1581"/>
      <c r="AG18" s="1581"/>
      <c r="AH18" s="1581"/>
      <c r="AI18" s="1581"/>
      <c r="AJ18" s="1581"/>
      <c r="AK18" s="1581"/>
      <c r="AL18" s="1581"/>
      <c r="AM18" s="1581"/>
    </row>
    <row r="19" spans="1:67" ht="14.25">
      <c r="A19" s="2313" t="s">
        <v>2007</v>
      </c>
      <c r="B19" s="112">
        <v>0</v>
      </c>
      <c r="C19" s="2274" t="s">
        <v>2008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2009</v>
      </c>
      <c r="B20" s="113">
        <v>2</v>
      </c>
      <c r="C20" s="2274" t="s">
        <v>2010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2011</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2012</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2013</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2014</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7"/>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2015</v>
      </c>
      <c r="B26" s="2317" t="s">
        <v>2016</v>
      </c>
      <c r="C26" s="2318" t="s">
        <v>2017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2018</v>
      </c>
      <c r="B27" s="116">
        <v>160</v>
      </c>
      <c r="C27" s="1763" t="s">
        <v>2019</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2020</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2021</v>
      </c>
      <c r="B29" s="121">
        <f>ROUND(B28*K16/10000,0)</f>
        <v>7</v>
      </c>
      <c r="C29" s="1763" t="s">
        <v>2022</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2023</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2024</v>
      </c>
      <c r="B31" s="120">
        <f>B30-B32</f>
        <v>150</v>
      </c>
      <c r="C31" s="1763"/>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2025</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2026</v>
      </c>
      <c r="B33" s="726">
        <v>0.03</v>
      </c>
      <c r="C33" s="1762" t="s">
        <v>2027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2028</v>
      </c>
      <c r="B34" s="122">
        <v>0</v>
      </c>
      <c r="C34" s="1762" t="s">
        <v>2029</v>
      </c>
      <c r="D34" s="2275" t="s">
        <v>2030</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2031</v>
      </c>
      <c r="B35" s="119">
        <f>B30</f>
        <v>150</v>
      </c>
      <c r="C35" s="1762" t="s">
        <v>2032</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2033</v>
      </c>
      <c r="B36" s="123">
        <v>1.4999999999999999E-2</v>
      </c>
      <c r="C36" s="1762" t="s">
        <v>2034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2035</v>
      </c>
      <c r="B37" s="124">
        <v>0.02</v>
      </c>
      <c r="C37" s="1762" t="s">
        <v>2036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2037</v>
      </c>
      <c r="B38" s="122">
        <v>0.02</v>
      </c>
      <c r="C38" s="1762" t="s">
        <v>2036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2038</v>
      </c>
      <c r="B39" s="362">
        <f ca="1">存贷款利率!I1</f>
        <v>1.4999999999999999E-2</v>
      </c>
      <c r="C39" s="1762"/>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2039</v>
      </c>
      <c r="B40" s="1300">
        <f ca="1">存贷款利率!G1</f>
        <v>4.7500000000000001E-2</v>
      </c>
      <c r="C40" s="1762" t="s">
        <v>2040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2041</v>
      </c>
      <c r="B41" s="125">
        <f>B42+B43</f>
        <v>5.6000000000000001E-2</v>
      </c>
      <c r="C41" s="1763"/>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2042</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2043</v>
      </c>
      <c r="B43" s="127">
        <f>B42*(B44+B45+B46)+B47</f>
        <v>6.000000000000001E-3</v>
      </c>
      <c r="C43" s="1763"/>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2044</v>
      </c>
      <c r="B44" s="128">
        <v>7.0000000000000007E-2</v>
      </c>
      <c r="C44" s="1762" t="s">
        <v>2045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2046</v>
      </c>
      <c r="B45" s="126">
        <v>0.03</v>
      </c>
      <c r="C45" s="1763" t="s">
        <v>2047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2048</v>
      </c>
      <c r="B46" s="126">
        <v>0.02</v>
      </c>
      <c r="C46" s="1763" t="s">
        <v>2049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2050</v>
      </c>
      <c r="B47" s="129">
        <v>0</v>
      </c>
      <c r="C47" s="1763" t="s">
        <v>2051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2052</v>
      </c>
      <c r="B48" s="130">
        <v>0.03</v>
      </c>
      <c r="C48" s="1770" t="s">
        <v>2053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2054</v>
      </c>
      <c r="B49" s="126">
        <v>5.0000000000000001E-4</v>
      </c>
      <c r="C49" s="1770" t="s">
        <v>2055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2058</v>
      </c>
      <c r="B52" s="133">
        <f>SUMIF(A54:A63,B53,B54:B63)</f>
        <v>12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2059</v>
      </c>
      <c r="B53" s="2333" t="s">
        <v>137</v>
      </c>
      <c r="C53" s="1427" t="s">
        <v>2060</v>
      </c>
      <c r="D53" s="2334" t="s">
        <v>2061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2062</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2063</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2064</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2065</v>
      </c>
      <c r="B57" s="297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2066</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2067</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96" t="s">
        <v>2072</v>
      </c>
      <c r="B1" s="3097"/>
      <c r="C1" s="3097"/>
      <c r="D1" s="3097"/>
      <c r="E1" s="3097"/>
      <c r="F1" s="3097"/>
      <c r="G1" s="309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2073</v>
      </c>
      <c r="D2" s="2362"/>
      <c r="E2" s="2363"/>
      <c r="F2" s="2283"/>
      <c r="G2" s="2361" t="s">
        <v>2074</v>
      </c>
      <c r="H2" s="2364"/>
      <c r="I2" s="2364"/>
      <c r="J2" s="2364"/>
      <c r="K2" s="2364"/>
      <c r="L2" s="2364"/>
      <c r="M2" s="2364"/>
      <c r="N2" s="2364"/>
      <c r="O2" s="2364"/>
      <c r="P2" s="2364"/>
      <c r="Q2" s="2364"/>
      <c r="R2" s="2364"/>
    </row>
    <row r="3" spans="1:29" ht="42.75">
      <c r="A3" s="415" t="s">
        <v>2075</v>
      </c>
      <c r="B3" s="1268" t="s">
        <v>2076</v>
      </c>
      <c r="C3" s="2366"/>
      <c r="D3" s="2367"/>
      <c r="E3" s="431" t="s">
        <v>2075</v>
      </c>
      <c r="F3" s="2368" t="s">
        <v>2077</v>
      </c>
      <c r="G3" s="2369" t="s">
        <v>2078</v>
      </c>
      <c r="H3" s="2364"/>
      <c r="I3" s="2364"/>
      <c r="J3" s="2364"/>
      <c r="K3" s="2364"/>
      <c r="L3" s="2364"/>
      <c r="M3" s="2364"/>
      <c r="N3" s="2364"/>
      <c r="O3" s="2364"/>
      <c r="P3" s="2364"/>
      <c r="Q3" s="2364"/>
      <c r="R3" s="2364"/>
    </row>
    <row r="4" spans="1:29" ht="40.5">
      <c r="A4" s="431"/>
      <c r="B4" s="1794" t="s">
        <v>2079</v>
      </c>
      <c r="C4" s="2370"/>
      <c r="D4" s="2367"/>
      <c r="E4" s="2371"/>
      <c r="F4" s="42" t="s">
        <v>2080</v>
      </c>
      <c r="G4" s="2372" t="s">
        <v>2081</v>
      </c>
      <c r="H4" s="2364"/>
      <c r="I4" s="2364"/>
      <c r="J4" s="2364"/>
      <c r="K4" s="2364"/>
      <c r="L4" s="2364"/>
      <c r="M4" s="2364"/>
      <c r="N4" s="2364"/>
      <c r="O4" s="2364"/>
      <c r="P4" s="2364"/>
      <c r="Q4" s="2364"/>
      <c r="R4" s="2364"/>
    </row>
    <row r="5" spans="1:29" ht="27">
      <c r="A5" s="431"/>
      <c r="B5" s="1794" t="s">
        <v>2082</v>
      </c>
      <c r="C5" s="2969" t="s">
        <v>3160</v>
      </c>
      <c r="D5" s="2367"/>
      <c r="E5" s="2371"/>
      <c r="F5" s="1794" t="s">
        <v>2083</v>
      </c>
      <c r="G5" s="2372" t="s">
        <v>2084</v>
      </c>
      <c r="H5" s="2364"/>
      <c r="I5" s="2364"/>
      <c r="J5" s="2364"/>
      <c r="K5" s="2364"/>
      <c r="L5" s="2364"/>
      <c r="M5" s="2364"/>
      <c r="N5" s="2364"/>
      <c r="O5" s="2364"/>
      <c r="P5" s="2364"/>
      <c r="Q5" s="2364"/>
      <c r="R5" s="2364"/>
    </row>
    <row r="6" spans="1:29" ht="15">
      <c r="A6" s="431"/>
      <c r="B6" s="1794" t="s">
        <v>2085</v>
      </c>
      <c r="C6" s="2970" t="s">
        <v>3094</v>
      </c>
      <c r="D6" s="2367"/>
      <c r="E6" s="2371"/>
      <c r="F6" s="1794" t="s">
        <v>2086</v>
      </c>
      <c r="G6" s="2372" t="s">
        <v>2087</v>
      </c>
      <c r="H6" s="2364"/>
      <c r="I6" s="2364"/>
      <c r="J6" s="2364"/>
      <c r="K6" s="2364"/>
      <c r="L6" s="2364"/>
      <c r="M6" s="2364"/>
      <c r="N6" s="2364"/>
      <c r="O6" s="2364"/>
      <c r="P6" s="2364"/>
      <c r="Q6" s="2364"/>
      <c r="R6" s="2364"/>
    </row>
    <row r="7" spans="1:29" ht="41.25" thickBot="1">
      <c r="A7" s="431"/>
      <c r="B7" s="1794" t="s">
        <v>2083</v>
      </c>
      <c r="C7" s="2970" t="s">
        <v>3159</v>
      </c>
      <c r="D7" s="2373"/>
      <c r="E7" s="2374"/>
      <c r="F7" s="2375" t="s">
        <v>2088</v>
      </c>
      <c r="G7" s="2376" t="s">
        <v>2089</v>
      </c>
      <c r="H7" s="2364"/>
      <c r="I7" s="2364"/>
      <c r="J7" s="2364"/>
      <c r="K7" s="2364"/>
      <c r="L7" s="2364"/>
      <c r="M7" s="2364"/>
      <c r="N7" s="2364"/>
      <c r="O7" s="2364"/>
      <c r="P7" s="2364"/>
      <c r="Q7" s="2364"/>
      <c r="R7" s="2364"/>
    </row>
    <row r="8" spans="1:29" ht="15">
      <c r="A8" s="431"/>
      <c r="B8" s="1794" t="s">
        <v>2086</v>
      </c>
      <c r="C8" s="2970" t="s">
        <v>3096</v>
      </c>
      <c r="D8" s="2373"/>
      <c r="E8" s="2373"/>
      <c r="F8" s="1133"/>
      <c r="G8" s="1133"/>
      <c r="H8" s="2364"/>
      <c r="I8" s="2364"/>
      <c r="J8" s="2364"/>
      <c r="K8" s="2364"/>
      <c r="L8" s="2364"/>
      <c r="M8" s="2364"/>
      <c r="N8" s="2364"/>
      <c r="O8" s="2364"/>
      <c r="P8" s="2364"/>
      <c r="Q8" s="2364"/>
      <c r="R8" s="2364"/>
    </row>
    <row r="9" spans="1:29" ht="15">
      <c r="A9" s="431"/>
      <c r="B9" s="1794" t="s">
        <v>2090</v>
      </c>
      <c r="C9" s="2969" t="s">
        <v>3167</v>
      </c>
      <c r="D9" s="2367"/>
      <c r="E9" s="2373"/>
      <c r="F9" s="1133"/>
      <c r="G9" s="1133"/>
      <c r="H9" s="2364"/>
      <c r="I9" s="2364"/>
      <c r="J9" s="2364"/>
      <c r="K9" s="2364"/>
      <c r="L9" s="2364"/>
      <c r="M9" s="2364"/>
      <c r="N9" s="2364"/>
      <c r="O9" s="2364"/>
      <c r="P9" s="2364"/>
      <c r="Q9" s="2364"/>
      <c r="R9" s="2364"/>
    </row>
    <row r="10" spans="1:29" s="117" customFormat="1" ht="15.75" thickBot="1">
      <c r="A10" s="2377"/>
      <c r="B10" s="2378" t="s">
        <v>2091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2092</v>
      </c>
      <c r="B13" s="2384"/>
      <c r="C13" s="2384"/>
      <c r="D13" s="2391"/>
      <c r="E13" s="2384"/>
      <c r="F13" s="2384"/>
      <c r="G13" s="2384"/>
    </row>
    <row r="14" spans="1:29" ht="15.75" thickBot="1">
      <c r="A14" s="2395"/>
      <c r="B14" s="2396"/>
      <c r="C14" s="2397" t="s">
        <v>2093</v>
      </c>
      <c r="D14" s="2367"/>
      <c r="E14" s="2398"/>
      <c r="F14" s="2398"/>
      <c r="G14" s="2361" t="s">
        <v>2094</v>
      </c>
    </row>
    <row r="15" spans="1:29" ht="42.75">
      <c r="A15" s="68" t="s">
        <v>2095</v>
      </c>
      <c r="B15" s="1267" t="s">
        <v>2076</v>
      </c>
      <c r="C15" s="2399">
        <f>C3</f>
        <v>0</v>
      </c>
      <c r="D15" s="2367"/>
      <c r="E15" s="2400" t="s">
        <v>2096</v>
      </c>
      <c r="F15" s="1267" t="s">
        <v>2097</v>
      </c>
      <c r="G15" s="135" t="str">
        <f>G3</f>
        <v>估价对象位于XX开发区，园区建设成熟度XX，产业集聚程度XX</v>
      </c>
    </row>
    <row r="16" spans="1:29" ht="42.75">
      <c r="A16" s="645"/>
      <c r="B16" s="2401" t="s">
        <v>2079</v>
      </c>
      <c r="C16" s="2402">
        <f>C4</f>
        <v>0</v>
      </c>
      <c r="D16" s="2367"/>
      <c r="E16" s="2403"/>
      <c r="F16" s="2404" t="s">
        <v>2080</v>
      </c>
      <c r="G16" s="136" t="str">
        <f>G4</f>
        <v>估价对象周边道路状况、公共交通通达情况、停车便捷程度，综合评价交通便捷度较好</v>
      </c>
    </row>
    <row r="17" spans="1:18" ht="15">
      <c r="A17" s="645"/>
      <c r="B17" s="2401" t="s">
        <v>2082</v>
      </c>
      <c r="C17" s="2402" t="str">
        <f>C5</f>
        <v>一般</v>
      </c>
      <c r="D17" s="2373"/>
      <c r="E17" s="2403"/>
      <c r="F17" s="2404" t="s">
        <v>2098</v>
      </c>
      <c r="G17" s="1569"/>
    </row>
    <row r="18" spans="1:18" ht="42.75">
      <c r="A18" s="645"/>
      <c r="B18" s="2404" t="s">
        <v>2085</v>
      </c>
      <c r="C18" s="136" t="str">
        <f>C6</f>
        <v>较好</v>
      </c>
      <c r="D18" s="2373"/>
      <c r="E18" s="2403"/>
      <c r="F18" s="2404" t="s">
        <v>2088</v>
      </c>
      <c r="G18" s="136" t="str">
        <f>G7</f>
        <v>该园区内是否有污染型企业，绿化情况，卫生条件，整体环境状况判断</v>
      </c>
    </row>
    <row r="19" spans="1:18" ht="28.5">
      <c r="A19" s="645"/>
      <c r="B19" s="2404" t="s">
        <v>2099</v>
      </c>
      <c r="C19" s="1569"/>
      <c r="D19" s="2367"/>
      <c r="E19" s="2403"/>
      <c r="F19" s="1794" t="s">
        <v>2083</v>
      </c>
      <c r="G19" s="136" t="str">
        <f>G5</f>
        <v>估价对象所在区域公共配套设施齐备情况</v>
      </c>
    </row>
    <row r="20" spans="1:18" ht="15">
      <c r="A20" s="645"/>
      <c r="B20" s="2404" t="s">
        <v>2100</v>
      </c>
      <c r="C20" s="2402" t="str">
        <f>C9</f>
        <v>较好</v>
      </c>
      <c r="D20" s="2373"/>
      <c r="E20" s="2403"/>
      <c r="F20" s="1794" t="s">
        <v>2101</v>
      </c>
      <c r="G20" s="136" t="str">
        <f>G6</f>
        <v>估价对象所在区域基础设施水平</v>
      </c>
    </row>
    <row r="21" spans="1:18" ht="15">
      <c r="A21" s="645"/>
      <c r="B21" s="1794" t="s">
        <v>2083</v>
      </c>
      <c r="C21" s="136" t="str">
        <f>C7</f>
        <v>一般</v>
      </c>
      <c r="D21" s="2367"/>
      <c r="E21" s="2403"/>
      <c r="F21" s="2404" t="s">
        <v>2102</v>
      </c>
      <c r="G21" s="2405"/>
    </row>
    <row r="22" spans="1:18" ht="13.5" customHeight="1">
      <c r="A22" s="645"/>
      <c r="B22" s="1794" t="s">
        <v>2086</v>
      </c>
      <c r="C22" s="136" t="str">
        <f>C8</f>
        <v>七通</v>
      </c>
      <c r="D22" s="2367"/>
      <c r="E22" s="2403"/>
      <c r="F22" s="2404" t="s">
        <v>2091</v>
      </c>
      <c r="G22" s="1569"/>
    </row>
    <row r="23" spans="1:18" s="2364" customFormat="1" ht="15.75" thickBot="1">
      <c r="A23" s="645"/>
      <c r="B23" s="2404" t="s">
        <v>2102</v>
      </c>
      <c r="C23" s="2405"/>
      <c r="D23" s="2392"/>
      <c r="E23" s="2406"/>
      <c r="F23" s="2407" t="s">
        <v>2103</v>
      </c>
      <c r="G23" s="2408"/>
      <c r="H23" s="2392"/>
      <c r="I23" s="2393"/>
      <c r="J23" s="2392"/>
      <c r="K23" s="2392"/>
      <c r="L23" s="2393"/>
      <c r="M23" s="2392"/>
      <c r="N23" s="2392"/>
      <c r="O23" s="2393"/>
      <c r="P23" s="2392"/>
      <c r="Q23" s="2392"/>
      <c r="R23" s="2394"/>
    </row>
    <row r="24" spans="1:18" s="2364" customFormat="1" ht="15.75" thickBot="1">
      <c r="A24" s="2409"/>
      <c r="B24" s="2407" t="s">
        <v>2104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4" workbookViewId="0">
      <selection activeCell="F30" sqref="F28:F30"/>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333.1</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44552</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1204</v>
      </c>
      <c r="C5" s="1742">
        <f ca="1">ROUND(B5*10000/$B$1,0)</f>
        <v>36145</v>
      </c>
      <c r="D5" s="1742" t="e">
        <f ca="1">ROUND(B5*10000/$B$2,0)</f>
        <v>#DIV/0!</v>
      </c>
      <c r="E5" s="1741"/>
      <c r="F5" s="1739"/>
      <c r="G5" s="1739"/>
    </row>
    <row r="6" spans="1:10" ht="16.5">
      <c r="A6" s="1742" t="s">
        <v>1351</v>
      </c>
      <c r="B6" s="1742">
        <f ca="1">SUM(G14:G23)</f>
        <v>1204</v>
      </c>
      <c r="C6" s="1742">
        <f ca="1">ROUND(B6*10000/$B$1,0)</f>
        <v>36145</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典型户型修正!B22</f>
        <v>333.1</v>
      </c>
      <c r="C14" s="1740">
        <f>结果表!C118</f>
        <v>0</v>
      </c>
      <c r="D14" s="1740">
        <f ca="1">典型户型修正!B20</f>
        <v>1204</v>
      </c>
      <c r="E14" s="1740">
        <f ca="1">ROUND(D14*10000/B14,0)</f>
        <v>36145</v>
      </c>
      <c r="F14" s="1740" t="e">
        <f ca="1">ROUND(D14*10000/C14,0)</f>
        <v>#DIV/0!</v>
      </c>
      <c r="G14" s="1740">
        <f ca="1">D14</f>
        <v>1204</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106" sqref="H10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2105</v>
      </c>
      <c r="B1" s="2415"/>
      <c r="C1" s="2416" t="s">
        <v>3170</v>
      </c>
      <c r="D1" s="2415"/>
      <c r="E1" s="2415"/>
      <c r="F1" s="2417" t="s">
        <v>2106</v>
      </c>
      <c r="G1" s="2067" t="s">
        <v>3058</v>
      </c>
      <c r="H1" s="2418" t="str">
        <f>IF(G1="现房","——","估价对象范围")</f>
        <v>——</v>
      </c>
      <c r="I1" s="2419" t="s">
        <v>3137</v>
      </c>
    </row>
    <row r="2" spans="1:12" ht="21.75" customHeight="1" thickBot="1">
      <c r="A2" s="3131" t="str">
        <f>项目基本情况!S2</f>
        <v>北京市朝阳区北苑路甲13号院1号楼15层1-1501等18套办公用房房地产房地产</v>
      </c>
      <c r="B2" s="3132"/>
      <c r="C2" s="3132"/>
      <c r="D2" s="3132"/>
      <c r="E2" s="3132"/>
      <c r="F2" s="3132"/>
      <c r="G2" s="3132"/>
      <c r="H2" s="3132"/>
      <c r="I2" s="3133"/>
    </row>
    <row r="3" spans="1:12" ht="12.75">
      <c r="A3" s="3135" t="s">
        <v>2107</v>
      </c>
      <c r="B3" s="3136"/>
      <c r="C3" s="3136"/>
      <c r="D3" s="3136"/>
      <c r="E3" s="3136"/>
      <c r="F3" s="3136"/>
      <c r="G3" s="3136"/>
      <c r="H3" s="3136"/>
      <c r="I3" s="3136"/>
    </row>
    <row r="4" spans="1:12" ht="14.25">
      <c r="A4" s="2422" t="s">
        <v>2108</v>
      </c>
      <c r="B4" s="2423" t="s">
        <v>2109</v>
      </c>
      <c r="C4" s="2424" t="s">
        <v>3138</v>
      </c>
      <c r="D4" s="2424" t="s">
        <v>3157</v>
      </c>
      <c r="E4" s="3128" t="s">
        <v>2110</v>
      </c>
      <c r="F4" s="3129"/>
      <c r="G4" s="3129"/>
      <c r="H4" s="3129"/>
      <c r="I4" s="3137"/>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1" t="s">
        <v>2111</v>
      </c>
      <c r="B5" s="3049">
        <v>25</v>
      </c>
      <c r="C5" s="3114"/>
      <c r="D5" s="3134"/>
      <c r="E5" s="140" t="s">
        <v>2112</v>
      </c>
      <c r="F5" s="2426"/>
      <c r="G5" s="2426"/>
      <c r="H5" s="2426"/>
      <c r="I5" s="1830"/>
    </row>
    <row r="6" spans="1:12" ht="12.75">
      <c r="A6" s="3111"/>
      <c r="B6" s="3049"/>
      <c r="C6" s="3115"/>
      <c r="D6" s="3134"/>
      <c r="E6" s="140" t="s">
        <v>2113</v>
      </c>
      <c r="F6" s="2426"/>
      <c r="G6" s="2426"/>
      <c r="H6" s="2426"/>
      <c r="I6" s="1830"/>
    </row>
    <row r="7" spans="1:12" ht="12.75">
      <c r="A7" s="3111"/>
      <c r="B7" s="3049"/>
      <c r="C7" s="3116"/>
      <c r="D7" s="3134"/>
      <c r="E7" s="140" t="s">
        <v>2114</v>
      </c>
      <c r="F7" s="2426"/>
      <c r="G7" s="2426"/>
      <c r="H7" s="2426"/>
      <c r="I7" s="1830"/>
    </row>
    <row r="8" spans="1:12" ht="12.75">
      <c r="A8" s="3111" t="s">
        <v>2115</v>
      </c>
      <c r="B8" s="3049">
        <v>15</v>
      </c>
      <c r="C8" s="3114"/>
      <c r="D8" s="3134"/>
      <c r="E8" s="140" t="s">
        <v>2116</v>
      </c>
      <c r="F8" s="2426"/>
      <c r="G8" s="2426"/>
      <c r="H8" s="2426"/>
      <c r="I8" s="1830"/>
    </row>
    <row r="9" spans="1:12" ht="12.75">
      <c r="A9" s="3111"/>
      <c r="B9" s="3049"/>
      <c r="C9" s="3116"/>
      <c r="D9" s="3134"/>
      <c r="E9" s="140" t="s">
        <v>2117</v>
      </c>
      <c r="F9" s="2426"/>
      <c r="G9" s="2426"/>
      <c r="H9" s="2426"/>
      <c r="I9" s="1830"/>
    </row>
    <row r="10" spans="1:12" ht="12.75">
      <c r="A10" s="3111" t="s">
        <v>2118</v>
      </c>
      <c r="B10" s="3049">
        <v>15</v>
      </c>
      <c r="C10" s="3114"/>
      <c r="D10" s="3134"/>
      <c r="E10" s="140" t="s">
        <v>2119</v>
      </c>
      <c r="F10" s="2426"/>
      <c r="G10" s="2426"/>
      <c r="H10" s="2426"/>
      <c r="I10" s="1830"/>
    </row>
    <row r="11" spans="1:12" ht="12.75">
      <c r="A11" s="3111"/>
      <c r="B11" s="3049"/>
      <c r="C11" s="3116"/>
      <c r="D11" s="3134"/>
      <c r="E11" s="140" t="s">
        <v>2120</v>
      </c>
      <c r="F11" s="2426"/>
      <c r="G11" s="2426"/>
      <c r="H11" s="2426"/>
      <c r="I11" s="1830"/>
    </row>
    <row r="12" spans="1:12" ht="12.75">
      <c r="A12" s="3111" t="s">
        <v>2121</v>
      </c>
      <c r="B12" s="3049">
        <v>15</v>
      </c>
      <c r="C12" s="3114"/>
      <c r="D12" s="3134"/>
      <c r="E12" s="140" t="s">
        <v>2122</v>
      </c>
      <c r="F12" s="2426"/>
      <c r="G12" s="2426"/>
      <c r="H12" s="2426"/>
      <c r="I12" s="1830"/>
    </row>
    <row r="13" spans="1:12" ht="12.75">
      <c r="A13" s="3111"/>
      <c r="B13" s="3049"/>
      <c r="C13" s="3116"/>
      <c r="D13" s="3134"/>
      <c r="E13" s="140" t="s">
        <v>2123</v>
      </c>
      <c r="F13" s="2426"/>
      <c r="G13" s="2426"/>
      <c r="H13" s="2426"/>
      <c r="I13" s="1830"/>
    </row>
    <row r="14" spans="1:12" ht="12.75">
      <c r="A14" s="3111" t="s">
        <v>2124</v>
      </c>
      <c r="B14" s="3049">
        <v>30</v>
      </c>
      <c r="C14" s="3114">
        <v>5</v>
      </c>
      <c r="D14" s="3134">
        <v>5</v>
      </c>
      <c r="E14" s="140" t="s">
        <v>2125</v>
      </c>
      <c r="F14" s="2426"/>
      <c r="G14" s="2426"/>
      <c r="H14" s="2426"/>
      <c r="I14" s="1830"/>
    </row>
    <row r="15" spans="1:12" ht="12.75">
      <c r="A15" s="3111"/>
      <c r="B15" s="3049"/>
      <c r="C15" s="3115"/>
      <c r="D15" s="3134"/>
      <c r="E15" s="140" t="s">
        <v>2126</v>
      </c>
      <c r="F15" s="2426"/>
      <c r="G15" s="2426"/>
      <c r="H15" s="2426"/>
      <c r="I15" s="1830"/>
    </row>
    <row r="16" spans="1:12" ht="12.75">
      <c r="A16" s="3111"/>
      <c r="B16" s="3049"/>
      <c r="C16" s="3116"/>
      <c r="D16" s="3134"/>
      <c r="E16" s="140" t="s">
        <v>2127</v>
      </c>
      <c r="F16" s="2426"/>
      <c r="G16" s="2426"/>
      <c r="H16" s="2426"/>
      <c r="I16" s="1830"/>
    </row>
    <row r="17" spans="1:35" ht="15">
      <c r="A17" s="2427" t="s">
        <v>2128</v>
      </c>
      <c r="B17" s="64"/>
      <c r="C17" s="141">
        <f>SUM(C5:C16)</f>
        <v>5</v>
      </c>
      <c r="D17" s="141">
        <f>SUM(D5:D16)</f>
        <v>5</v>
      </c>
      <c r="E17" s="138"/>
      <c r="F17" s="138"/>
      <c r="G17" s="138"/>
      <c r="H17" s="138"/>
      <c r="I17" s="138"/>
      <c r="K17" s="2425"/>
      <c r="L17" s="2428" t="s">
        <v>2129</v>
      </c>
      <c r="M17" s="2428" t="s">
        <v>2130</v>
      </c>
    </row>
    <row r="18" spans="1:35" ht="15.75" thickBot="1">
      <c r="A18" s="2429" t="s">
        <v>2131</v>
      </c>
      <c r="B18" s="2430"/>
      <c r="C18" s="142">
        <f>ROUND(C17/SUM(C17:D17),2)</f>
        <v>0.5</v>
      </c>
      <c r="D18" s="142">
        <f>1-C18</f>
        <v>0.5</v>
      </c>
      <c r="E18" s="138"/>
      <c r="F18" s="138"/>
      <c r="G18" s="138"/>
      <c r="H18" s="138"/>
      <c r="I18" s="138"/>
      <c r="K18" s="2425" t="s">
        <v>2132</v>
      </c>
      <c r="L18" s="2425">
        <f>IF(C1="",'数据-汇总表'!E3,SUMIF(项目类型,C1,'数据-汇总表'!E17:E26)+SUMIF(项目类型,C1,'数据-汇总表'!I17:I26))</f>
        <v>333.1</v>
      </c>
      <c r="M18" s="2425">
        <f>IF(C1="",'数据-汇总表'!E3,SUMIF(项目类型,C1,'数据-汇总表'!E17:E26))</f>
        <v>333.1</v>
      </c>
    </row>
    <row r="19" spans="1:35" ht="15">
      <c r="A19" s="2431" t="s">
        <v>2133</v>
      </c>
      <c r="B19" s="2432" t="s">
        <v>2134</v>
      </c>
      <c r="C19" s="143">
        <f ca="1">SUMIF(INDIRECT("'"&amp;C4&amp;"'"&amp;"!A:A"),结果表!B19,INDIRECT("'"&amp;C4&amp;"'"&amp;"!B:B"))</f>
        <v>1240</v>
      </c>
      <c r="D19" s="144">
        <f ca="1">SUMIF(INDIRECT("'"&amp;D4&amp;"'"&amp;"!A:A"),结果表!B19,INDIRECT("'"&amp;D4&amp;"'"&amp;"!B:B"))</f>
        <v>1168</v>
      </c>
      <c r="E19" s="2431" t="s">
        <v>2135</v>
      </c>
      <c r="F19" s="2432" t="s">
        <v>2134</v>
      </c>
      <c r="G19" s="145">
        <f ca="1">ROUND(C19*$C$18+D19*$D$18,0)</f>
        <v>1204</v>
      </c>
      <c r="H19" s="2433" t="s">
        <v>2136</v>
      </c>
      <c r="I19" s="138"/>
      <c r="K19" s="2425" t="s">
        <v>2137</v>
      </c>
      <c r="L19" s="2425">
        <f>IF(C1="",'数据-汇总表'!D3,SUMIF(项目类型,C1,'数据-汇总表'!D17:D26)+SUMIF(项目类型,C1,'数据-汇总表'!H17:H27))</f>
        <v>0</v>
      </c>
      <c r="M19" s="2425">
        <f>IF(C1="",'数据-汇总表'!D3,SUMIF(项目类型,C1,'数据-汇总表'!D17:D26))</f>
        <v>0</v>
      </c>
    </row>
    <row r="20" spans="1:35" ht="15">
      <c r="A20" s="2434"/>
      <c r="B20" s="1247" t="s">
        <v>2138</v>
      </c>
      <c r="C20" s="146">
        <f ca="1">SUMIF(INDIRECT("'"&amp;C4&amp;"'"&amp;"!A:A"),结果表!B20,INDIRECT("'"&amp;C4&amp;"'"&amp;"!B:B"))</f>
        <v>37230</v>
      </c>
      <c r="D20" s="147">
        <f ca="1">SUMIF(INDIRECT("'"&amp;D4&amp;"'"&amp;"!A:A"),结果表!B20,INDIRECT("'"&amp;D4&amp;"'"&amp;"!B:B"))</f>
        <v>35058</v>
      </c>
      <c r="E20" s="2434"/>
      <c r="F20" s="1247" t="s">
        <v>2138</v>
      </c>
      <c r="G20" s="148">
        <f ca="1">ROUND(C20*$C$18+D20*$D$18,0)</f>
        <v>36144</v>
      </c>
      <c r="H20" s="980" t="s">
        <v>2139</v>
      </c>
      <c r="I20" s="138"/>
    </row>
    <row r="21" spans="1:35" ht="15" customHeight="1" thickBot="1">
      <c r="A21" s="1000"/>
      <c r="B21" s="2435" t="s">
        <v>2140</v>
      </c>
      <c r="C21" s="789" t="e">
        <f ca="1">ROUND(C19*10000/L19,0)</f>
        <v>#DIV/0!</v>
      </c>
      <c r="D21" s="790" t="e">
        <f ca="1">ROUND(D19*10000/L19,0)</f>
        <v>#DIV/0!</v>
      </c>
      <c r="E21" s="1000"/>
      <c r="F21" s="2435" t="s">
        <v>2140</v>
      </c>
      <c r="G21" s="149" t="e">
        <f ca="1">ROUND(G19*10000/L19,0)</f>
        <v>#DIV/0!</v>
      </c>
      <c r="H21" s="2436" t="s">
        <v>2139</v>
      </c>
      <c r="I21" s="138"/>
    </row>
    <row r="22" spans="1:35" ht="15" thickBot="1">
      <c r="A22" s="2278" t="s">
        <v>2141</v>
      </c>
      <c r="B22" s="2437"/>
      <c r="C22" s="2438"/>
      <c r="D22" s="791">
        <f ca="1">IF(C19&lt;D19,D19/C19-1,C19/D19-1)</f>
        <v>6.164383561643838E-2</v>
      </c>
      <c r="E22" s="138"/>
      <c r="F22" s="138"/>
      <c r="G22" s="138"/>
      <c r="H22" s="138"/>
      <c r="I22" s="138"/>
    </row>
    <row r="23" spans="1:35" ht="12.75">
      <c r="A23" s="2415"/>
      <c r="B23" s="2415"/>
      <c r="C23" s="2415"/>
      <c r="D23" s="2415"/>
      <c r="E23" s="138"/>
      <c r="F23" s="138"/>
      <c r="G23" s="138"/>
      <c r="H23" s="138"/>
      <c r="I23" s="138"/>
    </row>
    <row r="24" spans="1:35" ht="14.25" hidden="1">
      <c r="A24" s="3105" t="s">
        <v>2142</v>
      </c>
      <c r="B24" s="2432" t="s">
        <v>2134</v>
      </c>
      <c r="C24" s="145">
        <f>IF(B30=0,0,D30)</f>
        <v>0</v>
      </c>
      <c r="D24" s="2439"/>
      <c r="E24" s="138"/>
      <c r="F24" s="138"/>
      <c r="G24" s="138"/>
      <c r="H24" s="138"/>
      <c r="I24" s="138"/>
    </row>
    <row r="25" spans="1:35" ht="14.25" hidden="1">
      <c r="A25" s="3106"/>
      <c r="B25" s="1247" t="s">
        <v>2138</v>
      </c>
      <c r="C25" s="150">
        <f>IF(B30=0,0,C30)</f>
        <v>0</v>
      </c>
      <c r="D25" s="2440"/>
      <c r="E25" s="138"/>
      <c r="F25" s="138"/>
      <c r="G25" s="138"/>
      <c r="H25" s="138"/>
      <c r="I25" s="138"/>
    </row>
    <row r="26" spans="1:35" ht="13.5" hidden="1" customHeight="1">
      <c r="A26" s="2441" t="s">
        <v>2143</v>
      </c>
      <c r="B26" s="151" t="s">
        <v>2144</v>
      </c>
      <c r="C26" s="151" t="s">
        <v>2145</v>
      </c>
      <c r="D26" s="152" t="s">
        <v>2146</v>
      </c>
      <c r="E26" s="138"/>
      <c r="F26" s="138"/>
      <c r="G26" s="138"/>
      <c r="H26" s="138"/>
      <c r="I26" s="138"/>
    </row>
    <row r="27" spans="1:35" ht="14.25" hidden="1">
      <c r="A27" s="2441"/>
      <c r="B27" s="151">
        <v>0</v>
      </c>
      <c r="C27" s="151">
        <v>0</v>
      </c>
      <c r="D27" s="152">
        <f>ROUND(C27*B27/10000,0)</f>
        <v>0</v>
      </c>
      <c r="E27" s="138"/>
      <c r="F27" s="138"/>
      <c r="G27" s="138"/>
      <c r="H27" s="138"/>
      <c r="I27" s="138"/>
    </row>
    <row r="28" spans="1:35" ht="14.25" hidden="1">
      <c r="A28" s="2441"/>
      <c r="B28" s="151"/>
      <c r="C28" s="151"/>
      <c r="D28" s="152"/>
      <c r="E28" s="138"/>
      <c r="F28" s="138"/>
      <c r="G28" s="138"/>
      <c r="H28" s="138"/>
      <c r="I28" s="138"/>
    </row>
    <row r="29" spans="1:35" ht="14.25" hidden="1">
      <c r="A29" s="2441"/>
      <c r="B29" s="151"/>
      <c r="C29" s="151"/>
      <c r="D29" s="152"/>
      <c r="E29" s="138"/>
      <c r="F29" s="138"/>
      <c r="G29" s="138"/>
      <c r="H29" s="138"/>
      <c r="I29" s="138"/>
    </row>
    <row r="30" spans="1:35" ht="14.25" hidden="1">
      <c r="A30" s="151" t="s">
        <v>2147</v>
      </c>
      <c r="B30" s="151"/>
      <c r="C30" s="151"/>
      <c r="D30" s="151"/>
      <c r="E30" s="2914" t="s">
        <v>3020</v>
      </c>
      <c r="F30" s="138"/>
      <c r="G30" s="138"/>
      <c r="H30" s="138"/>
      <c r="I30" s="138"/>
    </row>
    <row r="31" spans="1:35" s="2443" customFormat="1" ht="15" hidden="1"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hidden="1" thickBot="1">
      <c r="A32" s="2444" t="s">
        <v>2148</v>
      </c>
      <c r="B32" s="2445"/>
      <c r="C32" s="153">
        <f ca="1">IF(D32="总价",G19-C24,G20-C25)</f>
        <v>1204</v>
      </c>
      <c r="D32" s="2446" t="s">
        <v>2149</v>
      </c>
      <c r="E32" s="138"/>
      <c r="F32" s="138"/>
      <c r="G32" s="138"/>
      <c r="H32" s="138"/>
      <c r="I32" s="138"/>
    </row>
    <row r="33" spans="1:15" ht="15" hidden="1">
      <c r="A33" s="957" t="s">
        <v>2150</v>
      </c>
      <c r="B33" s="2447"/>
      <c r="C33" s="2448"/>
      <c r="D33" s="2449"/>
      <c r="E33" s="2450" t="s">
        <v>2151</v>
      </c>
      <c r="F33" s="2451" t="str">
        <f>IF(D32="楼面单价","取值（单价）","取值（总价）")</f>
        <v>取值（总价）</v>
      </c>
      <c r="G33" s="138"/>
      <c r="H33" s="138"/>
      <c r="I33" s="138"/>
    </row>
    <row r="34" spans="1:15" ht="15" hidden="1">
      <c r="A34" s="2452"/>
      <c r="B34" s="2453" t="s">
        <v>2152</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2153</v>
      </c>
      <c r="F34" s="1735"/>
      <c r="G34" s="138"/>
      <c r="H34" s="138"/>
      <c r="I34" s="138"/>
    </row>
    <row r="35" spans="1:15" ht="15.75" hidden="1" thickBot="1">
      <c r="A35" s="2455"/>
      <c r="B35" s="2456" t="s">
        <v>2154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2155</v>
      </c>
      <c r="F35" s="163"/>
      <c r="G35" s="138"/>
      <c r="H35" s="138"/>
      <c r="I35" s="138"/>
    </row>
    <row r="36" spans="1:15" ht="15.75" hidden="1" thickBot="1">
      <c r="A36" s="3123" t="s">
        <v>2156</v>
      </c>
      <c r="B36" s="2458" t="s">
        <v>2157</v>
      </c>
      <c r="C36" s="154"/>
      <c r="D36" s="2459"/>
      <c r="E36" s="2460"/>
      <c r="F36" s="2461"/>
      <c r="G36" s="138"/>
      <c r="H36" s="138"/>
      <c r="I36" s="138"/>
    </row>
    <row r="37" spans="1:15" ht="15.75" hidden="1" thickBot="1">
      <c r="A37" s="3124"/>
      <c r="B37" s="2264" t="s">
        <v>2158</v>
      </c>
      <c r="C37" s="156"/>
      <c r="D37" s="1392"/>
      <c r="E37" s="1392"/>
      <c r="F37" s="2461"/>
      <c r="G37" s="138"/>
      <c r="H37" s="138"/>
      <c r="I37" s="138"/>
    </row>
    <row r="38" spans="1:15" ht="15.75" hidden="1" thickBot="1">
      <c r="A38" s="3125"/>
      <c r="B38" s="2462" t="s">
        <v>2159</v>
      </c>
      <c r="C38" s="727"/>
      <c r="D38" s="2463" t="s">
        <v>2160</v>
      </c>
      <c r="E38" s="1392"/>
      <c r="F38" s="2461"/>
      <c r="G38" s="138"/>
      <c r="H38" s="138"/>
      <c r="I38" s="138"/>
    </row>
    <row r="39" spans="1:15" ht="15" hidden="1">
      <c r="A39" s="2434" t="s">
        <v>2161</v>
      </c>
      <c r="B39" s="2464" t="s">
        <v>2162</v>
      </c>
      <c r="C39" s="2465" t="s">
        <v>2163</v>
      </c>
      <c r="D39" s="2465" t="s">
        <v>2164</v>
      </c>
      <c r="E39" s="2466" t="s">
        <v>2165</v>
      </c>
      <c r="F39" s="2461"/>
      <c r="G39" s="138"/>
      <c r="H39" s="138"/>
      <c r="I39" s="138"/>
    </row>
    <row r="40" spans="1:15" ht="14.25" hidden="1">
      <c r="A40" s="2467" t="s">
        <v>2166</v>
      </c>
      <c r="B40" s="158"/>
      <c r="C40" s="159"/>
      <c r="D40" s="159"/>
      <c r="E40" s="160"/>
      <c r="F40" s="2461"/>
      <c r="G40" s="138"/>
      <c r="H40" s="138"/>
      <c r="I40" s="138"/>
    </row>
    <row r="41" spans="1:15" ht="14.25" hidden="1">
      <c r="A41" s="2467" t="s">
        <v>2167</v>
      </c>
      <c r="B41" s="158"/>
      <c r="C41" s="159"/>
      <c r="D41" s="159"/>
      <c r="E41" s="160"/>
      <c r="F41" s="2461"/>
      <c r="G41" s="138"/>
      <c r="H41" s="138"/>
      <c r="I41" s="138"/>
    </row>
    <row r="42" spans="1:15" ht="15" hidden="1" thickBot="1">
      <c r="A42" s="2468"/>
      <c r="B42" s="161"/>
      <c r="C42" s="162"/>
      <c r="D42" s="162"/>
      <c r="E42" s="163"/>
      <c r="F42" s="2461"/>
      <c r="G42" s="138"/>
      <c r="H42" s="138"/>
      <c r="I42" s="138"/>
    </row>
    <row r="43" spans="1:15" ht="12.75" hidden="1">
      <c r="A43" s="2162"/>
      <c r="B43" s="2162"/>
      <c r="C43" s="2162"/>
      <c r="D43" s="2162"/>
      <c r="E43" s="2162"/>
      <c r="F43" s="2469"/>
      <c r="G43" s="2469"/>
      <c r="H43" s="2469"/>
      <c r="I43" s="2470"/>
    </row>
    <row r="44" spans="1:15" ht="18.75" hidden="1">
      <c r="A44" s="2471" t="s">
        <v>2168</v>
      </c>
      <c r="B44" s="2472"/>
      <c r="C44" s="2472"/>
      <c r="D44" s="2473"/>
      <c r="E44" s="2473"/>
      <c r="F44" s="2474"/>
      <c r="G44" s="2474"/>
      <c r="H44" s="2474"/>
      <c r="I44" s="2474"/>
      <c r="J44" s="2475" t="s">
        <v>2169</v>
      </c>
      <c r="K44" s="2476"/>
      <c r="L44" s="2476"/>
      <c r="M44" s="2476"/>
      <c r="N44" s="2476"/>
      <c r="O44" s="2476"/>
    </row>
    <row r="45" spans="1:15" ht="14.25" hidden="1" customHeight="1" thickBot="1">
      <c r="A45" s="3102" t="s">
        <v>2170</v>
      </c>
      <c r="B45" s="3103"/>
      <c r="C45" s="3104"/>
      <c r="D45" s="164">
        <f ca="1">ROUND(H101*F45,0)</f>
        <v>1204</v>
      </c>
      <c r="E45" s="165" t="s">
        <v>2171</v>
      </c>
      <c r="F45" s="166">
        <v>1</v>
      </c>
      <c r="G45" s="167" t="s">
        <v>2172</v>
      </c>
      <c r="H45" s="138"/>
      <c r="I45" s="138"/>
      <c r="J45" s="3162" t="s">
        <v>2173</v>
      </c>
      <c r="K45" s="3162"/>
      <c r="L45" s="3162"/>
      <c r="M45" s="3162"/>
      <c r="N45" s="3162"/>
      <c r="O45" s="3162"/>
    </row>
    <row r="46" spans="1:15" ht="14.25" hidden="1" customHeight="1">
      <c r="A46" s="3099" t="s">
        <v>2174</v>
      </c>
      <c r="B46" s="3100"/>
      <c r="C46" s="3100"/>
      <c r="D46" s="3100"/>
      <c r="E46" s="3100"/>
      <c r="F46" s="3100"/>
      <c r="G46" s="3101"/>
      <c r="H46" s="2477"/>
      <c r="I46" s="168"/>
      <c r="J46" s="1808">
        <v>1</v>
      </c>
      <c r="K46" s="3162" t="s">
        <v>2175</v>
      </c>
      <c r="L46" s="3162"/>
      <c r="M46" s="3182"/>
      <c r="N46" s="3182"/>
      <c r="O46" s="3182"/>
    </row>
    <row r="47" spans="1:15" ht="12" hidden="1" customHeight="1">
      <c r="A47" s="169" t="s">
        <v>2176</v>
      </c>
      <c r="B47" s="170"/>
      <c r="C47" s="171"/>
      <c r="D47" s="172" t="s">
        <v>2177</v>
      </c>
      <c r="E47" s="24" t="s">
        <v>2178</v>
      </c>
      <c r="F47" s="173" t="s">
        <v>2179</v>
      </c>
      <c r="G47" s="174" t="s">
        <v>2180</v>
      </c>
      <c r="H47" s="2477"/>
      <c r="I47" s="168"/>
      <c r="J47" s="1808">
        <v>2</v>
      </c>
      <c r="K47" s="3162" t="s">
        <v>2181</v>
      </c>
      <c r="L47" s="3162"/>
      <c r="M47" s="3183">
        <f>'数据-取费表'!B2</f>
        <v>44552</v>
      </c>
      <c r="N47" s="3183"/>
      <c r="O47" s="3183"/>
    </row>
    <row r="48" spans="1:15" ht="25.5" hidden="1">
      <c r="A48" s="3130" t="s">
        <v>2182</v>
      </c>
      <c r="B48" s="3113"/>
      <c r="C48" s="3113"/>
      <c r="D48" s="140">
        <f>IF(H48="情况1",0,IF(H48="情况2",D52,IF(H48="情况3",D53,IF(H48="情况4",D54))))</f>
        <v>0</v>
      </c>
      <c r="E48" s="1797" t="str">
        <f>IF(H48="情况4","(销售额-原购置价)×税（费）率","销售额×税（费）率")</f>
        <v>销售额×税（费）率</v>
      </c>
      <c r="F48" s="175" t="str">
        <f>IF(H48="情况1","免征",'数据-取费表'!B41)</f>
        <v>免征</v>
      </c>
      <c r="G48" s="2478" t="s">
        <v>2183</v>
      </c>
      <c r="H48" s="2479" t="s">
        <v>2184</v>
      </c>
      <c r="I48" s="2477"/>
      <c r="J48" s="1808">
        <v>3</v>
      </c>
      <c r="K48" s="3162" t="s">
        <v>2185</v>
      </c>
      <c r="L48" s="3162"/>
      <c r="M48" s="3184">
        <f ca="1">H101</f>
        <v>1204</v>
      </c>
      <c r="N48" s="3184"/>
      <c r="O48" s="3184"/>
    </row>
    <row r="49" spans="1:35" ht="25.5" hidden="1" customHeight="1">
      <c r="A49" s="176" t="s">
        <v>2186</v>
      </c>
      <c r="B49" s="3098" t="s">
        <v>2187</v>
      </c>
      <c r="C49" s="3098"/>
      <c r="D49" s="177">
        <v>0</v>
      </c>
      <c r="E49" s="23" t="s">
        <v>2188</v>
      </c>
      <c r="F49" s="28" t="s">
        <v>34</v>
      </c>
      <c r="G49" s="3168"/>
      <c r="H49" s="138"/>
      <c r="I49" s="2480"/>
      <c r="J49" s="1808">
        <v>4</v>
      </c>
      <c r="K49" s="3162" t="str">
        <f>IF(项目基本情况!E8="房地产抵押价值","房地产抵押价值","抵押担保权已注销时的房地产抵押价值")</f>
        <v>房地产抵押价值</v>
      </c>
      <c r="L49" s="3162"/>
      <c r="M49" s="3184">
        <f ca="1">IF(项目基本情况!E8="房地产抵押价值",H107,H109)</f>
        <v>1204</v>
      </c>
      <c r="N49" s="3184"/>
      <c r="O49" s="3184"/>
    </row>
    <row r="50" spans="1:35" ht="25.5" hidden="1" customHeight="1">
      <c r="A50" s="178"/>
      <c r="B50" s="3098" t="s">
        <v>2189</v>
      </c>
      <c r="C50" s="3098"/>
      <c r="D50" s="179"/>
      <c r="E50" s="31"/>
      <c r="F50" s="180"/>
      <c r="G50" s="3169"/>
      <c r="H50" s="138"/>
      <c r="I50" s="2480"/>
      <c r="J50" s="3162" t="s">
        <v>2190</v>
      </c>
      <c r="K50" s="3162"/>
      <c r="L50" s="3162"/>
      <c r="M50" s="3162"/>
      <c r="N50" s="3162"/>
      <c r="O50" s="3162"/>
    </row>
    <row r="51" spans="1:35" ht="12" hidden="1" customHeight="1">
      <c r="A51" s="181"/>
      <c r="B51" s="3098" t="s">
        <v>2191</v>
      </c>
      <c r="C51" s="3098"/>
      <c r="D51" s="182"/>
      <c r="E51" s="30"/>
      <c r="F51" s="180"/>
      <c r="G51" s="3170"/>
      <c r="H51" s="138"/>
      <c r="I51" s="2480"/>
      <c r="J51" s="2481" t="s">
        <v>2192</v>
      </c>
      <c r="K51" s="3162" t="s">
        <v>2193</v>
      </c>
      <c r="L51" s="3162"/>
      <c r="M51" s="2481" t="s">
        <v>2194</v>
      </c>
      <c r="N51" s="2481" t="s">
        <v>2195</v>
      </c>
      <c r="O51" s="2481" t="s">
        <v>2196</v>
      </c>
    </row>
    <row r="52" spans="1:35" ht="24" hidden="1" customHeight="1">
      <c r="A52" s="183" t="s">
        <v>2197</v>
      </c>
      <c r="B52" s="3098" t="s">
        <v>2198</v>
      </c>
      <c r="C52" s="3098"/>
      <c r="D52" s="182">
        <f ca="1">ROUND(D45*'数据-取费表'!B41/(1+'数据-取费表'!C42),0)</f>
        <v>64</v>
      </c>
      <c r="E52" s="11" t="s">
        <v>2199</v>
      </c>
      <c r="F52" s="184">
        <f>'数据-取费表'!B41</f>
        <v>5.6000000000000001E-2</v>
      </c>
      <c r="G52" s="2482"/>
      <c r="H52" s="138"/>
      <c r="I52" s="2480"/>
      <c r="J52" s="1808">
        <v>1</v>
      </c>
      <c r="K52" s="3163" t="s">
        <v>2200</v>
      </c>
      <c r="L52" s="3163"/>
      <c r="M52" s="1750">
        <f>D48</f>
        <v>0</v>
      </c>
      <c r="N52" s="1808" t="str">
        <f>E48</f>
        <v>销售额×税（费）率</v>
      </c>
      <c r="O52" s="1751" t="str">
        <f>F48</f>
        <v>免征</v>
      </c>
    </row>
    <row r="53" spans="1:35" ht="12" hidden="1" customHeight="1">
      <c r="A53" s="183" t="s">
        <v>2201</v>
      </c>
      <c r="B53" s="3121" t="s">
        <v>2202</v>
      </c>
      <c r="C53" s="3122"/>
      <c r="D53" s="182">
        <f ca="1">ROUND(D45*'数据-取费表'!B41/(1+'数据-取费表'!C42),0)</f>
        <v>64</v>
      </c>
      <c r="E53" s="11" t="s">
        <v>2199</v>
      </c>
      <c r="F53" s="184">
        <f>'数据-取费表'!B41</f>
        <v>5.6000000000000001E-2</v>
      </c>
      <c r="G53" s="2482"/>
      <c r="H53" s="138"/>
      <c r="I53" s="2480"/>
      <c r="J53" s="1808">
        <v>2</v>
      </c>
      <c r="K53" s="3163" t="s">
        <v>2203</v>
      </c>
      <c r="L53" s="3163"/>
      <c r="M53" s="1750">
        <f t="shared" ref="M53:O54" ca="1" si="0">D55</f>
        <v>1</v>
      </c>
      <c r="N53" s="1808" t="str">
        <f t="shared" si="0"/>
        <v>销售额×税（费）率</v>
      </c>
      <c r="O53" s="1751">
        <f t="shared" si="0"/>
        <v>5.0000000000000001E-4</v>
      </c>
    </row>
    <row r="54" spans="1:35" ht="12" hidden="1" customHeight="1">
      <c r="A54" s="183" t="s">
        <v>2204</v>
      </c>
      <c r="B54" s="3121" t="s">
        <v>2205</v>
      </c>
      <c r="C54" s="3122"/>
      <c r="D54" s="182">
        <f ca="1">C68</f>
        <v>64</v>
      </c>
      <c r="E54" s="30" t="s">
        <v>2206</v>
      </c>
      <c r="F54" s="184">
        <f>'数据-取费表'!B41</f>
        <v>5.6000000000000001E-2</v>
      </c>
      <c r="G54" s="2482"/>
      <c r="H54" s="2483"/>
      <c r="I54" s="2480"/>
      <c r="J54" s="1808">
        <v>3</v>
      </c>
      <c r="K54" s="3163" t="s">
        <v>2207</v>
      </c>
      <c r="L54" s="3163"/>
      <c r="M54" s="1750">
        <f t="shared" ca="1" si="0"/>
        <v>682</v>
      </c>
      <c r="N54" s="1808" t="str">
        <f t="shared" si="0"/>
        <v>增值额×税（费）率</v>
      </c>
      <c r="O54" s="1752" t="str">
        <f t="shared" si="0"/>
        <v>——</v>
      </c>
    </row>
    <row r="55" spans="1:35" ht="24" hidden="1" customHeight="1">
      <c r="A55" s="3112" t="s">
        <v>2208</v>
      </c>
      <c r="B55" s="3113"/>
      <c r="C55" s="3113"/>
      <c r="D55" s="185">
        <f ca="1">IF(H55="个人住宅",0,ROUND(D45*I55,0))</f>
        <v>1</v>
      </c>
      <c r="E55" s="11" t="s">
        <v>2209</v>
      </c>
      <c r="F55" s="184">
        <f>IF(H55="正常",I55,"免征")</f>
        <v>5.0000000000000001E-4</v>
      </c>
      <c r="G55" s="2482"/>
      <c r="H55" s="2479" t="s">
        <v>2210</v>
      </c>
      <c r="I55" s="186">
        <f>'数据-取费表'!B49</f>
        <v>5.0000000000000001E-4</v>
      </c>
      <c r="J55" s="1808" t="str">
        <f>IF(H59="非个人房产","",4)</f>
        <v/>
      </c>
      <c r="K55" s="3163" t="str">
        <f>IF(H59="非个人房产","——","个人所得税")</f>
        <v>——</v>
      </c>
      <c r="L55" s="3163"/>
      <c r="M55" s="1753" t="str">
        <f>D59</f>
        <v>——</v>
      </c>
      <c r="N55" s="1806" t="str">
        <f>E59</f>
        <v>——</v>
      </c>
      <c r="O55" s="1754" t="str">
        <f>F59</f>
        <v>——</v>
      </c>
    </row>
    <row r="56" spans="1:35" ht="24.75" hidden="1">
      <c r="A56" s="3112" t="s">
        <v>2211</v>
      </c>
      <c r="B56" s="3113"/>
      <c r="C56" s="3113"/>
      <c r="D56" s="185">
        <f ca="1">IF(H56="个人住宅",D57,D58)</f>
        <v>682</v>
      </c>
      <c r="E56" s="11" t="s">
        <v>2212</v>
      </c>
      <c r="F56" s="184" t="str">
        <f>IF(H56="正常",F58,"免征")</f>
        <v>——</v>
      </c>
      <c r="G56" s="2484" t="s">
        <v>2213</v>
      </c>
      <c r="H56" s="2485" t="s">
        <v>2210</v>
      </c>
      <c r="I56" s="2486"/>
      <c r="J56" s="1808" t="str">
        <f>IF(项目基本情况!K6="上海银行",IF(J55="",4,J55+1),"")</f>
        <v/>
      </c>
      <c r="K56" s="3186" t="str">
        <f>IF(项目基本情况!K6="上海银行","其他处置费用","")</f>
        <v/>
      </c>
      <c r="L56" s="3187"/>
      <c r="M56" s="1750" t="str">
        <f>IF(项目基本情况!K6="上海银行",M69,"")</f>
        <v/>
      </c>
      <c r="N56" s="3189" t="str">
        <f>IF(项目基本情况!K6="上海银行","包含处置中涉及的律师、诉讼、拍卖、评估等费用","")</f>
        <v/>
      </c>
      <c r="O56" s="3190"/>
    </row>
    <row r="57" spans="1:35" ht="12.75" hidden="1">
      <c r="A57" s="183" t="s">
        <v>2186</v>
      </c>
      <c r="B57" s="3128" t="s">
        <v>2214</v>
      </c>
      <c r="C57" s="3137"/>
      <c r="D57" s="187">
        <v>0</v>
      </c>
      <c r="E57" s="23" t="s">
        <v>2188</v>
      </c>
      <c r="F57" s="155"/>
      <c r="G57" s="2482"/>
      <c r="H57" s="2486"/>
      <c r="I57" s="2486"/>
      <c r="J57" s="3163">
        <f>IF(AND(J55="",J56=""),4,IF(项目基本情况!K6="上海银行",结果表!J56+1,结果表!J55+1))</f>
        <v>4</v>
      </c>
      <c r="K57" s="3163" t="s">
        <v>2215</v>
      </c>
      <c r="L57" s="2487" t="s">
        <v>2216</v>
      </c>
      <c r="M57" s="1755"/>
      <c r="N57" s="1756">
        <f ca="1">SUMIF(M52:M56,"&lt;9e307")</f>
        <v>683</v>
      </c>
      <c r="O57" s="2488"/>
      <c r="P57" s="1749">
        <f ca="1">N57/M49</f>
        <v>0.56727574750830567</v>
      </c>
    </row>
    <row r="58" spans="1:35" ht="24.75" hidden="1">
      <c r="A58" s="183" t="s">
        <v>2197</v>
      </c>
      <c r="B58" s="3128" t="s">
        <v>2217</v>
      </c>
      <c r="C58" s="3129"/>
      <c r="D58" s="185">
        <f ca="1">IF(H58="转让取得",C81,C97)</f>
        <v>682</v>
      </c>
      <c r="E58" s="11" t="s">
        <v>2212</v>
      </c>
      <c r="F58" s="24" t="s">
        <v>34</v>
      </c>
      <c r="G58" s="2482"/>
      <c r="H58" s="2485" t="s">
        <v>2218</v>
      </c>
      <c r="I58" s="2486"/>
      <c r="J58" s="3163"/>
      <c r="K58" s="3163"/>
      <c r="L58" s="2487" t="s">
        <v>2219</v>
      </c>
      <c r="M58" s="1757"/>
      <c r="N58" s="2489" t="str">
        <f ca="1">NUMBERSTRING(INT(N57*10000),2)&amp;"元整"</f>
        <v>陆佰捌拾叁万元整</v>
      </c>
      <c r="O58" s="2490"/>
    </row>
    <row r="59" spans="1:35" ht="24.75" hidden="1" thickBot="1">
      <c r="A59" s="3166" t="s">
        <v>2220</v>
      </c>
      <c r="B59" s="3167"/>
      <c r="C59" s="3167"/>
      <c r="D59" s="188" t="str">
        <f>IF(H59="非个人房产","——",IF(H59="个人住宅",0,ROUND(D45*I59,0)))</f>
        <v>——</v>
      </c>
      <c r="E59" s="189" t="str">
        <f>IF(H59="非个人房产","——","销售额×税（费）率")</f>
        <v>——</v>
      </c>
      <c r="F59" s="190" t="str">
        <f>IF(H59="非个人房产","——",IF(H59="个人住宅","免征",I59))</f>
        <v>——</v>
      </c>
      <c r="G59" s="2491" t="s">
        <v>2213</v>
      </c>
      <c r="H59" s="2485" t="s">
        <v>2221</v>
      </c>
      <c r="I59" s="191">
        <v>0.01</v>
      </c>
      <c r="J59" s="3164">
        <f>J57+1</f>
        <v>5</v>
      </c>
      <c r="K59" s="3163" t="s">
        <v>2222</v>
      </c>
      <c r="L59" s="1808" t="s">
        <v>2216</v>
      </c>
      <c r="M59" s="1758"/>
      <c r="N59" s="1759">
        <f ca="1">M49-N57</f>
        <v>521</v>
      </c>
      <c r="O59" s="2492"/>
    </row>
    <row r="60" spans="1:35" ht="12" hidden="1" customHeight="1">
      <c r="A60" s="2493"/>
      <c r="B60" s="2415"/>
      <c r="C60" s="2415"/>
      <c r="D60" s="2415"/>
      <c r="E60" s="2163"/>
      <c r="F60" s="2486"/>
      <c r="G60" s="2486"/>
      <c r="H60" s="2494"/>
      <c r="I60" s="138"/>
      <c r="J60" s="3165"/>
      <c r="K60" s="3163"/>
      <c r="L60" s="2487" t="s">
        <v>2219</v>
      </c>
      <c r="M60" s="1757"/>
      <c r="N60" s="2489" t="str">
        <f ca="1">NUMBERSTRING(INT(N59*10000),2)&amp;"元整"</f>
        <v>伍佰贰拾壹万元整</v>
      </c>
      <c r="O60" s="2490"/>
    </row>
    <row r="61" spans="1:35" ht="13.5" hidden="1" thickBot="1">
      <c r="A61" s="3110" t="s">
        <v>2223</v>
      </c>
      <c r="B61" s="3110"/>
      <c r="C61" s="3110"/>
      <c r="D61" s="3110"/>
      <c r="E61" s="3110"/>
      <c r="F61" s="2486"/>
      <c r="G61" s="2486"/>
      <c r="H61" s="2494"/>
      <c r="I61" s="138"/>
      <c r="J61" s="1808">
        <f>J59+1</f>
        <v>6</v>
      </c>
      <c r="K61" s="3163" t="s">
        <v>2224</v>
      </c>
      <c r="L61" s="3163"/>
      <c r="M61" s="1760"/>
      <c r="N61" s="1761">
        <f ca="1">ROUND(N59*10000/'数据-汇总表'!E3,0)</f>
        <v>15641</v>
      </c>
      <c r="O61" s="2495"/>
    </row>
    <row r="62" spans="1:35" ht="12.75" hidden="1">
      <c r="A62" s="3126" t="s">
        <v>2225</v>
      </c>
      <c r="B62" s="3127"/>
      <c r="C62" s="1800"/>
      <c r="D62" s="1800" t="s">
        <v>2226</v>
      </c>
      <c r="E62" s="192" t="s">
        <v>2227</v>
      </c>
      <c r="F62" s="2486"/>
      <c r="G62" s="2486"/>
      <c r="H62" s="2494"/>
      <c r="I62" s="138"/>
    </row>
    <row r="63" spans="1:35" ht="12.75" hidden="1">
      <c r="A63" s="203" t="s">
        <v>775</v>
      </c>
      <c r="B63" s="193" t="s">
        <v>2228</v>
      </c>
      <c r="C63" s="194">
        <f ca="1">ROUND((C64+C65)/(1+'数据-取费表'!C42),0)</f>
        <v>1147</v>
      </c>
      <c r="D63" s="195"/>
      <c r="E63" s="196"/>
      <c r="F63" s="2486"/>
      <c r="G63" s="2486"/>
      <c r="H63" s="2494"/>
      <c r="I63" s="138"/>
      <c r="J63" s="3188" t="s">
        <v>2229</v>
      </c>
      <c r="K63" s="2496" t="s">
        <v>2230</v>
      </c>
      <c r="L63" s="1748">
        <f ca="1">IF(M49&gt;10000,M49*0.5%,IF(AND(M49&gt;1000,M49&lt;=10000),M49*1%,IF(AND(M49&gt;100,M49&lt;=1000),M49*3%,IF(AND(M49&gt;10,M49&lt;=100),M49*5%,M49*8%))))</f>
        <v>12.040000000000001</v>
      </c>
      <c r="M63" s="24">
        <f ca="1">ROUND(L63,1)</f>
        <v>12</v>
      </c>
      <c r="Z63" s="2420"/>
      <c r="AI63" s="2421"/>
    </row>
    <row r="64" spans="1:35" ht="14.25" hidden="1" customHeight="1">
      <c r="A64" s="197" t="s">
        <v>770</v>
      </c>
      <c r="B64" s="198" t="s">
        <v>2231</v>
      </c>
      <c r="C64" s="199">
        <f ca="1">D45</f>
        <v>1204</v>
      </c>
      <c r="D64" s="200" t="s">
        <v>32</v>
      </c>
      <c r="E64" s="201"/>
      <c r="F64" s="2486"/>
      <c r="G64" s="2486"/>
      <c r="H64" s="2494"/>
      <c r="I64" s="138"/>
      <c r="J64" s="3188"/>
      <c r="K64" s="2496" t="s">
        <v>2232</v>
      </c>
      <c r="L64" s="1748">
        <f ca="1">IF(M49&gt;2000,M49*0.5%,IF(AND(M49&gt;1000,M49&lt;=2000),M49*0.6%,IF(AND(M49&gt;500,M49&lt;=1000),M49*0.7%,IF(AND(M49&gt;200,M49&lt;=500),M49*0.8%,IF(AND(M49&gt;100,M49&lt;=200),M49*0.9%,IF(AND(M49&gt;50,M49&lt;=100),M49*1%,IF(AND(M49&gt;20,M49&lt;=50),M49*1.5%,IF(AND(M49&gt;10,M49&lt;=20),M49*2%,IF(AND(M49&gt;1,M49&lt;=10),M49*2.5%)))))))))</f>
        <v>7.2240000000000002</v>
      </c>
      <c r="M64" s="24">
        <f t="shared" ref="M64:M65" ca="1" si="1">ROUND(L64,1)</f>
        <v>7.2</v>
      </c>
      <c r="N64" s="138" t="s">
        <v>2233</v>
      </c>
      <c r="Z64" s="2420"/>
      <c r="AI64" s="2421"/>
    </row>
    <row r="65" spans="1:35" ht="14.25" hidden="1" customHeight="1">
      <c r="A65" s="197" t="s">
        <v>771</v>
      </c>
      <c r="B65" s="198" t="s">
        <v>2234</v>
      </c>
      <c r="C65" s="202"/>
      <c r="D65" s="200"/>
      <c r="E65" s="201"/>
      <c r="F65" s="2486"/>
      <c r="G65" s="2486"/>
      <c r="H65" s="2494"/>
      <c r="I65" s="138"/>
      <c r="J65" s="3188"/>
      <c r="K65" s="2496" t="s">
        <v>2235</v>
      </c>
      <c r="L65" s="1748">
        <f ca="1">IF(M49&gt;1000,M49*0.1%,IF(AND(M49&gt;500,M49&lt;=1000),M49*0.5%,IF(AND(M49&gt;50,M49&lt;=500),M49*1%,IF(AND(M49&gt;1,M49&lt;=50),M49*1.5%))))</f>
        <v>1.204</v>
      </c>
      <c r="M65" s="24">
        <f t="shared" ca="1" si="1"/>
        <v>1.2</v>
      </c>
      <c r="N65" s="138" t="s">
        <v>2233</v>
      </c>
      <c r="Z65" s="2420"/>
      <c r="AI65" s="2421"/>
    </row>
    <row r="66" spans="1:35" ht="14.25" hidden="1" customHeight="1">
      <c r="A66" s="203" t="s">
        <v>772</v>
      </c>
      <c r="B66" s="204" t="s">
        <v>2236</v>
      </c>
      <c r="C66" s="205"/>
      <c r="D66" s="206" t="s">
        <v>32</v>
      </c>
      <c r="E66" s="1772" t="s">
        <v>1366</v>
      </c>
      <c r="F66" s="2486"/>
      <c r="G66" s="2486"/>
      <c r="H66" s="2494"/>
      <c r="I66" s="138"/>
      <c r="J66" s="3188"/>
      <c r="K66" s="2496" t="s">
        <v>2237</v>
      </c>
      <c r="L66" s="1748">
        <f ca="1">M49*0.5%</f>
        <v>6.0200000000000005</v>
      </c>
      <c r="M66" s="24">
        <f ca="1">IF(L66&gt;0.5,0.5,ROUND(L66,0))</f>
        <v>0.5</v>
      </c>
      <c r="N66" s="138" t="s">
        <v>2238</v>
      </c>
      <c r="Z66" s="2420"/>
      <c r="AI66" s="2421"/>
    </row>
    <row r="67" spans="1:35" ht="14.25" hidden="1" customHeight="1">
      <c r="A67" s="203" t="s">
        <v>773</v>
      </c>
      <c r="B67" s="204" t="s">
        <v>2239</v>
      </c>
      <c r="C67" s="207">
        <f ca="1">C63-C66</f>
        <v>1147</v>
      </c>
      <c r="D67" s="200" t="s">
        <v>32</v>
      </c>
      <c r="E67" s="201"/>
      <c r="F67" s="2486"/>
      <c r="G67" s="2486"/>
      <c r="H67" s="2494"/>
      <c r="I67" s="138"/>
      <c r="J67" s="3188"/>
      <c r="K67" s="2496" t="s">
        <v>2240</v>
      </c>
      <c r="L67" s="1748">
        <f ca="1">IF(M49&gt;=10000,(8.25+(M49-10000)*0.01%),IF(AND(M49&gt;=8000,M49&lt;10000),(7.85+(M49-8000)*0.02%),IF(AND(M49&gt;=5000,M49&lt;8000),(6.65+(M49-5000)*0.04%),IF(AND(M49&gt;=2000,M49&lt;5000),(4.25+(PM49-2000)*0.08%),IF(AND(M49&gt;=1000,M49&lt;2000),(2.75+(M49-1000)*0.15%),IF(AND(M49&gt;=100,M49&lt;1000),(0.5+(M49-100)*0.25%),IF(AND(M49&gt;0,M49&lt;100),M49*0.5%)))))))</f>
        <v>3.056</v>
      </c>
      <c r="M67" s="24">
        <f ca="1">ROUND(L67*0.9,1)</f>
        <v>2.8</v>
      </c>
      <c r="Z67" s="2420"/>
      <c r="AI67" s="2421"/>
    </row>
    <row r="68" spans="1:35" ht="14.25" hidden="1" customHeight="1" thickBot="1">
      <c r="A68" s="208" t="s">
        <v>774</v>
      </c>
      <c r="B68" s="209" t="s">
        <v>2241</v>
      </c>
      <c r="C68" s="210">
        <f ca="1">IF(C67&lt;=0,0,ROUND(C67*D68,0))</f>
        <v>64</v>
      </c>
      <c r="D68" s="211">
        <f>'数据-取费表'!B41</f>
        <v>5.6000000000000001E-2</v>
      </c>
      <c r="E68" s="212"/>
      <c r="F68" s="2486"/>
      <c r="G68" s="2486"/>
      <c r="H68" s="2494"/>
      <c r="I68" s="138"/>
      <c r="J68" s="3188"/>
      <c r="K68" s="2496" t="s">
        <v>2242</v>
      </c>
      <c r="L68" s="1748">
        <f ca="1">IF(M49&gt;10000,M49*0.5%,IF(AND(M49&gt;5000,M49&lt;=10000),M49*1%,IF(AND(M49&gt;1000,M49&lt;=5000),M49*2%,IF(AND(M49&gt;200,M49&lt;=1000),M49*3%,M49*5%))))</f>
        <v>24.080000000000002</v>
      </c>
      <c r="M68" s="24">
        <f ca="1">ROUND(L68,1)</f>
        <v>24.1</v>
      </c>
      <c r="Z68" s="2420"/>
      <c r="AI68" s="2421"/>
    </row>
    <row r="69" spans="1:35" s="2443" customFormat="1" ht="16.5" hidden="1" customHeight="1">
      <c r="A69" s="2497"/>
      <c r="B69" s="2498"/>
      <c r="C69" s="2499"/>
      <c r="D69" s="2500"/>
      <c r="E69" s="2501"/>
      <c r="F69" s="2163"/>
      <c r="G69" s="2163"/>
      <c r="H69" s="2162"/>
      <c r="I69" s="2415"/>
      <c r="J69" s="3188"/>
      <c r="K69" s="2496" t="s">
        <v>2243</v>
      </c>
      <c r="L69" s="2502"/>
      <c r="M69" s="24">
        <f ca="1">ROUND(SUM(M63:M68),0)</f>
        <v>48</v>
      </c>
      <c r="N69" s="1749">
        <f ca="1">M69/M49</f>
        <v>3.9867109634551492E-2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47" t="s">
        <v>2244</v>
      </c>
      <c r="B70" s="3148"/>
      <c r="C70" s="3148"/>
      <c r="D70" s="3148"/>
      <c r="E70" s="3148"/>
      <c r="F70" s="3148"/>
      <c r="G70" s="3148"/>
      <c r="H70" s="314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26" t="s">
        <v>2225</v>
      </c>
      <c r="B71" s="3127"/>
      <c r="C71" s="1800"/>
      <c r="D71" s="1800" t="s">
        <v>2226</v>
      </c>
      <c r="E71" s="213" t="s">
        <v>2227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2245</v>
      </c>
      <c r="C72" s="207">
        <f ca="1">ROUND(D45/(1+'数据-取费表'!C42),0)</f>
        <v>1147</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2246</v>
      </c>
      <c r="C73" s="207">
        <f ca="1">C74+C78</f>
        <v>7</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2247</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2248</v>
      </c>
      <c r="C75" s="218"/>
      <c r="D75" s="200" t="s">
        <v>32</v>
      </c>
      <c r="E75" s="219" t="s">
        <v>2249</v>
      </c>
      <c r="F75" s="2508" t="s">
        <v>2250</v>
      </c>
      <c r="G75" s="219" t="s">
        <v>2251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2252</v>
      </c>
      <c r="C76" s="200">
        <f>IF(F75="购房发票",ROUND(C75*H75*D76,0),0)</f>
        <v>0</v>
      </c>
      <c r="D76" s="222">
        <v>0.05</v>
      </c>
      <c r="E76" s="3121" t="s">
        <v>2253</v>
      </c>
      <c r="F76" s="3098"/>
      <c r="G76" s="3098"/>
      <c r="H76" s="314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0" t="s">
        <v>2256</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2257</v>
      </c>
      <c r="C78" s="225">
        <f ca="1">ROUND(D45*D78/(1+'数据-取费表'!C42),0)</f>
        <v>7</v>
      </c>
      <c r="D78" s="226">
        <f>'数据-取费表'!B43</f>
        <v>6.000000000000001E-3</v>
      </c>
      <c r="E78" s="3107" t="s">
        <v>2258</v>
      </c>
      <c r="F78" s="3108"/>
      <c r="G78" s="3108"/>
      <c r="H78" s="311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2259</v>
      </c>
      <c r="C79" s="207">
        <f ca="1">C72-C73</f>
        <v>1140</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2260</v>
      </c>
      <c r="C80" s="227">
        <f ca="1">IF(C79&lt;=0,0,C79/C73)</f>
        <v>162.85714285714286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2261</v>
      </c>
      <c r="C81" s="228">
        <f ca="1">ROUND(IF(C79&lt;=0,0,IF(C80&gt;=200%,C79*60%-C73*35%,IF(C80&gt;=100%,C79*50%-C73*15%,IF(C80&gt;=50%,C79*40%-C73*5%,IF(C80&lt;50%,C79*30%,0))))),0)</f>
        <v>682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47" t="s">
        <v>2262</v>
      </c>
      <c r="B83" s="3148"/>
      <c r="C83" s="3148"/>
      <c r="D83" s="3148"/>
      <c r="E83" s="3148"/>
      <c r="F83" s="3148"/>
      <c r="G83" s="3148"/>
      <c r="H83" s="314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26" t="s">
        <v>2225</v>
      </c>
      <c r="B84" s="3127"/>
      <c r="C84" s="1800"/>
      <c r="D84" s="1800" t="s">
        <v>2226</v>
      </c>
      <c r="E84" s="213" t="s">
        <v>2227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2245</v>
      </c>
      <c r="C85" s="207">
        <f ca="1">ROUND(D45/(1+'数据-取费表'!C42),0)</f>
        <v>1147</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2246</v>
      </c>
      <c r="C86" s="207">
        <f ca="1">IF(H88="仅含出让金",C87+C90+C91+C92+C93+C94,C87+C91+C92+C93+C94)</f>
        <v>7</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2263</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2264</v>
      </c>
      <c r="C88" s="236"/>
      <c r="D88" s="226"/>
      <c r="E88" s="237" t="s">
        <v>2265</v>
      </c>
      <c r="F88" s="1796"/>
      <c r="G88" s="238" t="s">
        <v>2266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2254</v>
      </c>
      <c r="C89" s="225">
        <f>ROUND(C88*D89,0)</f>
        <v>0</v>
      </c>
      <c r="D89" s="226">
        <f>'数据-取费表'!B48+'数据-取费表'!B49</f>
        <v>3.0499999999999999E-2</v>
      </c>
      <c r="E89" s="237" t="s">
        <v>2267</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2268</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2269</v>
      </c>
      <c r="B91" s="198" t="s">
        <v>2270</v>
      </c>
      <c r="C91" s="225">
        <f>IF(H91="——",成本法!C33,I91)</f>
        <v>0</v>
      </c>
      <c r="D91" s="226"/>
      <c r="E91" s="3107" t="s">
        <v>2271</v>
      </c>
      <c r="F91" s="3108"/>
      <c r="G91" s="3108"/>
      <c r="H91" s="2515" t="s">
        <v>2272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2273</v>
      </c>
      <c r="B92" s="198" t="s">
        <v>2274</v>
      </c>
      <c r="C92" s="225">
        <f>ROUND((C87+C90+C91)*D92,0)</f>
        <v>0</v>
      </c>
      <c r="D92" s="226">
        <v>0.1</v>
      </c>
      <c r="E92" s="3107" t="s">
        <v>2275</v>
      </c>
      <c r="F92" s="3108"/>
      <c r="G92" s="3108"/>
      <c r="H92" s="311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2276</v>
      </c>
      <c r="B93" s="198" t="s">
        <v>2257</v>
      </c>
      <c r="C93" s="225">
        <f ca="1">ROUND(D45*D93/(1+'数据-取费表'!C42),0)</f>
        <v>7</v>
      </c>
      <c r="D93" s="226">
        <f>'数据-取费表'!B43</f>
        <v>6.000000000000001E-3</v>
      </c>
      <c r="E93" s="3107" t="s">
        <v>2258</v>
      </c>
      <c r="F93" s="3108"/>
      <c r="G93" s="3108"/>
      <c r="H93" s="311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2277</v>
      </c>
      <c r="B94" s="198" t="s">
        <v>2278</v>
      </c>
      <c r="C94" s="236">
        <f>ROUND((C87+C90+C91)*D94,0)</f>
        <v>0</v>
      </c>
      <c r="D94" s="226">
        <v>0.2</v>
      </c>
      <c r="E94" s="3118" t="s">
        <v>2279</v>
      </c>
      <c r="F94" s="3119"/>
      <c r="G94" s="3119"/>
      <c r="H94" s="312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2259</v>
      </c>
      <c r="C95" s="207">
        <f ca="1">ROUND(C85-C86,0)</f>
        <v>1140</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2260</v>
      </c>
      <c r="C96" s="227">
        <f ca="1">IF(C95&lt;=0,0,C95/C86)</f>
        <v>162.85714285714286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2261</v>
      </c>
      <c r="C97" s="228">
        <f ca="1">ROUND(IF(C95&lt;=0,0,IF(C96&gt;=200%,C95*60%-C86*35%,IF(C96&gt;=100%,C95*50%-C86*15%,IF(C96&gt;=50%,C95*40%-C86*5%,IF(C96&lt;50%,C95*30%,0))))),0)</f>
        <v>682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3"/>
      <c r="F98" s="2163"/>
      <c r="G98" s="2163"/>
      <c r="H98" s="2162"/>
      <c r="I98" s="138"/>
    </row>
    <row r="99" spans="1:35" ht="21.75" customHeight="1" thickBot="1">
      <c r="A99" s="2471" t="s">
        <v>2280</v>
      </c>
      <c r="B99" s="2415"/>
      <c r="C99" s="2415"/>
      <c r="D99" s="2415"/>
      <c r="E99" s="2163"/>
      <c r="F99" s="2163"/>
      <c r="G99" s="2163"/>
      <c r="H99" s="2162"/>
      <c r="I99" s="138"/>
    </row>
    <row r="100" spans="1:35" ht="18.75" customHeight="1">
      <c r="A100" s="3092" t="s">
        <v>2281</v>
      </c>
      <c r="B100" s="3093"/>
      <c r="C100" s="3093"/>
      <c r="D100" s="3109"/>
      <c r="E100" s="3093" t="s">
        <v>2282</v>
      </c>
      <c r="F100" s="3093"/>
      <c r="G100" s="3093"/>
      <c r="H100" s="3109"/>
      <c r="I100" s="138"/>
    </row>
    <row r="101" spans="1:35" ht="18.75" customHeight="1">
      <c r="A101" s="3171" t="s">
        <v>2283</v>
      </c>
      <c r="B101" s="3172"/>
      <c r="C101" s="736" t="str">
        <f>C4</f>
        <v>比较法-办公（售价)</v>
      </c>
      <c r="D101" s="737" t="str">
        <f>D4</f>
        <v>收益法 (元)</v>
      </c>
      <c r="E101" s="3185" t="s">
        <v>2284</v>
      </c>
      <c r="F101" s="3139"/>
      <c r="G101" s="2517" t="s">
        <v>2285</v>
      </c>
      <c r="H101" s="1045">
        <f ca="1">H118</f>
        <v>1204</v>
      </c>
      <c r="I101" s="138"/>
    </row>
    <row r="102" spans="1:35" ht="18.75" customHeight="1">
      <c r="A102" s="3141" t="s">
        <v>2286</v>
      </c>
      <c r="B102" s="2517" t="s">
        <v>2285</v>
      </c>
      <c r="C102" s="736">
        <f ca="1">C19</f>
        <v>1240</v>
      </c>
      <c r="D102" s="737">
        <f ca="1">D19</f>
        <v>1168</v>
      </c>
      <c r="E102" s="3185"/>
      <c r="F102" s="3139"/>
      <c r="G102" s="2517" t="s">
        <v>2287</v>
      </c>
      <c r="H102" s="371">
        <f ca="1">I118</f>
        <v>36145</v>
      </c>
      <c r="I102" s="138"/>
    </row>
    <row r="103" spans="1:35" ht="42.75" customHeight="1">
      <c r="A103" s="3141"/>
      <c r="B103" s="2517" t="s">
        <v>2287</v>
      </c>
      <c r="C103" s="738">
        <f ca="1">C20</f>
        <v>37230</v>
      </c>
      <c r="D103" s="739">
        <f ca="1">D20</f>
        <v>35058</v>
      </c>
      <c r="E103" s="3180" t="s">
        <v>2288</v>
      </c>
      <c r="F103" s="3181"/>
      <c r="G103" s="2518" t="s">
        <v>2289</v>
      </c>
      <c r="H103" s="1045">
        <f>IF(D36="正常操作",H104+H105+H106,H105+H106)</f>
        <v>0</v>
      </c>
      <c r="I103" s="138"/>
    </row>
    <row r="104" spans="1:35" ht="18.75" customHeight="1">
      <c r="A104" s="3141" t="s">
        <v>2290</v>
      </c>
      <c r="B104" s="2519" t="s">
        <v>2285</v>
      </c>
      <c r="C104" s="740">
        <f ca="1">H118</f>
        <v>1204</v>
      </c>
      <c r="D104" s="741"/>
      <c r="E104" s="2264" t="s">
        <v>2291</v>
      </c>
      <c r="F104" s="2255"/>
      <c r="G104" s="2518" t="s">
        <v>2289</v>
      </c>
      <c r="H104" s="1046">
        <f>IF(D36="同一抵押权人同一抵押物续贷",C36&amp;"（未扣减，详见特别提示）",C36)</f>
        <v>0</v>
      </c>
      <c r="I104" s="138"/>
    </row>
    <row r="105" spans="1:35" ht="18.75" customHeight="1" thickBot="1">
      <c r="A105" s="3142"/>
      <c r="B105" s="2520" t="s">
        <v>2287</v>
      </c>
      <c r="C105" s="742">
        <f ca="1">I118</f>
        <v>36145</v>
      </c>
      <c r="D105" s="743"/>
      <c r="E105" s="2264" t="s">
        <v>2292</v>
      </c>
      <c r="F105" s="2255"/>
      <c r="G105" s="2518" t="s">
        <v>2289</v>
      </c>
      <c r="H105" s="1046">
        <f>C37</f>
        <v>0</v>
      </c>
      <c r="I105" s="138"/>
    </row>
    <row r="106" spans="1:35" ht="18.75" customHeight="1">
      <c r="A106" s="2415" t="s">
        <v>2293</v>
      </c>
      <c r="B106" s="2415"/>
      <c r="C106" s="2415"/>
      <c r="D106" s="2415"/>
      <c r="E106" s="2521" t="s">
        <v>2294</v>
      </c>
      <c r="F106" s="2255"/>
      <c r="G106" s="2518" t="s">
        <v>2289</v>
      </c>
      <c r="H106" s="1046">
        <f>C38</f>
        <v>0</v>
      </c>
      <c r="I106" s="138"/>
    </row>
    <row r="107" spans="1:35" ht="18.75" customHeight="1">
      <c r="A107" s="138"/>
      <c r="B107" s="138"/>
      <c r="C107" s="138"/>
      <c r="D107" s="138"/>
      <c r="E107" s="3138" t="str">
        <f>IF(项目基本情况!E8="已注销","——","3.房地产抵押价值")</f>
        <v>3.房地产抵押价值</v>
      </c>
      <c r="F107" s="3139"/>
      <c r="G107" s="2517" t="s">
        <v>2285</v>
      </c>
      <c r="H107" s="1045">
        <f ca="1">IF(E107="——","——",H101-H103)</f>
        <v>1204</v>
      </c>
      <c r="I107" s="138"/>
    </row>
    <row r="108" spans="1:35" ht="18.75" customHeight="1">
      <c r="A108" s="138"/>
      <c r="B108" s="138"/>
      <c r="C108" s="138"/>
      <c r="D108" s="138"/>
      <c r="E108" s="3138"/>
      <c r="F108" s="3139"/>
      <c r="G108" s="2517" t="s">
        <v>2287</v>
      </c>
      <c r="H108" s="371">
        <f ca="1">ROUND(H107*10000/'数据-汇总表'!E3,0)</f>
        <v>36145</v>
      </c>
      <c r="I108" s="138"/>
    </row>
    <row r="109" spans="1:35" ht="18.75" customHeight="1">
      <c r="A109" s="138"/>
      <c r="B109" s="138"/>
      <c r="C109" s="138"/>
      <c r="D109" s="138"/>
      <c r="E109" s="3138" t="str">
        <f>IF(项目基本情况!E8="已注销及未注销","4.抵押担保权已注销时的房地产抵押价值",IF(项目基本情况!E8="已注销","3.抵押担保权已注销时的房地产抵押价值","——"))</f>
        <v>——</v>
      </c>
      <c r="F109" s="3139"/>
      <c r="G109" s="2517" t="s">
        <v>2285</v>
      </c>
      <c r="H109" s="348" t="str">
        <f>IF(E109="——","——",H101-H105-H106)</f>
        <v>——</v>
      </c>
      <c r="I109" s="138"/>
    </row>
    <row r="110" spans="1:35" ht="18.75" customHeight="1">
      <c r="A110" s="138"/>
      <c r="B110" s="138"/>
      <c r="C110" s="138"/>
      <c r="D110" s="138"/>
      <c r="E110" s="3138"/>
      <c r="F110" s="3139"/>
      <c r="G110" s="2517" t="s">
        <v>2287</v>
      </c>
      <c r="H110" s="371" t="str">
        <f>IF(H109="——","——",ROUND(H109*10000/'数据-汇总表'!E3,0))</f>
        <v>——</v>
      </c>
      <c r="I110" s="138"/>
    </row>
    <row r="111" spans="1:35" ht="18.75" customHeight="1">
      <c r="A111" s="138"/>
      <c r="B111" s="138"/>
      <c r="C111" s="138"/>
      <c r="D111" s="138"/>
      <c r="E111" s="3173" t="str">
        <f>IF(项目基本情况!E9="抵押净值",IF(OR(项目基本情况!E8="已注销",项目基本情况!E8="房地产抵押价值"),"4.抵押净值","5.抵押净值"),"——")</f>
        <v>——</v>
      </c>
      <c r="F111" s="3174"/>
      <c r="G111" s="2517" t="s">
        <v>2285</v>
      </c>
      <c r="H111" s="1045" t="str">
        <f>IF(E111="——","——",N59)</f>
        <v>——</v>
      </c>
      <c r="I111" s="138"/>
    </row>
    <row r="112" spans="1:35" ht="18.75" customHeight="1" thickBot="1">
      <c r="A112" s="138"/>
      <c r="B112" s="138"/>
      <c r="C112" s="138"/>
      <c r="D112" s="138"/>
      <c r="E112" s="3175"/>
      <c r="F112" s="3176"/>
      <c r="G112" s="2522" t="s">
        <v>2287</v>
      </c>
      <c r="H112" s="790" t="str">
        <f>IF(E111="——","——",N61)</f>
        <v>——</v>
      </c>
      <c r="I112" s="138"/>
    </row>
    <row r="113" spans="1:11" ht="18.75" customHeight="1">
      <c r="A113" s="138"/>
      <c r="B113" s="138"/>
      <c r="C113" s="138"/>
      <c r="D113" s="138"/>
      <c r="E113" s="3143" t="s">
        <v>2293</v>
      </c>
      <c r="F113" s="3143"/>
      <c r="G113" s="3143"/>
      <c r="H113" s="3143"/>
      <c r="I113" s="138"/>
    </row>
    <row r="114" spans="1:11" ht="3.75" customHeight="1">
      <c r="A114" s="2415"/>
      <c r="B114" s="2415"/>
      <c r="C114" s="2415"/>
      <c r="D114" s="2415"/>
      <c r="E114" s="2493"/>
      <c r="F114" s="2493"/>
      <c r="G114" s="2493"/>
      <c r="H114" s="2493"/>
      <c r="I114" s="2415"/>
    </row>
    <row r="115" spans="1:11" ht="18.75" customHeight="1">
      <c r="A115" s="3156" t="s">
        <v>2295</v>
      </c>
      <c r="B115" s="3157"/>
      <c r="C115" s="3157"/>
      <c r="D115" s="3157"/>
      <c r="E115" s="3157"/>
      <c r="F115" s="3157"/>
      <c r="G115" s="3157"/>
      <c r="H115" s="3157"/>
      <c r="I115" s="3158"/>
    </row>
    <row r="116" spans="1:11" ht="27" customHeight="1">
      <c r="A116" s="3049" t="s">
        <v>2296</v>
      </c>
      <c r="B116" s="3144" t="s">
        <v>2297</v>
      </c>
      <c r="C116" s="3144" t="s">
        <v>2298</v>
      </c>
      <c r="D116" s="3160" t="s">
        <v>2299</v>
      </c>
      <c r="E116" s="3161"/>
      <c r="F116" s="3152" t="s">
        <v>2300</v>
      </c>
      <c r="G116" s="3152"/>
      <c r="H116" s="3049" t="s">
        <v>2301</v>
      </c>
      <c r="I116" s="3049"/>
    </row>
    <row r="117" spans="1:11" ht="18.75" customHeight="1">
      <c r="A117" s="3049"/>
      <c r="B117" s="3145"/>
      <c r="C117" s="3145"/>
      <c r="D117" s="1794" t="s">
        <v>2302</v>
      </c>
      <c r="E117" s="1794" t="s">
        <v>2303</v>
      </c>
      <c r="F117" s="1794" t="s">
        <v>2302</v>
      </c>
      <c r="G117" s="1794" t="s">
        <v>2304</v>
      </c>
      <c r="H117" s="1794" t="s">
        <v>2302</v>
      </c>
      <c r="I117" s="1794" t="s">
        <v>2304</v>
      </c>
    </row>
    <row r="118" spans="1:11" ht="24.75" customHeight="1">
      <c r="A118" s="2523" t="str">
        <f>项目基本情况!S2</f>
        <v>北京市朝阳区北苑路甲13号院1号楼15层1-1501等18套办公用房房地产房地产</v>
      </c>
      <c r="B118" s="1794">
        <f>M18</f>
        <v>333.1</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1204</v>
      </c>
      <c r="I118" s="1794">
        <f ca="1">ROUND(IF(D32="楼面单价",C32,H118*10000/B118),0)</f>
        <v>36145</v>
      </c>
    </row>
    <row r="119" spans="1:11" ht="18.75" customHeight="1">
      <c r="A119" s="3049" t="s">
        <v>2305</v>
      </c>
      <c r="B119" s="3049"/>
      <c r="C119" s="3049"/>
      <c r="D119" s="3149" t="e">
        <f ca="1">NUMBERSTRING(INT(D118*10000),2)&amp;"元整"</f>
        <v>#REF!</v>
      </c>
      <c r="E119" s="3151"/>
      <c r="F119" s="3149" t="e">
        <f ca="1">NUMBERSTRING(INT(F118*10000),2)&amp;"元整"</f>
        <v>#REF!</v>
      </c>
      <c r="G119" s="3151"/>
      <c r="H119" s="3149" t="str">
        <f ca="1">NUMBERSTRING(INT(H118*10000),2)&amp;"元整"</f>
        <v>壹仟贰佰零肆万元整</v>
      </c>
      <c r="I119" s="3151"/>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20" t="str">
        <f>IF(D120=0,"故，本次评估不存在"&amp;A120,"故，本次评估"&amp;A120&amp;"为人民币"&amp;D120&amp;"万元整。")</f>
        <v>故，本次评估不存在估价师知悉的法定优先受偿款</v>
      </c>
    </row>
    <row r="121" spans="1:11" ht="18.75" customHeight="1">
      <c r="A121" s="3153" t="s">
        <v>2305</v>
      </c>
      <c r="B121" s="3154"/>
      <c r="C121" s="3155"/>
      <c r="D121" s="3149" t="str">
        <f>IF(D120=0,"零元整",NUMBERSTRING(INT(D120*10000),2)&amp;"元整")</f>
        <v>零元整</v>
      </c>
      <c r="E121" s="3150"/>
      <c r="F121" s="3150"/>
      <c r="G121" s="3150"/>
      <c r="H121" s="3150"/>
      <c r="I121" s="3151"/>
    </row>
    <row r="122" spans="1:11" ht="18.75" customHeight="1">
      <c r="A122" s="3140" t="str">
        <f>IF(项目基本情况!B9="房地产市场价值","",MID(E107,3,LEN(E107)-2))</f>
        <v>房地产抵押价值</v>
      </c>
      <c r="B122" s="3140"/>
      <c r="C122" s="3140"/>
      <c r="D122" s="3177">
        <f ca="1">H107</f>
        <v>1204</v>
      </c>
      <c r="E122" s="3178"/>
      <c r="F122" s="3178"/>
      <c r="G122" s="3178"/>
      <c r="H122" s="3178"/>
      <c r="I122" s="3179"/>
    </row>
    <row r="123" spans="1:11" ht="18.75" customHeight="1">
      <c r="A123" s="3049" t="s">
        <v>2305</v>
      </c>
      <c r="B123" s="3049"/>
      <c r="C123" s="3049"/>
      <c r="D123" s="3149" t="str">
        <f ca="1">NUMBERSTRING(INT(D122*10000),2)&amp;"元整"</f>
        <v>壹仟贰佰零肆万元整</v>
      </c>
      <c r="E123" s="3150"/>
      <c r="F123" s="3150"/>
      <c r="G123" s="3150"/>
      <c r="H123" s="3150"/>
      <c r="I123" s="3151"/>
    </row>
    <row r="124" spans="1:11" ht="18.75" customHeight="1">
      <c r="A124" s="3140" t="str">
        <f>IF(项目基本情况!B9="房地产市场价值","",MID(E109,3,LEN(E109)-2))</f>
        <v/>
      </c>
      <c r="B124" s="3140"/>
      <c r="C124" s="3140"/>
      <c r="D124" s="3177" t="str">
        <f>H109</f>
        <v>——</v>
      </c>
      <c r="E124" s="3178"/>
      <c r="F124" s="3178"/>
      <c r="G124" s="3178"/>
      <c r="H124" s="3178"/>
      <c r="I124" s="3179"/>
    </row>
    <row r="125" spans="1:11" ht="18.75" customHeight="1">
      <c r="A125" s="3049" t="s">
        <v>2305</v>
      </c>
      <c r="B125" s="3049"/>
      <c r="C125" s="3049"/>
      <c r="D125" s="3149" t="e">
        <f>NUMBERSTRING(INT(D124*10000),2)&amp;"元整"</f>
        <v>#VALUE!</v>
      </c>
      <c r="E125" s="3150"/>
      <c r="F125" s="3150"/>
      <c r="G125" s="3150"/>
      <c r="H125" s="3150"/>
      <c r="I125" s="3151"/>
    </row>
    <row r="126" spans="1:11" ht="18.75" customHeight="1">
      <c r="A126" s="3140" t="str">
        <f>IF(项目基本情况!B9="房地产市场价值","",MID(E111,3,LEN(E111)-2))</f>
        <v/>
      </c>
      <c r="B126" s="3140"/>
      <c r="C126" s="3140"/>
      <c r="D126" s="3177" t="str">
        <f>H111</f>
        <v>——</v>
      </c>
      <c r="E126" s="3178"/>
      <c r="F126" s="3178"/>
      <c r="G126" s="3178"/>
      <c r="H126" s="3178"/>
      <c r="I126" s="3179"/>
    </row>
    <row r="127" spans="1:11" ht="18.75" customHeight="1">
      <c r="A127" s="3049" t="s">
        <v>2305</v>
      </c>
      <c r="B127" s="3049"/>
      <c r="C127" s="3049"/>
      <c r="D127" s="3149" t="e">
        <f>NUMBERSTRING(INT(D126*10000),2)&amp;"元整"</f>
        <v>#VALUE!</v>
      </c>
      <c r="E127" s="3150"/>
      <c r="F127" s="3150"/>
      <c r="G127" s="3150"/>
      <c r="H127" s="3150"/>
      <c r="I127" s="3151"/>
    </row>
    <row r="128" spans="1:11" ht="21.75" customHeight="1">
      <c r="A128" s="3159" t="s">
        <v>2306</v>
      </c>
      <c r="B128" s="3159"/>
      <c r="C128" s="3159"/>
      <c r="D128" s="3159"/>
      <c r="E128" s="3159"/>
      <c r="F128" s="3159"/>
      <c r="G128" s="3159"/>
      <c r="H128" s="3159"/>
      <c r="I128" s="3159"/>
    </row>
    <row r="129" spans="1:35" ht="21.75" customHeight="1">
      <c r="A129" s="2524" t="s">
        <v>2307</v>
      </c>
      <c r="B129" s="2525"/>
      <c r="C129" s="2526" t="s">
        <v>2308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2309</v>
      </c>
      <c r="G135" s="2541"/>
      <c r="H135" s="2541"/>
      <c r="I135" s="2542" t="s">
        <v>2310</v>
      </c>
    </row>
    <row r="136" spans="1:35" ht="21.75" customHeight="1">
      <c r="A136" s="795"/>
      <c r="B136" s="2543"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2312</v>
      </c>
    </row>
    <row r="139" spans="1:35" ht="21.75" customHeight="1">
      <c r="A139" s="795"/>
      <c r="B139" s="2543" t="s">
        <v>2313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2312</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8" orientation="portrait" r:id="rId1"/>
  <rowBreaks count="3" manualBreakCount="3">
    <brk id="43" max="8" man="1"/>
    <brk id="97" max="8" man="1"/>
    <brk id="142" max="8" man="1"/>
  </rowBreaks>
  <colBreaks count="1" manualBreakCount="1">
    <brk id="1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5"/>
      <c r="C1" s="242"/>
      <c r="D1" s="242"/>
      <c r="E1" s="242"/>
      <c r="F1" s="242"/>
      <c r="G1" s="1379">
        <f>MATCH(B1,'数据-取费表'!A6:A16,0)+5</f>
        <v>7</v>
      </c>
    </row>
    <row r="2" spans="1:9" s="244" customFormat="1" ht="18" customHeight="1">
      <c r="A2" s="245" t="s">
        <v>2315</v>
      </c>
      <c r="B2" s="246">
        <f ca="1">IF(D2="——",C52,C52-E2)</f>
        <v>155</v>
      </c>
      <c r="C2" s="243" t="s">
        <v>2316</v>
      </c>
      <c r="D2" s="2546" t="s">
        <v>70</v>
      </c>
      <c r="E2" s="1440" t="e">
        <f ca="1">SUMIF(INDIRECT("'"&amp;G2&amp;"'"&amp;"!A:A"),"承租人权益价值",INDIRECT("'"&amp;G2&amp;"'"&amp;"!c:c"))</f>
        <v>#REF!</v>
      </c>
      <c r="F2" s="2547" t="s">
        <v>2316</v>
      </c>
      <c r="G2" s="2548"/>
    </row>
    <row r="3" spans="1:9" s="244" customFormat="1" ht="18" customHeight="1" thickBot="1">
      <c r="A3" s="247" t="s">
        <v>2317</v>
      </c>
      <c r="B3" s="248">
        <f ca="1">ROUND(B2*10000/(IF(B1="",'数据-汇总表'!E3,INDIRECT("'数据-取费表'!k"&amp;$G$1))),0)</f>
        <v>4653</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7</v>
      </c>
      <c r="D5" s="255" t="s">
        <v>2322</v>
      </c>
      <c r="E5" s="256" t="s">
        <v>2323</v>
      </c>
      <c r="F5" s="256" t="s">
        <v>2324</v>
      </c>
      <c r="G5" s="257"/>
    </row>
    <row r="6" spans="1:9" s="258" customFormat="1" ht="13.5" customHeight="1">
      <c r="A6" s="949" t="s">
        <v>2325</v>
      </c>
      <c r="B6" s="259" t="s">
        <v>2326</v>
      </c>
      <c r="C6" s="260"/>
      <c r="D6" s="261"/>
      <c r="E6" s="262"/>
      <c r="F6" s="262"/>
      <c r="G6" s="263"/>
    </row>
    <row r="7" spans="1:9" s="258" customFormat="1" ht="13.5" customHeight="1">
      <c r="A7" s="949" t="s">
        <v>2327</v>
      </c>
      <c r="B7" s="259" t="s">
        <v>2328</v>
      </c>
      <c r="C7" s="264">
        <f>ROUND(C6*F7,0)</f>
        <v>0</v>
      </c>
      <c r="D7" s="264"/>
      <c r="E7" s="262"/>
      <c r="F7" s="265">
        <f>IF(项目基本情况!B8="出让",0,'数据-取费表'!B48+'数据-取费表'!B49)</f>
        <v>3.0499999999999999E-2</v>
      </c>
      <c r="G7" s="263"/>
    </row>
    <row r="8" spans="1:9" s="267" customFormat="1">
      <c r="A8" s="949" t="s">
        <v>2329</v>
      </c>
      <c r="B8" s="259" t="s">
        <v>2330</v>
      </c>
      <c r="C8" s="264">
        <f>IF(G8="已包含在土地购买价格中","0",IF(B1="",'数据-取费表'!B29,IF(G9="全部缴纳",C9+C10,H9)))</f>
        <v>7</v>
      </c>
      <c r="D8" s="266"/>
      <c r="E8" s="264"/>
      <c r="F8" s="265"/>
      <c r="G8" s="2549"/>
    </row>
    <row r="9" spans="1:9" s="258" customFormat="1" ht="13.5" customHeight="1">
      <c r="A9" s="950" t="s">
        <v>800</v>
      </c>
      <c r="B9" s="268" t="s">
        <v>2331</v>
      </c>
      <c r="C9" s="269">
        <f ca="1">ROUND(D9*E9/10000,0)</f>
        <v>0</v>
      </c>
      <c r="D9" s="1032">
        <f ca="1">IF(B1="",'数据-汇总表'!E5,IF(INDIRECT("'数据-取费表'!c"&amp;$G$1)="住宅",INDIRECT("'数据-取费表'!k"&amp;$G$1),0))</f>
        <v>0</v>
      </c>
      <c r="E9" s="269">
        <f>'数据-取费表'!B27</f>
        <v>160</v>
      </c>
      <c r="F9" s="265"/>
      <c r="G9" s="2550"/>
      <c r="H9" s="1390"/>
      <c r="I9" s="2551" t="s">
        <v>2332</v>
      </c>
    </row>
    <row r="10" spans="1:9" s="258" customFormat="1" ht="13.5" customHeight="1">
      <c r="A10" s="950" t="s">
        <v>801</v>
      </c>
      <c r="B10" s="268" t="s">
        <v>2333</v>
      </c>
      <c r="C10" s="269">
        <f ca="1">ROUND(D10*E10/10000,0)</f>
        <v>7</v>
      </c>
      <c r="D10" s="1032">
        <f ca="1">IF(B1="",'数据-汇总表'!E6,IF(INDIRECT("'数据-取费表'!c"&amp;$G$1)="住宅",INDIRECT("'数据-取费表'!s"&amp;$G$1),INDIRECT("'数据-取费表'!k"&amp;$G$1)+INDIRECT("'数据-取费表'!s"&amp;$G$1)))</f>
        <v>333.1</v>
      </c>
      <c r="E10" s="269">
        <f>'数据-取费表'!B28</f>
        <v>200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f ca="1">IF(G19="已包含在土地取得成本中","0",ROUND(D19*E19/10000,0))</f>
        <v>5</v>
      </c>
      <c r="D19" s="1036">
        <f ca="1">D9+D10</f>
        <v>333.1</v>
      </c>
      <c r="E19" s="255">
        <f>'数据-取费表'!B31</f>
        <v>150</v>
      </c>
      <c r="F19" s="275"/>
      <c r="G19" s="2549"/>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4">
        <f ca="1">ROUND(SUM(C23:C25),0)</f>
        <v>1</v>
      </c>
      <c r="D22" s="279">
        <f ca="1">C26</f>
        <v>1E-3</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1</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0</v>
      </c>
      <c r="D25" s="282"/>
      <c r="E25" s="285"/>
      <c r="F25" s="283"/>
      <c r="G25" s="286" t="s">
        <v>2363</v>
      </c>
    </row>
    <row r="26" spans="1:7" s="258" customFormat="1">
      <c r="A26" s="95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2</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ROUND((C5+C19+C20)*F27*'数据-取费表'!B21/'数据-取费表'!B20,0)</f>
        <v>2</v>
      </c>
      <c r="D28" s="279"/>
      <c r="E28" s="280"/>
      <c r="F28" s="290"/>
      <c r="G28" s="291"/>
    </row>
    <row r="29" spans="1:7" s="258" customFormat="1" ht="13.5" customHeight="1">
      <c r="A29" s="951"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16</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128</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117</v>
      </c>
      <c r="D34" s="261"/>
      <c r="E34" s="264"/>
      <c r="F34" s="301">
        <f ca="1">IF('数据-取费表'!B24=0,1,IF(B1="",'数据-取费表'!N16,INDIRECT("'数据-取费表'!n"&amp;$G$1)))</f>
        <v>1</v>
      </c>
      <c r="G34" s="263" t="s">
        <v>2379</v>
      </c>
    </row>
    <row r="35" spans="1:7" ht="13.5" customHeight="1">
      <c r="A35" s="951" t="s">
        <v>796</v>
      </c>
      <c r="B35" s="259" t="s">
        <v>2380</v>
      </c>
      <c r="C35" s="264">
        <f ca="1">ROUND(C34*F35,0)</f>
        <v>4</v>
      </c>
      <c r="D35" s="264"/>
      <c r="E35" s="264"/>
      <c r="F35" s="303">
        <f>'数据-取费表'!B33</f>
        <v>0.03</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1" t="s">
        <v>798</v>
      </c>
      <c r="B37" s="259" t="s">
        <v>2384</v>
      </c>
      <c r="C37" s="293">
        <f ca="1">ROUND(E37*D37*F34/10000,0)</f>
        <v>5</v>
      </c>
      <c r="D37" s="261">
        <f ca="1">D19</f>
        <v>333.1</v>
      </c>
      <c r="E37" s="293">
        <f>'数据-取费表'!B35</f>
        <v>150</v>
      </c>
      <c r="F37" s="303"/>
      <c r="G37" s="305" t="s">
        <v>2385</v>
      </c>
    </row>
    <row r="38" spans="1:7" ht="13.5" customHeight="1">
      <c r="A38" s="951" t="s">
        <v>799</v>
      </c>
      <c r="B38" s="259" t="s">
        <v>2386</v>
      </c>
      <c r="C38" s="264">
        <f ca="1">ROUND(C34*F38,0)</f>
        <v>2</v>
      </c>
      <c r="D38" s="264"/>
      <c r="E38" s="264"/>
      <c r="F38" s="303">
        <f>'数据-取费表'!B36</f>
        <v>1.4999999999999999E-2</v>
      </c>
      <c r="G38" s="263" t="s">
        <v>2381</v>
      </c>
    </row>
    <row r="39" spans="1:7" s="258" customFormat="1" ht="13.5" customHeight="1">
      <c r="A39" s="299" t="s">
        <v>2387</v>
      </c>
      <c r="B39" s="254" t="s">
        <v>2388</v>
      </c>
      <c r="C39" s="276">
        <f ca="1">ROUND(C33*F20,0)</f>
        <v>3</v>
      </c>
      <c r="D39" s="276"/>
      <c r="E39" s="276"/>
      <c r="F39" s="277"/>
      <c r="G39" s="278" t="s">
        <v>2389</v>
      </c>
    </row>
    <row r="40" spans="1:7" s="258" customFormat="1" ht="13.5" customHeight="1">
      <c r="A40" s="299" t="s">
        <v>2390</v>
      </c>
      <c r="B40" s="254" t="s">
        <v>2391</v>
      </c>
      <c r="C40" s="1727">
        <f>F21</f>
        <v>0.02</v>
      </c>
      <c r="D40" s="280" t="s">
        <v>2392</v>
      </c>
      <c r="E40" s="276"/>
      <c r="F40" s="277"/>
      <c r="G40" s="278" t="s">
        <v>2393</v>
      </c>
    </row>
    <row r="41" spans="1:7" s="258" customFormat="1" ht="13.5" customHeight="1">
      <c r="A41" s="299" t="s">
        <v>2394</v>
      </c>
      <c r="B41" s="254" t="s">
        <v>2395</v>
      </c>
      <c r="C41" s="276">
        <f ca="1">ROUND(SUM(C42:C43),0)</f>
        <v>6</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6</v>
      </c>
      <c r="D42" s="282"/>
      <c r="E42" s="282"/>
      <c r="F42" s="283"/>
      <c r="G42" s="3191" t="s">
        <v>2397</v>
      </c>
    </row>
    <row r="43" spans="1:7" ht="13.5" customHeight="1">
      <c r="A43" s="951" t="s">
        <v>792</v>
      </c>
      <c r="B43" s="259" t="s">
        <v>2398</v>
      </c>
      <c r="C43" s="282">
        <f ca="1">ROUND(IF('数据-取费表'!B22&lt;=1,C39*F22*'数据-取费表'!B21/2,C39*(POWER((1+F22),'数据-取费表'!B21/2)-1)),0)</f>
        <v>0</v>
      </c>
      <c r="D43" s="282"/>
      <c r="E43" s="282"/>
      <c r="F43" s="283"/>
      <c r="G43" s="3192"/>
    </row>
    <row r="44" spans="1:7" ht="13.5" customHeight="1">
      <c r="A44" s="951" t="s">
        <v>793</v>
      </c>
      <c r="B44" s="259" t="s">
        <v>2399</v>
      </c>
      <c r="C44" s="282">
        <f ca="1">ROUND(IF('数据-取费表'!B22&lt;=1,C40*F22*'数据-取费表'!B21/2,C40*(POWER((1+F22),'数据-取费表'!B21/2)-1)),4)</f>
        <v>1E-3</v>
      </c>
      <c r="D44" s="282"/>
      <c r="E44" s="282"/>
      <c r="F44" s="283"/>
      <c r="G44" s="3193"/>
    </row>
    <row r="45" spans="1:7" s="258" customFormat="1" ht="13.5" customHeight="1">
      <c r="A45" s="299" t="s">
        <v>2400</v>
      </c>
      <c r="B45" s="288" t="s">
        <v>2366</v>
      </c>
      <c r="C45" s="289">
        <f ca="1">C46</f>
        <v>20</v>
      </c>
      <c r="D45" s="279">
        <f ca="1">C47</f>
        <v>3.0000000000000001E-3</v>
      </c>
      <c r="E45" s="280" t="s">
        <v>2392</v>
      </c>
      <c r="F45" s="290"/>
      <c r="G45" s="291" t="s">
        <v>2401</v>
      </c>
    </row>
    <row r="46" spans="1:7" s="258" customFormat="1" ht="13.5" customHeight="1">
      <c r="A46" s="951" t="s">
        <v>791</v>
      </c>
      <c r="B46" s="292" t="s">
        <v>2402</v>
      </c>
      <c r="C46" s="293">
        <f ca="1">ROUND((C33+C39)*F27,0)</f>
        <v>20</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1727">
        <f>ROUND(F30/(1+'数据-取费表'!C42),4)</f>
        <v>5.33E-2</v>
      </c>
      <c r="D48" s="280" t="s">
        <v>2392</v>
      </c>
      <c r="E48" s="276"/>
      <c r="F48" s="281"/>
      <c r="G48" s="278" t="s">
        <v>2405</v>
      </c>
    </row>
    <row r="49" spans="1:7" ht="16.5" customHeight="1">
      <c r="A49" s="299" t="s">
        <v>2371</v>
      </c>
      <c r="B49" s="254" t="s">
        <v>2406</v>
      </c>
      <c r="C49" s="276">
        <f ca="1">ROUND((C33+C39+C41+C45)/(1-C40-D41-D45-C48),0)</f>
        <v>170</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139</v>
      </c>
      <c r="D51" s="276"/>
      <c r="E51" s="276"/>
      <c r="F51" s="308"/>
      <c r="G51" s="278" t="s">
        <v>2413</v>
      </c>
    </row>
    <row r="52" spans="1:7" s="252" customFormat="1" ht="16.5" thickBot="1">
      <c r="A52" s="309" t="s">
        <v>2414</v>
      </c>
      <c r="B52" s="310"/>
      <c r="C52" s="311">
        <f ca="1">C31+C51</f>
        <v>155</v>
      </c>
      <c r="D52" s="310"/>
      <c r="E52" s="310"/>
      <c r="F52" s="310"/>
      <c r="G52" s="312"/>
    </row>
    <row r="55" spans="1:7" ht="15">
      <c r="B55" s="314" t="s">
        <v>2415</v>
      </c>
      <c r="C55" s="315"/>
    </row>
    <row r="56" spans="1:7">
      <c r="B56" s="317" t="s">
        <v>1506</v>
      </c>
      <c r="C56" s="319">
        <f ca="1">1-C57</f>
        <v>0.10299999999999998</v>
      </c>
    </row>
    <row r="57" spans="1:7">
      <c r="B57" s="317" t="s">
        <v>1507</v>
      </c>
      <c r="C57" s="318">
        <f ca="1">ROUND(C51/C52,3)</f>
        <v>0.89700000000000002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5" t="str">
        <f>项目基本情况!B1</f>
        <v>北京市朝阳区北苑路甲13号院1号楼15层1-1501等18套办公用房房地产房地产抵押价值预评估</v>
      </c>
      <c r="C37" s="3005"/>
      <c r="D37" s="3005"/>
      <c r="E37" s="3005"/>
      <c r="F37" s="3005"/>
      <c r="G37" s="3005"/>
      <c r="H37" s="3005"/>
      <c r="I37" s="3005"/>
    </row>
    <row r="38" spans="1:9">
      <c r="A38" s="1016"/>
      <c r="B38" s="1016"/>
    </row>
    <row r="39" spans="1:9">
      <c r="A39" s="1014" t="s">
        <v>818</v>
      </c>
      <c r="B39" s="1014" t="s">
        <v>820</v>
      </c>
    </row>
    <row r="40" spans="1:9">
      <c r="A40" s="1014"/>
      <c r="B40" s="1940" t="str">
        <f>项目基本情况!B5</f>
        <v>北京新媒传信科技有限公司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吴薇（注册号：0)、崔锴（注册号：1120100036)</v>
      </c>
    </row>
    <row r="47" spans="1:9">
      <c r="A47" s="1014"/>
      <c r="B47" s="1014" t="str">
        <f>项目基本情况!K5</f>
        <v/>
      </c>
    </row>
    <row r="48" spans="1:9">
      <c r="A48" s="1014" t="s">
        <v>818</v>
      </c>
      <c r="B48" s="1014" t="s">
        <v>824</v>
      </c>
    </row>
    <row r="49" spans="2:2">
      <c r="B49" s="1940" t="str">
        <f>"康正预评字"&amp;项目基本情况!B2&amp;"号"</f>
        <v>康正预评字2020-1-0042-P01DYGJ1号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5"/>
      <c r="C1" s="2552"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154</v>
      </c>
      <c r="C2" s="243" t="s">
        <v>2316</v>
      </c>
      <c r="D2" s="2546" t="s">
        <v>70</v>
      </c>
      <c r="E2" s="1440" t="e">
        <f ca="1">SUMIF(INDIRECT("'"&amp;G2&amp;"'"&amp;"!A:A"),"承租人权益价值",INDIRECT("'"&amp;G2&amp;"'"&amp;"!c:c"))</f>
        <v>#REF!</v>
      </c>
      <c r="F2" s="2547" t="s">
        <v>2316</v>
      </c>
      <c r="G2" s="2548"/>
    </row>
    <row r="3" spans="1:8" s="244" customFormat="1" ht="18" customHeight="1" thickBot="1">
      <c r="A3" s="247" t="s">
        <v>2317</v>
      </c>
      <c r="B3" s="248">
        <f ca="1">ROUND(B2*10000/(IF(B1="",'数据-汇总表'!E3,INDIRECT("'数据-取费表'!k"&amp;$G$1))),0)</f>
        <v>4623</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66620</v>
      </c>
      <c r="D5" s="255" t="s">
        <v>2322</v>
      </c>
      <c r="E5" s="256" t="s">
        <v>2323</v>
      </c>
      <c r="F5" s="256" t="s">
        <v>2324</v>
      </c>
      <c r="G5" s="257"/>
    </row>
    <row r="6" spans="1:8" s="258" customFormat="1" ht="13.5" customHeight="1">
      <c r="A6" s="949" t="s">
        <v>2325</v>
      </c>
      <c r="B6" s="259" t="s">
        <v>2326</v>
      </c>
      <c r="C6" s="260"/>
      <c r="D6" s="261"/>
      <c r="E6" s="262"/>
      <c r="F6" s="262"/>
      <c r="G6" s="263"/>
    </row>
    <row r="7" spans="1:8" s="258" customFormat="1" ht="13.5" customHeight="1">
      <c r="A7" s="949" t="s">
        <v>2327</v>
      </c>
      <c r="B7" s="259" t="s">
        <v>2328</v>
      </c>
      <c r="C7" s="264">
        <f>ROUND(C6*F7,0)</f>
        <v>0</v>
      </c>
      <c r="D7" s="264"/>
      <c r="E7" s="262"/>
      <c r="F7" s="265">
        <f>IF(项目基本情况!B8="出让",0,'数据-取费表'!B48+'数据-取费表'!B49)</f>
        <v>3.0499999999999999E-2</v>
      </c>
      <c r="G7" s="263"/>
    </row>
    <row r="8" spans="1:8" s="267" customFormat="1">
      <c r="A8" s="949" t="s">
        <v>2329</v>
      </c>
      <c r="B8" s="259" t="s">
        <v>2330</v>
      </c>
      <c r="C8" s="264">
        <f ca="1">IF(G8="已包含在土地购买价格中",0,C9+C10)</f>
        <v>66620</v>
      </c>
      <c r="D8" s="266"/>
      <c r="E8" s="264"/>
      <c r="F8" s="265"/>
      <c r="G8" s="2549"/>
    </row>
    <row r="9" spans="1:8" s="258" customFormat="1" ht="13.5" customHeight="1">
      <c r="A9" s="950" t="s">
        <v>800</v>
      </c>
      <c r="B9" s="268" t="s">
        <v>2331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2333</v>
      </c>
      <c r="C10" s="269">
        <f ca="1">ROUND(D10*E10,0)</f>
        <v>66620</v>
      </c>
      <c r="D10" s="1032">
        <f ca="1">IF(B1="",'数据-汇总表'!E6,IF(INDIRECT("'数据-取费表'!c"&amp;$G$1)="住宅",INDIRECT("'数据-取费表'!s"&amp;$G$1),INDIRECT("'数据-取费表'!k"&amp;$G$1)+INDIRECT("'数据-取费表'!s"&amp;$G$1)))</f>
        <v>333.1</v>
      </c>
      <c r="E10" s="269">
        <f>'数据-取费表'!B28</f>
        <v>200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f ca="1">IF(G19="已包含在土地取得成本中","0",ROUND(D19*E19,0))</f>
        <v>49965</v>
      </c>
      <c r="D19" s="1036">
        <f ca="1">D9+D10</f>
        <v>333.1</v>
      </c>
      <c r="E19" s="255">
        <f>'数据-取费表'!B31</f>
        <v>150</v>
      </c>
      <c r="F19" s="275"/>
      <c r="G19" s="2549"/>
    </row>
    <row r="20" spans="1:7" s="258" customFormat="1" ht="13.5" customHeight="1">
      <c r="A20" s="299" t="s">
        <v>2427</v>
      </c>
      <c r="B20" s="254" t="s">
        <v>2428</v>
      </c>
      <c r="C20" s="276">
        <f ca="1">ROUND((C5+C19)*F20,0)</f>
        <v>2332</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0">
        <f ca="1">ROUND(SUM(C23:C25),0)</f>
        <v>11449</v>
      </c>
      <c r="D22" s="279">
        <f ca="1">C26</f>
        <v>1E-3</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6479</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4859</v>
      </c>
      <c r="D24" s="282"/>
      <c r="E24" s="282"/>
      <c r="F24" s="283"/>
      <c r="G24" s="284" t="s">
        <v>2439</v>
      </c>
    </row>
    <row r="25" spans="1:7" s="258" customFormat="1" ht="24">
      <c r="A25" s="951" t="s">
        <v>2329</v>
      </c>
      <c r="B25" s="259" t="s">
        <v>2440</v>
      </c>
      <c r="C25" s="1381">
        <f ca="1">ROUND(IF('数据-取费表'!B22&lt;=1,C20*F22*'数据-取费表'!B22/2,C20*(POWER((1+F22),'数据-取费表'!B22/2)-1)),0)</f>
        <v>111</v>
      </c>
      <c r="D25" s="282"/>
      <c r="E25" s="285"/>
      <c r="F25" s="283"/>
      <c r="G25" s="286" t="s">
        <v>2441</v>
      </c>
    </row>
    <row r="26" spans="1:7" s="258" customFormat="1">
      <c r="A26" s="95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17838</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ROUND((C5+C19+C20)*F27,0)</f>
        <v>17838</v>
      </c>
      <c r="D28" s="279"/>
      <c r="E28" s="280"/>
      <c r="F28" s="290"/>
      <c r="G28" s="291"/>
    </row>
    <row r="29" spans="1:7" s="258" customFormat="1" ht="13.5" customHeight="1">
      <c r="A29" s="951"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160620</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1268279</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1165850</v>
      </c>
      <c r="D34" s="261"/>
      <c r="E34" s="264"/>
      <c r="F34" s="301"/>
      <c r="G34" s="263"/>
    </row>
    <row r="35" spans="1:7" ht="13.5" customHeight="1">
      <c r="A35" s="951" t="s">
        <v>796</v>
      </c>
      <c r="B35" s="259" t="s">
        <v>2380</v>
      </c>
      <c r="C35" s="264">
        <f ca="1">ROUND(C34*F35,0)</f>
        <v>34976</v>
      </c>
      <c r="D35" s="264"/>
      <c r="E35" s="264"/>
      <c r="F35" s="303">
        <f>'数据-取费表'!B33</f>
        <v>0.03</v>
      </c>
      <c r="G35" s="263" t="s">
        <v>2381</v>
      </c>
    </row>
    <row r="36" spans="1:7" ht="24">
      <c r="A36" s="95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1" t="s">
        <v>798</v>
      </c>
      <c r="B37" s="259" t="s">
        <v>2384</v>
      </c>
      <c r="C37" s="293">
        <f ca="1">ROUND(E37*D37,0)</f>
        <v>49965</v>
      </c>
      <c r="D37" s="261">
        <f ca="1">D19</f>
        <v>333.1</v>
      </c>
      <c r="E37" s="293">
        <f>'数据-取费表'!B35</f>
        <v>150</v>
      </c>
      <c r="F37" s="303"/>
      <c r="G37" s="305"/>
    </row>
    <row r="38" spans="1:7" ht="13.5" customHeight="1">
      <c r="A38" s="951" t="s">
        <v>799</v>
      </c>
      <c r="B38" s="259" t="s">
        <v>2386</v>
      </c>
      <c r="C38" s="264">
        <f ca="1">ROUND(C34*F38,0)</f>
        <v>17488</v>
      </c>
      <c r="D38" s="264"/>
      <c r="E38" s="264"/>
      <c r="F38" s="303">
        <f>'数据-取费表'!B36</f>
        <v>1.4999999999999999E-2</v>
      </c>
      <c r="G38" s="263" t="s">
        <v>2381</v>
      </c>
    </row>
    <row r="39" spans="1:7" s="258" customFormat="1" ht="13.5" customHeight="1">
      <c r="A39" s="299" t="s">
        <v>2387</v>
      </c>
      <c r="B39" s="254" t="s">
        <v>2388</v>
      </c>
      <c r="C39" s="276">
        <f ca="1">ROUND(C33*F20,0)</f>
        <v>25366</v>
      </c>
      <c r="D39" s="276"/>
      <c r="E39" s="276"/>
      <c r="F39" s="277"/>
      <c r="G39" s="278" t="s">
        <v>2389</v>
      </c>
    </row>
    <row r="40" spans="1:7" s="258" customFormat="1" ht="13.5" customHeight="1">
      <c r="A40" s="299" t="s">
        <v>2390</v>
      </c>
      <c r="B40" s="254" t="s">
        <v>2391</v>
      </c>
      <c r="C40" s="1727">
        <f>F21</f>
        <v>0.02</v>
      </c>
      <c r="D40" s="280" t="s">
        <v>2392</v>
      </c>
      <c r="E40" s="276"/>
      <c r="F40" s="277"/>
      <c r="G40" s="278" t="s">
        <v>2393</v>
      </c>
    </row>
    <row r="41" spans="1:7" s="258" customFormat="1" ht="13.5" customHeight="1">
      <c r="A41" s="299" t="s">
        <v>2394</v>
      </c>
      <c r="B41" s="254" t="s">
        <v>2395</v>
      </c>
      <c r="C41" s="276">
        <f ca="1">ROUND(SUM(C42:C43),0)</f>
        <v>61448</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60243</v>
      </c>
      <c r="D42" s="282"/>
      <c r="E42" s="282"/>
      <c r="F42" s="283"/>
      <c r="G42" s="3191" t="s">
        <v>2444</v>
      </c>
    </row>
    <row r="43" spans="1:7" ht="13.5" customHeight="1">
      <c r="A43" s="951" t="s">
        <v>792</v>
      </c>
      <c r="B43" s="259" t="s">
        <v>2398</v>
      </c>
      <c r="C43" s="282">
        <f ca="1">ROUND(IF('数据-取费表'!B22&lt;=1,C39*F22*'数据-取费表'!B20/2,C39*(POWER((1+F22),'数据-取费表'!B20/2)-1)),0)</f>
        <v>1205</v>
      </c>
      <c r="D43" s="282"/>
      <c r="E43" s="282"/>
      <c r="F43" s="283"/>
      <c r="G43" s="3192"/>
    </row>
    <row r="44" spans="1:7" ht="13.5" customHeight="1">
      <c r="A44" s="951" t="s">
        <v>793</v>
      </c>
      <c r="B44" s="259" t="s">
        <v>2399</v>
      </c>
      <c r="C44" s="282">
        <f ca="1">ROUND(IF('数据-取费表'!B22&lt;=1,C40*F22*'数据-取费表'!B20/2,C40*(POWER((1+F22),'数据-取费表'!B20/2)-1)),4)</f>
        <v>1E-3</v>
      </c>
      <c r="D44" s="282"/>
      <c r="E44" s="282"/>
      <c r="F44" s="283"/>
      <c r="G44" s="3193"/>
    </row>
    <row r="45" spans="1:7" s="258" customFormat="1" ht="13.5" customHeight="1">
      <c r="A45" s="299" t="s">
        <v>2400</v>
      </c>
      <c r="B45" s="288" t="s">
        <v>2366</v>
      </c>
      <c r="C45" s="289">
        <f ca="1">C46</f>
        <v>194047</v>
      </c>
      <c r="D45" s="279">
        <f ca="1">C47</f>
        <v>3.0000000000000001E-3</v>
      </c>
      <c r="E45" s="280" t="s">
        <v>2392</v>
      </c>
      <c r="F45" s="290"/>
      <c r="G45" s="291" t="s">
        <v>2401</v>
      </c>
    </row>
    <row r="46" spans="1:7" s="258" customFormat="1" ht="13.5" customHeight="1">
      <c r="A46" s="951" t="s">
        <v>791</v>
      </c>
      <c r="B46" s="292" t="s">
        <v>2402</v>
      </c>
      <c r="C46" s="293">
        <f ca="1">ROUND((C33+C39)*F27,0)</f>
        <v>194047</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1678921</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1376715</v>
      </c>
      <c r="D51" s="276"/>
      <c r="E51" s="276"/>
      <c r="F51" s="308"/>
      <c r="G51" s="278" t="s">
        <v>2413</v>
      </c>
    </row>
    <row r="52" spans="1:7" s="252" customFormat="1" ht="16.5" thickBot="1">
      <c r="A52" s="309" t="s">
        <v>2414</v>
      </c>
      <c r="B52" s="310"/>
      <c r="C52" s="311">
        <f ca="1">C31+C51</f>
        <v>1537335</v>
      </c>
      <c r="D52" s="310"/>
      <c r="E52" s="310"/>
      <c r="F52" s="310"/>
      <c r="G52" s="312"/>
    </row>
    <row r="55" spans="1:7" ht="15">
      <c r="B55" s="314" t="s">
        <v>2415</v>
      </c>
      <c r="C55" s="315"/>
    </row>
    <row r="56" spans="1:7">
      <c r="B56" s="317" t="s">
        <v>1506</v>
      </c>
      <c r="C56" s="319">
        <f ca="1">1-C57</f>
        <v>0.10399999999999998</v>
      </c>
    </row>
    <row r="57" spans="1:7">
      <c r="B57" s="317" t="s">
        <v>1507</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6" customFormat="1" ht="16.5" customHeight="1">
      <c r="A4" s="953" t="s">
        <v>2450</v>
      </c>
      <c r="B4" s="954"/>
      <c r="C4" s="996">
        <f>SUM(C8:K8)</f>
        <v>0</v>
      </c>
      <c r="D4" s="954"/>
      <c r="E4" s="954"/>
      <c r="F4" s="954"/>
      <c r="G4" s="954"/>
      <c r="H4" s="954"/>
      <c r="I4" s="954"/>
      <c r="J4" s="954"/>
      <c r="K4" s="955"/>
    </row>
    <row r="5" spans="1:33" s="960" customFormat="1" ht="24.75">
      <c r="A5" s="957" t="s">
        <v>2451</v>
      </c>
      <c r="B5" s="958" t="s">
        <v>2452</v>
      </c>
      <c r="C5" s="2553" t="s">
        <v>2453</v>
      </c>
      <c r="D5" s="2553" t="s">
        <v>2454</v>
      </c>
      <c r="E5" s="2553" t="s">
        <v>2455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2459</v>
      </c>
      <c r="B8" s="177" t="s">
        <v>2460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1329</v>
      </c>
      <c r="B11" s="972" t="s">
        <v>2468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2469</v>
      </c>
      <c r="C12" s="24">
        <f ca="1">ROUND(C11*F12,0)</f>
        <v>0</v>
      </c>
      <c r="D12" s="973"/>
      <c r="E12" s="375"/>
      <c r="F12" s="976">
        <f>'数据-取费表'!B33</f>
        <v>0.03</v>
      </c>
      <c r="G12" s="8" t="s">
        <v>2470</v>
      </c>
      <c r="H12" s="968"/>
      <c r="I12" s="968"/>
      <c r="J12" s="968"/>
      <c r="K12" s="969"/>
    </row>
    <row r="13" spans="1:33" s="975" customFormat="1" ht="13.5" customHeight="1">
      <c r="A13" s="971" t="s">
        <v>1331</v>
      </c>
      <c r="B13" s="972" t="s">
        <v>2471</v>
      </c>
      <c r="C13" s="24">
        <f ca="1">ROUND(IF(C1="",SUMIF('数据-取费表'!C:C,"住宅",'数据-取费表'!P:P)*F13,IF(INDIRECT("'数据-取费表'!c"&amp;$K$1)="住宅",INDIRECT("'数据-取费表'!P"&amp;$K$1)*F13,0)),0)</f>
        <v>0</v>
      </c>
      <c r="D13" s="1033"/>
      <c r="E13" s="375"/>
      <c r="F13" s="976">
        <f>'数据-取费表'!B34</f>
        <v>0</v>
      </c>
      <c r="G13" s="8" t="s">
        <v>2472</v>
      </c>
      <c r="H13" s="968"/>
      <c r="I13" s="968"/>
      <c r="J13" s="968"/>
      <c r="K13" s="969"/>
    </row>
    <row r="14" spans="1:33" s="977" customFormat="1" ht="13.5" customHeight="1">
      <c r="A14" s="971" t="s">
        <v>1332</v>
      </c>
      <c r="B14" s="972" t="s">
        <v>2473</v>
      </c>
      <c r="C14" s="24">
        <f ca="1">ROUND(D14*E14*F11/10000,0)</f>
        <v>0</v>
      </c>
      <c r="D14" s="1033">
        <f ca="1">IF(C1="",'数据-汇总表'!E3,INDIRECT("'数据-取费表'!K"&amp;$K$1)+INDIRECT("'数据-取费表'!S"&amp;$K$1))</f>
        <v>333.1</v>
      </c>
      <c r="E14" s="24">
        <f>'数据-取费表'!B35</f>
        <v>150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2475</v>
      </c>
      <c r="C15" s="983">
        <f ca="1">ROUND(C11*F15,0)</f>
        <v>0</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333.1</v>
      </c>
      <c r="E17" s="24">
        <f>'数据-取费表'!B32</f>
        <v>0</v>
      </c>
      <c r="F17" s="978"/>
      <c r="G17" s="140" t="s">
        <v>2479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2480</v>
      </c>
      <c r="C18" s="24">
        <f ca="1">C19+C20-IF(C1="",'数据-取费表'!B29,IF(G18="已全部缴纳",C19+C20,H18))</f>
        <v>0</v>
      </c>
      <c r="D18" s="1033"/>
      <c r="E18" s="24"/>
      <c r="F18" s="976"/>
      <c r="G18" s="2555"/>
      <c r="H18" s="1577"/>
      <c r="I18" s="2556" t="s">
        <v>2481</v>
      </c>
      <c r="J18" s="979"/>
      <c r="K18" s="980"/>
    </row>
    <row r="19" spans="1:33" s="975" customFormat="1" ht="13.5" customHeight="1">
      <c r="A19" s="971" t="s">
        <v>805</v>
      </c>
      <c r="B19" s="972" t="s">
        <v>2482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2483</v>
      </c>
      <c r="C20" s="24">
        <f ca="1">ROUND(D20*E20/10000,0)</f>
        <v>7</v>
      </c>
      <c r="D20" s="1033">
        <f ca="1">IF(C1="",'数据-汇总表'!E6,IF(INDIRECT("'数据-取费表'!c"&amp;$K$1)="住宅",INDIRECT("'数据-取费表'!s"&amp;$K$1),INDIRECT("'数据-取费表'!k"&amp;$K$1)+INDIRECT("'数据-取费表'!s"&amp;$K$1)))</f>
        <v>333.1</v>
      </c>
      <c r="E20" s="24">
        <f>'数据-取费表'!B28</f>
        <v>200</v>
      </c>
      <c r="F20" s="976"/>
      <c r="G20" s="15"/>
      <c r="H20" s="981"/>
      <c r="I20" s="981"/>
      <c r="J20" s="981"/>
      <c r="K20" s="982"/>
    </row>
    <row r="21" spans="1:33" s="975" customFormat="1" ht="13.5" customHeight="1">
      <c r="A21" s="961" t="s">
        <v>802</v>
      </c>
      <c r="B21" s="985" t="s">
        <v>2484</v>
      </c>
      <c r="C21" s="986">
        <f ca="1">C16+C17+C18</f>
        <v>0</v>
      </c>
      <c r="D21" s="987"/>
      <c r="E21" s="325"/>
      <c r="F21" s="325"/>
      <c r="G21" s="140" t="s">
        <v>2485</v>
      </c>
      <c r="H21" s="979"/>
      <c r="I21" s="979"/>
      <c r="J21" s="979"/>
      <c r="K21" s="980"/>
    </row>
    <row r="22" spans="1:33" s="975" customFormat="1" ht="13.5" customHeight="1">
      <c r="A22" s="961" t="s">
        <v>2457</v>
      </c>
      <c r="B22" s="985" t="s">
        <v>2486</v>
      </c>
      <c r="C22" s="986">
        <f ca="1">ROUND(C21*F22,0)</f>
        <v>0</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0</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IF(项目基本情况!B8="出让",0,'数据-取费表'!B48+'数据-取费表'!B49)</f>
        <v>3.0499999999999999E-2</v>
      </c>
      <c r="G24" s="8" t="s">
        <v>2492</v>
      </c>
      <c r="H24" s="990"/>
      <c r="I24" s="990"/>
      <c r="J24" s="990"/>
      <c r="K24" s="991"/>
    </row>
    <row r="25" spans="1:33" s="975" customFormat="1" ht="13.5" customHeight="1">
      <c r="A25" s="961" t="s">
        <v>2493</v>
      </c>
      <c r="B25" s="987" t="s">
        <v>2494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2497</v>
      </c>
      <c r="B28" s="2558" t="s">
        <v>2498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2499</v>
      </c>
      <c r="C29" s="328">
        <f ca="1">ROUND((1+C24)*F28*'数据-取费表'!B24/'数据-取费表'!B20,4)</f>
        <v>0</v>
      </c>
      <c r="D29" s="328"/>
      <c r="E29" s="329"/>
      <c r="F29" s="334"/>
      <c r="G29" s="140" t="s">
        <v>2500</v>
      </c>
      <c r="H29" s="979"/>
      <c r="I29" s="979"/>
      <c r="J29" s="979"/>
      <c r="K29" s="980"/>
    </row>
    <row r="30" spans="1:33" s="335" customFormat="1" ht="13.5" customHeight="1">
      <c r="A30" s="971" t="s">
        <v>804</v>
      </c>
      <c r="B30" s="994" t="s">
        <v>2501</v>
      </c>
      <c r="C30" s="336">
        <f ca="1">ROUND((C21+C22+C23)*F28,0)</f>
        <v>0</v>
      </c>
      <c r="D30" s="328"/>
      <c r="E30" s="329"/>
      <c r="F30" s="334"/>
      <c r="G30" s="140"/>
      <c r="H30" s="979"/>
      <c r="I30" s="979"/>
      <c r="J30" s="979"/>
      <c r="K30" s="980"/>
    </row>
    <row r="31" spans="1:33" s="975" customFormat="1" ht="13.5" customHeight="1" thickBot="1">
      <c r="A31" s="2559" t="s">
        <v>2502</v>
      </c>
      <c r="B31" s="1005" t="s">
        <v>2503</v>
      </c>
      <c r="C31" s="1006">
        <f>ROUND(C4*F31/(1+'数据-取费表'!C42),0)</f>
        <v>0</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0</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1" zoomScale="80" zoomScaleNormal="80" workbookViewId="0">
      <selection activeCell="D1" sqref="D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8" t="s">
        <v>2674</v>
      </c>
      <c r="C1" s="1620" t="s">
        <v>2518</v>
      </c>
      <c r="D1" s="1621" t="s">
        <v>3170</v>
      </c>
      <c r="E1" s="1630"/>
      <c r="F1" s="2583" t="s">
        <v>3140</v>
      </c>
      <c r="G1" s="1631" t="s">
        <v>2520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IF(C2="——",ROUND(C50*D3/10000,0),ROUND(C50*D3/10000,0)-D2)</f>
        <v>1240</v>
      </c>
      <c r="C2" s="2585" t="s">
        <v>70</v>
      </c>
      <c r="D2" s="1365" t="e">
        <f ca="1">SUMIF(INDIRECT("'"&amp;F2&amp;"'"&amp;"!A:A"),"承租人权益价值",INDIRECT("'"&amp;F2&amp;"'"&amp;"!c:c"))</f>
        <v>#REF!</v>
      </c>
      <c r="E2" s="2586" t="s">
        <v>2316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37230</v>
      </c>
      <c r="C3" s="400" t="s">
        <v>2522</v>
      </c>
      <c r="D3" s="399">
        <f>IF(D1="",'数据-汇总表'!E3,SUMIF('数据-汇总表'!$C19:$C33,D1,'数据-汇总表'!$E19:$E33))</f>
        <v>333.1</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2523</v>
      </c>
      <c r="B4" s="402"/>
      <c r="C4" s="3227" t="s">
        <v>2524</v>
      </c>
      <c r="D4" s="3228"/>
      <c r="E4" s="3229" t="s">
        <v>2525</v>
      </c>
      <c r="F4" s="3230"/>
      <c r="G4" s="3227" t="s">
        <v>2526</v>
      </c>
      <c r="H4" s="3228"/>
      <c r="I4" s="3227" t="s">
        <v>2527</v>
      </c>
      <c r="J4" s="3228"/>
      <c r="K4" s="610" t="s">
        <v>2528</v>
      </c>
      <c r="L4" s="1130"/>
      <c r="M4" s="1131"/>
      <c r="N4" s="1131"/>
      <c r="O4" s="1131"/>
      <c r="P4" s="3231" t="s">
        <v>2529</v>
      </c>
      <c r="Q4" s="3232"/>
      <c r="R4" s="3214" t="s">
        <v>2525</v>
      </c>
      <c r="S4" s="3215"/>
      <c r="T4" s="3214" t="s">
        <v>2526</v>
      </c>
      <c r="U4" s="3215"/>
      <c r="V4" s="3212" t="s">
        <v>2527</v>
      </c>
      <c r="W4" s="3212"/>
      <c r="X4" s="2960"/>
      <c r="Y4" s="3214" t="s">
        <v>2529</v>
      </c>
      <c r="Z4" s="3215"/>
      <c r="AA4" s="3220" t="s">
        <v>2525</v>
      </c>
      <c r="AB4" s="3220" t="s">
        <v>2526</v>
      </c>
      <c r="AC4" s="3224" t="s">
        <v>2527</v>
      </c>
    </row>
    <row r="5" spans="1:29" ht="15">
      <c r="A5" s="404"/>
      <c r="B5" s="405"/>
      <c r="C5" s="3237" t="s">
        <v>3144</v>
      </c>
      <c r="D5" s="3238"/>
      <c r="E5" s="3239" t="s">
        <v>3145</v>
      </c>
      <c r="F5" s="3240"/>
      <c r="G5" s="3241" t="s">
        <v>3153</v>
      </c>
      <c r="H5" s="3242"/>
      <c r="I5" s="3237" t="str">
        <f>E5</f>
        <v>北辰首作</v>
      </c>
      <c r="J5" s="3238"/>
      <c r="K5" s="610"/>
      <c r="L5" s="1130"/>
      <c r="M5" s="1131"/>
      <c r="N5" s="1131"/>
      <c r="O5" s="1131"/>
      <c r="P5" s="3233"/>
      <c r="Q5" s="3234"/>
      <c r="R5" s="3216"/>
      <c r="S5" s="3217"/>
      <c r="T5" s="3216"/>
      <c r="U5" s="3217"/>
      <c r="V5" s="3213"/>
      <c r="W5" s="3213"/>
      <c r="X5" s="2958"/>
      <c r="Y5" s="3216"/>
      <c r="Z5" s="3217"/>
      <c r="AA5" s="3221"/>
      <c r="AB5" s="3221"/>
      <c r="AC5" s="3225"/>
    </row>
    <row r="6" spans="1:29" ht="15.75" customHeight="1" thickBot="1">
      <c r="A6" s="406"/>
      <c r="B6" s="407"/>
      <c r="C6" s="3245" t="s">
        <v>3090</v>
      </c>
      <c r="D6" s="3246"/>
      <c r="E6" s="3245" t="s">
        <v>3090</v>
      </c>
      <c r="F6" s="3246"/>
      <c r="G6" s="3243" t="s">
        <v>3154</v>
      </c>
      <c r="H6" s="3244"/>
      <c r="I6" s="3245" t="str">
        <f>E6</f>
        <v>朝阳区北苑路甲13号</v>
      </c>
      <c r="J6" s="3246"/>
      <c r="K6" s="610" t="s">
        <v>2535</v>
      </c>
      <c r="L6" s="1130"/>
      <c r="M6" s="1131"/>
      <c r="N6" s="1131"/>
      <c r="O6" s="1131"/>
      <c r="P6" s="3235"/>
      <c r="Q6" s="3236"/>
      <c r="R6" s="3216"/>
      <c r="S6" s="3217"/>
      <c r="T6" s="3218"/>
      <c r="U6" s="3219"/>
      <c r="V6" s="3213"/>
      <c r="W6" s="3213"/>
      <c r="X6" s="2958"/>
      <c r="Y6" s="3218"/>
      <c r="Z6" s="3219"/>
      <c r="AA6" s="3222"/>
      <c r="AB6" s="3222"/>
      <c r="AC6" s="3226"/>
    </row>
    <row r="7" spans="1:29" s="117" customFormat="1" ht="15.75" thickBot="1">
      <c r="A7" s="408" t="s">
        <v>2536</v>
      </c>
      <c r="B7" s="409"/>
      <c r="C7" s="410">
        <f>'数据-取费表'!B2</f>
        <v>44552</v>
      </c>
      <c r="D7" s="411">
        <v>100</v>
      </c>
      <c r="E7" s="412">
        <v>44531</v>
      </c>
      <c r="F7" s="413">
        <f>SUMIF(59:59,YEAR(E7)&amp;"-"&amp;MONTH(E7),60:60)</f>
        <v>100</v>
      </c>
      <c r="G7" s="2983">
        <v>44531</v>
      </c>
      <c r="H7" s="411">
        <f>SUMIF(59:59,YEAR(G7)&amp;"-"&amp;MONTH(G7),60:60)</f>
        <v>100</v>
      </c>
      <c r="I7" s="412">
        <v>44531</v>
      </c>
      <c r="J7" s="411">
        <f>SUMIF(59:59,YEAR(I7)&amp;"-"&amp;MONTH(I7),60:60)</f>
        <v>100</v>
      </c>
      <c r="K7" s="611"/>
      <c r="L7" s="1132"/>
      <c r="M7" s="1133"/>
      <c r="N7" s="1133"/>
      <c r="O7" s="1133"/>
      <c r="P7" s="3209" t="s">
        <v>2537</v>
      </c>
      <c r="Q7" s="3223"/>
      <c r="R7" s="770" t="s">
        <v>17</v>
      </c>
      <c r="S7" s="771">
        <f t="shared" ref="S7:S15" si="0">F7</f>
        <v>100</v>
      </c>
      <c r="T7" s="770" t="s">
        <v>17</v>
      </c>
      <c r="U7" s="771">
        <f t="shared" ref="U7:U15" si="1">H7</f>
        <v>100</v>
      </c>
      <c r="V7" s="770" t="s">
        <v>17</v>
      </c>
      <c r="W7" s="771">
        <f t="shared" ref="W7:W15" si="2">J7</f>
        <v>100</v>
      </c>
      <c r="X7" s="772"/>
      <c r="Y7" s="3211" t="s">
        <v>2537</v>
      </c>
      <c r="Z7" s="3210"/>
      <c r="AA7" s="773">
        <f>D7/F7</f>
        <v>1</v>
      </c>
      <c r="AB7" s="773">
        <f>D7/H7</f>
        <v>1</v>
      </c>
      <c r="AC7" s="2670">
        <f>D7/J7</f>
        <v>1</v>
      </c>
    </row>
    <row r="8" spans="1:29" s="117" customFormat="1" ht="15.75" thickBot="1">
      <c r="A8" s="408" t="s">
        <v>2538</v>
      </c>
      <c r="B8" s="409"/>
      <c r="C8" s="414" t="s">
        <v>2575</v>
      </c>
      <c r="D8" s="411">
        <v>100</v>
      </c>
      <c r="E8" s="414" t="s">
        <v>2575</v>
      </c>
      <c r="F8" s="413">
        <f>SUMIF(62:62,E8,63:63)-SUMIF(62:62,C8,63:63)+100</f>
        <v>100</v>
      </c>
      <c r="G8" s="2984" t="s">
        <v>2539</v>
      </c>
      <c r="H8" s="411">
        <f>SUMIF(62:62,G8,63:63)-SUMIF(62:62,C8,63:63)+100</f>
        <v>100</v>
      </c>
      <c r="I8" s="414" t="s">
        <v>2575</v>
      </c>
      <c r="J8" s="411">
        <f>SUMIF(62:62,I8,63:63)-SUMIF(62:62,C8,63:63)+100</f>
        <v>100</v>
      </c>
      <c r="K8" s="611"/>
      <c r="L8" s="1132"/>
      <c r="M8" s="1133"/>
      <c r="N8" s="1133"/>
      <c r="O8" s="1133"/>
      <c r="P8" s="3209" t="s">
        <v>2540</v>
      </c>
      <c r="Q8" s="3210"/>
      <c r="R8" s="770" t="s">
        <v>17</v>
      </c>
      <c r="S8" s="771">
        <f t="shared" si="0"/>
        <v>100</v>
      </c>
      <c r="T8" s="770" t="s">
        <v>17</v>
      </c>
      <c r="U8" s="771">
        <f t="shared" si="1"/>
        <v>100</v>
      </c>
      <c r="V8" s="770" t="s">
        <v>17</v>
      </c>
      <c r="W8" s="771">
        <f t="shared" si="2"/>
        <v>100</v>
      </c>
      <c r="X8" s="772"/>
      <c r="Y8" s="3211" t="s">
        <v>2540</v>
      </c>
      <c r="Z8" s="3210"/>
      <c r="AA8" s="773">
        <f t="shared" ref="AA8:AA47" si="3">D8/F8</f>
        <v>1</v>
      </c>
      <c r="AB8" s="773">
        <f t="shared" ref="AB8:AB47" si="4">D8/H8</f>
        <v>1</v>
      </c>
      <c r="AC8" s="2670">
        <f t="shared" ref="AC8:AC47" si="5">D8/J8</f>
        <v>1</v>
      </c>
    </row>
    <row r="9" spans="1:29" s="117" customFormat="1">
      <c r="A9" s="415" t="s">
        <v>2541</v>
      </c>
      <c r="B9" s="71" t="s">
        <v>2542</v>
      </c>
      <c r="C9" s="2968" t="s">
        <v>3091</v>
      </c>
      <c r="D9" s="135">
        <v>100</v>
      </c>
      <c r="E9" s="419" t="s">
        <v>27</v>
      </c>
      <c r="F9" s="135">
        <f>SUMIF(64:64,E9,65:65)-SUMIF(64:64,C9,65:65)+100</f>
        <v>100</v>
      </c>
      <c r="G9" s="2985" t="s">
        <v>27</v>
      </c>
      <c r="H9" s="135">
        <f>SUMIF(64:64,G9,65:65)-SUMIF(64:64,C9,65:65)+100</f>
        <v>100</v>
      </c>
      <c r="I9" s="419" t="s">
        <v>27</v>
      </c>
      <c r="J9" s="135">
        <f>SUMIF(64:64,I9,65:65)-SUMIF(64:64,C9,65:65)+100</f>
        <v>100</v>
      </c>
      <c r="K9" s="611"/>
      <c r="L9" s="1132"/>
      <c r="M9" s="1133"/>
      <c r="N9" s="1133"/>
      <c r="O9" s="1133"/>
      <c r="P9" s="3194" t="s">
        <v>2543</v>
      </c>
      <c r="Q9" s="2952" t="str">
        <f t="shared" ref="Q9:Q15" si="6">B9</f>
        <v>用途</v>
      </c>
      <c r="R9" s="770" t="s">
        <v>17</v>
      </c>
      <c r="S9" s="771">
        <f t="shared" si="0"/>
        <v>100</v>
      </c>
      <c r="T9" s="770" t="s">
        <v>17</v>
      </c>
      <c r="U9" s="771">
        <f t="shared" si="1"/>
        <v>100</v>
      </c>
      <c r="V9" s="770" t="s">
        <v>17</v>
      </c>
      <c r="W9" s="771">
        <f t="shared" si="2"/>
        <v>100</v>
      </c>
      <c r="X9" s="772"/>
      <c r="Y9" s="3049" t="s">
        <v>2544</v>
      </c>
      <c r="Z9" s="2953" t="str">
        <f t="shared" ref="Z9:Z15" si="7">Q9</f>
        <v>用途</v>
      </c>
      <c r="AA9" s="773">
        <f t="shared" si="3"/>
        <v>1</v>
      </c>
      <c r="AB9" s="773">
        <f t="shared" si="4"/>
        <v>1</v>
      </c>
      <c r="AC9" s="2670">
        <f t="shared" si="5"/>
        <v>1</v>
      </c>
    </row>
    <row r="10" spans="1:29" s="427" customFormat="1" ht="27.75" thickBot="1">
      <c r="A10" s="421"/>
      <c r="B10" s="2954" t="s">
        <v>2545</v>
      </c>
      <c r="C10" s="423" t="s">
        <v>3133</v>
      </c>
      <c r="D10" s="136">
        <v>100</v>
      </c>
      <c r="E10" s="423" t="s">
        <v>3133</v>
      </c>
      <c r="F10" s="136">
        <f>SUMIF(66:66,E10,67:67)-SUMIF(66:66,C10,67:67)+100</f>
        <v>100</v>
      </c>
      <c r="G10" s="2986" t="s">
        <v>3133</v>
      </c>
      <c r="H10" s="136">
        <f>SUMIF(66:66,G10,67:67)-SUMIF(66:66,C10,67:67)+100</f>
        <v>100</v>
      </c>
      <c r="I10" s="423" t="s">
        <v>3133</v>
      </c>
      <c r="J10" s="136">
        <f>SUMIF(66:66,I10,67:67)-SUMIF(66:66,C10,67:67)+100</f>
        <v>100</v>
      </c>
      <c r="K10" s="612">
        <v>1</v>
      </c>
      <c r="L10" s="1135"/>
      <c r="M10" s="1136"/>
      <c r="N10" s="1136"/>
      <c r="O10" s="1136"/>
      <c r="P10" s="3194"/>
      <c r="Q10" s="2952" t="str">
        <f t="shared" si="6"/>
        <v>土地使用年限（年）</v>
      </c>
      <c r="R10" s="770" t="s">
        <v>17</v>
      </c>
      <c r="S10" s="771">
        <f t="shared" si="0"/>
        <v>100</v>
      </c>
      <c r="T10" s="770" t="s">
        <v>17</v>
      </c>
      <c r="U10" s="771">
        <f t="shared" si="1"/>
        <v>100</v>
      </c>
      <c r="V10" s="770" t="s">
        <v>17</v>
      </c>
      <c r="W10" s="771">
        <f t="shared" si="2"/>
        <v>100</v>
      </c>
      <c r="X10" s="772"/>
      <c r="Y10" s="3049"/>
      <c r="Z10" s="2953" t="str">
        <f t="shared" si="7"/>
        <v>土地使用年限（年）</v>
      </c>
      <c r="AA10" s="773">
        <f t="shared" si="3"/>
        <v>1</v>
      </c>
      <c r="AB10" s="773">
        <f t="shared" si="4"/>
        <v>1</v>
      </c>
      <c r="AC10" s="2670">
        <f t="shared" si="5"/>
        <v>1</v>
      </c>
    </row>
    <row r="11" spans="1:29" ht="15.75" hidden="1" customHeight="1" thickBot="1">
      <c r="A11" s="428"/>
      <c r="B11" s="2954" t="s">
        <v>2546</v>
      </c>
      <c r="C11" s="429">
        <v>0</v>
      </c>
      <c r="D11" s="136">
        <v>100</v>
      </c>
      <c r="E11" s="429">
        <v>0</v>
      </c>
      <c r="F11" s="136">
        <f>LOOKUP(E11,69:69,70:70)-LOOKUP(C11,69:69,70:70)+100</f>
        <v>100</v>
      </c>
      <c r="G11" s="2987">
        <v>0</v>
      </c>
      <c r="H11" s="136">
        <f>LOOKUP(G11,69:69,70:70)-LOOKUP(C11,69:69,70:70)+100</f>
        <v>100</v>
      </c>
      <c r="I11" s="430">
        <v>0</v>
      </c>
      <c r="J11" s="136">
        <f>LOOKUP(I11,69:69,70:70)-LOOKUP(C11,69:69,70:70)+100</f>
        <v>100</v>
      </c>
      <c r="K11" s="612">
        <v>0</v>
      </c>
      <c r="L11" s="1138"/>
      <c r="M11" s="1131"/>
      <c r="N11" s="1131"/>
      <c r="O11" s="1131"/>
      <c r="P11" s="3194"/>
      <c r="Q11" s="2952" t="str">
        <f t="shared" si="6"/>
        <v>容积率</v>
      </c>
      <c r="R11" s="770" t="s">
        <v>17</v>
      </c>
      <c r="S11" s="771">
        <f t="shared" si="0"/>
        <v>100</v>
      </c>
      <c r="T11" s="770" t="s">
        <v>17</v>
      </c>
      <c r="U11" s="771">
        <f t="shared" si="1"/>
        <v>100</v>
      </c>
      <c r="V11" s="770" t="s">
        <v>17</v>
      </c>
      <c r="W11" s="771">
        <f t="shared" si="2"/>
        <v>100</v>
      </c>
      <c r="X11" s="772"/>
      <c r="Y11" s="3049"/>
      <c r="Z11" s="2953" t="str">
        <f t="shared" si="7"/>
        <v>容积率</v>
      </c>
      <c r="AA11" s="773">
        <f t="shared" si="3"/>
        <v>1</v>
      </c>
      <c r="AB11" s="773">
        <f t="shared" si="4"/>
        <v>1</v>
      </c>
      <c r="AC11" s="2670">
        <f t="shared" si="5"/>
        <v>1</v>
      </c>
    </row>
    <row r="12" spans="1:29" s="117" customFormat="1" ht="15.75" hidden="1" customHeight="1" thickBot="1">
      <c r="A12" s="431"/>
      <c r="B12" s="2599">
        <v>111</v>
      </c>
      <c r="C12" s="432"/>
      <c r="D12" s="433">
        <v>100</v>
      </c>
      <c r="E12" s="432"/>
      <c r="F12" s="136">
        <f>SUMIF(71:71,E12,72:72)-SUMIF(71:71,C12,72:72)+100</f>
        <v>100</v>
      </c>
      <c r="G12" s="3000"/>
      <c r="H12" s="136">
        <f>SUMIF(71:71,G12,72:72)-SUMIF(71:71,C12,72:72)+100</f>
        <v>100</v>
      </c>
      <c r="I12" s="2671"/>
      <c r="J12" s="136">
        <f>SUMIF(71:71,I12,72:72)-SUMIF(71:71,C12,72:72)+100</f>
        <v>100</v>
      </c>
      <c r="K12" s="613"/>
      <c r="L12" s="1132"/>
      <c r="M12" s="1133"/>
      <c r="N12" s="1133"/>
      <c r="O12" s="1133"/>
      <c r="P12" s="3194"/>
      <c r="Q12" s="2952">
        <f t="shared" si="6"/>
        <v>111</v>
      </c>
      <c r="R12" s="770" t="s">
        <v>17</v>
      </c>
      <c r="S12" s="771">
        <f t="shared" si="0"/>
        <v>100</v>
      </c>
      <c r="T12" s="770" t="s">
        <v>17</v>
      </c>
      <c r="U12" s="771">
        <f t="shared" si="1"/>
        <v>100</v>
      </c>
      <c r="V12" s="770" t="s">
        <v>17</v>
      </c>
      <c r="W12" s="771">
        <f t="shared" si="2"/>
        <v>100</v>
      </c>
      <c r="X12" s="772"/>
      <c r="Y12" s="3049"/>
      <c r="Z12" s="2953">
        <f t="shared" si="7"/>
        <v>111</v>
      </c>
      <c r="AA12" s="773">
        <f>D12/F12</f>
        <v>1</v>
      </c>
      <c r="AB12" s="773">
        <f>D12/H12</f>
        <v>1</v>
      </c>
      <c r="AC12" s="2670">
        <f>D12/J12</f>
        <v>1</v>
      </c>
    </row>
    <row r="13" spans="1:29" ht="15.75" hidden="1" customHeight="1" thickBot="1">
      <c r="A13" s="428"/>
      <c r="B13" s="2599">
        <v>111</v>
      </c>
      <c r="C13" s="434"/>
      <c r="D13" s="435">
        <v>100</v>
      </c>
      <c r="E13" s="432"/>
      <c r="F13" s="136">
        <f>SUMIF(73:73,E13,74:74)-SUMIF(73:73,C13,74:74)+100</f>
        <v>100</v>
      </c>
      <c r="G13" s="3000"/>
      <c r="H13" s="435">
        <f>SUMIF(73:73,G13,74:74)-SUMIF(73:73,C13,74:74)+100</f>
        <v>100</v>
      </c>
      <c r="I13" s="2671"/>
      <c r="J13" s="435">
        <f>SUMIF(73:73,I13,74:74)-SUMIF(73:73,C13,74:74)+100</f>
        <v>100</v>
      </c>
      <c r="K13" s="613"/>
      <c r="L13" s="1140"/>
      <c r="M13" s="1131"/>
      <c r="N13" s="1131"/>
      <c r="O13" s="1131"/>
      <c r="P13" s="3194"/>
      <c r="Q13" s="2952">
        <f t="shared" si="6"/>
        <v>111</v>
      </c>
      <c r="R13" s="770" t="s">
        <v>17</v>
      </c>
      <c r="S13" s="771">
        <f t="shared" si="0"/>
        <v>100</v>
      </c>
      <c r="T13" s="770" t="s">
        <v>17</v>
      </c>
      <c r="U13" s="771">
        <f t="shared" si="1"/>
        <v>100</v>
      </c>
      <c r="V13" s="770" t="s">
        <v>17</v>
      </c>
      <c r="W13" s="771">
        <f t="shared" si="2"/>
        <v>100</v>
      </c>
      <c r="X13" s="772"/>
      <c r="Y13" s="3049"/>
      <c r="Z13" s="2953">
        <f t="shared" si="7"/>
        <v>111</v>
      </c>
      <c r="AA13" s="773">
        <f t="shared" si="3"/>
        <v>1</v>
      </c>
      <c r="AB13" s="773">
        <f t="shared" si="4"/>
        <v>1</v>
      </c>
      <c r="AC13" s="2670">
        <f t="shared" si="5"/>
        <v>1</v>
      </c>
    </row>
    <row r="14" spans="1:29" ht="15.75" hidden="1" customHeight="1" thickBot="1">
      <c r="A14" s="436"/>
      <c r="B14" s="2601">
        <v>111</v>
      </c>
      <c r="C14" s="437"/>
      <c r="D14" s="438">
        <v>100</v>
      </c>
      <c r="E14" s="628"/>
      <c r="F14" s="438">
        <f>SUMIF(75:75,E14,76:76)-SUMIF(75:75,C14,76:76)+100</f>
        <v>100</v>
      </c>
      <c r="G14" s="3000"/>
      <c r="H14" s="438">
        <f>SUMIF(75:75,G14,76:76)-SUMIF(75:75,C14,76:76)+100</f>
        <v>100</v>
      </c>
      <c r="I14" s="2671"/>
      <c r="J14" s="438">
        <f>SUMIF(75:75,I14,76:76)-SUMIF(75:75,C14,76:76)+100</f>
        <v>100</v>
      </c>
      <c r="K14" s="613"/>
      <c r="L14" s="1140"/>
      <c r="M14" s="1131"/>
      <c r="N14" s="1131"/>
      <c r="O14" s="1131"/>
      <c r="P14" s="3194"/>
      <c r="Q14" s="2952">
        <f t="shared" si="6"/>
        <v>111</v>
      </c>
      <c r="R14" s="770" t="s">
        <v>17</v>
      </c>
      <c r="S14" s="771">
        <f t="shared" si="0"/>
        <v>100</v>
      </c>
      <c r="T14" s="770" t="s">
        <v>17</v>
      </c>
      <c r="U14" s="771">
        <f t="shared" si="1"/>
        <v>100</v>
      </c>
      <c r="V14" s="770" t="s">
        <v>17</v>
      </c>
      <c r="W14" s="771">
        <f t="shared" si="2"/>
        <v>100</v>
      </c>
      <c r="X14" s="772"/>
      <c r="Y14" s="3049"/>
      <c r="Z14" s="2953">
        <f t="shared" si="7"/>
        <v>111</v>
      </c>
      <c r="AA14" s="773">
        <f t="shared" si="3"/>
        <v>1</v>
      </c>
      <c r="AB14" s="773">
        <f t="shared" si="4"/>
        <v>1</v>
      </c>
      <c r="AC14" s="2670">
        <f t="shared" si="5"/>
        <v>1</v>
      </c>
    </row>
    <row r="15" spans="1:29" ht="15">
      <c r="A15" s="440" t="s">
        <v>2547</v>
      </c>
      <c r="B15" s="629" t="s">
        <v>2675</v>
      </c>
      <c r="C15" s="2672" t="str">
        <f>估价对象房地状况!C5</f>
        <v>一般</v>
      </c>
      <c r="D15" s="441">
        <v>100</v>
      </c>
      <c r="E15" s="444"/>
      <c r="F15" s="441">
        <f>SUMIF(77:77,E16,78:78)-SUMIF(77:77,C16,78:78)+100</f>
        <v>100</v>
      </c>
      <c r="G15" s="2990"/>
      <c r="H15" s="441">
        <f>SUMIF(77:77,G16,78:78)-SUMIF(77:77,C16,78:78)+100</f>
        <v>101</v>
      </c>
      <c r="I15" s="444"/>
      <c r="J15" s="441">
        <f>SUMIF(77:77,I16,78:78)-SUMIF(77:77,C16,78:78)+100</f>
        <v>100</v>
      </c>
      <c r="K15" s="614">
        <v>1</v>
      </c>
      <c r="L15" s="1140"/>
      <c r="M15" s="1131"/>
      <c r="N15" s="1131"/>
      <c r="O15" s="1131"/>
      <c r="P15" s="3200" t="s">
        <v>2548</v>
      </c>
      <c r="Q15" s="2956" t="str">
        <f t="shared" si="6"/>
        <v>办公集聚程度</v>
      </c>
      <c r="R15" s="774" t="s">
        <v>17</v>
      </c>
      <c r="S15" s="775">
        <f t="shared" si="0"/>
        <v>100</v>
      </c>
      <c r="T15" s="774" t="s">
        <v>17</v>
      </c>
      <c r="U15" s="775">
        <f t="shared" si="1"/>
        <v>101</v>
      </c>
      <c r="V15" s="774" t="s">
        <v>17</v>
      </c>
      <c r="W15" s="775">
        <f t="shared" si="2"/>
        <v>100</v>
      </c>
      <c r="X15" s="2958"/>
      <c r="Y15" s="3202" t="s">
        <v>2548</v>
      </c>
      <c r="Z15" s="2959" t="str">
        <f t="shared" si="7"/>
        <v>办公集聚程度</v>
      </c>
      <c r="AA15" s="2957">
        <f t="shared" si="3"/>
        <v>1</v>
      </c>
      <c r="AB15" s="2957">
        <f t="shared" si="4"/>
        <v>0.99009900990099009</v>
      </c>
      <c r="AC15" s="2673">
        <f t="shared" si="5"/>
        <v>1</v>
      </c>
    </row>
    <row r="16" spans="1:29" ht="15">
      <c r="A16" s="428"/>
      <c r="B16" s="630"/>
      <c r="C16" s="2610" t="s">
        <v>3158</v>
      </c>
      <c r="D16" s="448"/>
      <c r="E16" s="2610" t="s">
        <v>3158</v>
      </c>
      <c r="F16" s="448"/>
      <c r="G16" s="2998" t="s">
        <v>3093</v>
      </c>
      <c r="H16" s="450"/>
      <c r="I16" s="2610" t="s">
        <v>3158</v>
      </c>
      <c r="J16" s="448"/>
      <c r="K16" s="615"/>
      <c r="L16" s="1140"/>
      <c r="M16" s="1131"/>
      <c r="N16" s="1131"/>
      <c r="O16" s="1131"/>
      <c r="P16" s="3201"/>
      <c r="Q16" s="2956"/>
      <c r="R16" s="774"/>
      <c r="S16" s="775"/>
      <c r="T16" s="774"/>
      <c r="U16" s="775"/>
      <c r="V16" s="774"/>
      <c r="W16" s="775"/>
      <c r="X16" s="2958"/>
      <c r="Y16" s="3203"/>
      <c r="Z16" s="2959"/>
      <c r="AA16" s="2957">
        <v>1</v>
      </c>
      <c r="AB16" s="2957">
        <v>1</v>
      </c>
      <c r="AC16" s="2673">
        <v>1</v>
      </c>
    </row>
    <row r="17" spans="1:29" ht="15">
      <c r="A17" s="428"/>
      <c r="B17" s="631" t="s">
        <v>2085</v>
      </c>
      <c r="C17" s="2674" t="str">
        <f>估价对象房地状况!C6</f>
        <v>较好</v>
      </c>
      <c r="D17" s="450">
        <v>100</v>
      </c>
      <c r="E17" s="454"/>
      <c r="F17" s="450">
        <f>SUMIF(79:79,E18,80:80)-SUMIF(79:79,C18,80:80)+100</f>
        <v>100</v>
      </c>
      <c r="G17" s="2991"/>
      <c r="H17" s="455">
        <f>SUMIF(79:79,G18,80:80)-SUMIF(79:79,C18,80:80)+100</f>
        <v>100</v>
      </c>
      <c r="I17" s="454"/>
      <c r="J17" s="455">
        <f>SUMIF(79:79,I18,80:80)-SUMIF(79:79,C18,80:80)+100</f>
        <v>100</v>
      </c>
      <c r="K17" s="614">
        <v>1</v>
      </c>
      <c r="L17" s="1140"/>
      <c r="M17" s="1131"/>
      <c r="N17" s="1131"/>
      <c r="O17" s="1131"/>
      <c r="P17" s="3201"/>
      <c r="Q17" s="2956" t="str">
        <f>B17</f>
        <v>交通便捷度</v>
      </c>
      <c r="R17" s="774" t="s">
        <v>17</v>
      </c>
      <c r="S17" s="775">
        <f>F17</f>
        <v>100</v>
      </c>
      <c r="T17" s="774" t="s">
        <v>17</v>
      </c>
      <c r="U17" s="775">
        <f>H17</f>
        <v>100</v>
      </c>
      <c r="V17" s="774" t="s">
        <v>17</v>
      </c>
      <c r="W17" s="775">
        <f>J17</f>
        <v>100</v>
      </c>
      <c r="X17" s="2958"/>
      <c r="Y17" s="3203"/>
      <c r="Z17" s="2959" t="str">
        <f>Q17</f>
        <v>交通便捷度</v>
      </c>
      <c r="AA17" s="2957">
        <f t="shared" si="3"/>
        <v>1</v>
      </c>
      <c r="AB17" s="2957">
        <f t="shared" si="4"/>
        <v>1</v>
      </c>
      <c r="AC17" s="2673">
        <f t="shared" si="5"/>
        <v>1</v>
      </c>
    </row>
    <row r="18" spans="1:29" ht="15">
      <c r="A18" s="428"/>
      <c r="B18" s="632"/>
      <c r="C18" s="2675" t="s">
        <v>3093</v>
      </c>
      <c r="D18" s="450"/>
      <c r="E18" s="2675" t="s">
        <v>3093</v>
      </c>
      <c r="F18" s="450"/>
      <c r="G18" s="3001" t="s">
        <v>3093</v>
      </c>
      <c r="H18" s="448"/>
      <c r="I18" s="2675" t="s">
        <v>3093</v>
      </c>
      <c r="J18" s="448"/>
      <c r="K18" s="615"/>
      <c r="L18" s="1140"/>
      <c r="M18" s="1131"/>
      <c r="N18" s="1131"/>
      <c r="O18" s="1131"/>
      <c r="P18" s="3201"/>
      <c r="Q18" s="2956"/>
      <c r="R18" s="774"/>
      <c r="S18" s="775"/>
      <c r="T18" s="774"/>
      <c r="U18" s="775"/>
      <c r="V18" s="774"/>
      <c r="W18" s="775"/>
      <c r="X18" s="2958"/>
      <c r="Y18" s="3203"/>
      <c r="Z18" s="2959"/>
      <c r="AA18" s="2957">
        <v>1</v>
      </c>
      <c r="AB18" s="2957">
        <v>1</v>
      </c>
      <c r="AC18" s="2673">
        <v>1</v>
      </c>
    </row>
    <row r="19" spans="1:29" ht="15">
      <c r="A19" s="428"/>
      <c r="B19" s="631" t="s">
        <v>2676</v>
      </c>
      <c r="C19" s="2674" t="str">
        <f>估价对象房地状况!C7</f>
        <v>一般</v>
      </c>
      <c r="D19" s="455">
        <v>100</v>
      </c>
      <c r="E19" s="459"/>
      <c r="F19" s="455">
        <f>SUMIF(81:81,E20,82:82)-SUMIF(81:81,C20,82:82)+100</f>
        <v>100</v>
      </c>
      <c r="G19" s="2992"/>
      <c r="H19" s="450">
        <f>SUMIF(81:81,G20,82:82)-SUMIF(81:81,C20,82:82)+100</f>
        <v>101</v>
      </c>
      <c r="I19" s="459"/>
      <c r="J19" s="450">
        <f>SUMIF(81:81,I20,82:82)-SUMIF(81:81,C20,82:82)+100</f>
        <v>100</v>
      </c>
      <c r="K19" s="614">
        <v>1</v>
      </c>
      <c r="L19" s="1140"/>
      <c r="M19" s="1131"/>
      <c r="N19" s="1131"/>
      <c r="O19" s="1131"/>
      <c r="P19" s="3201"/>
      <c r="Q19" s="2956" t="str">
        <f>B19</f>
        <v>公共配套设施</v>
      </c>
      <c r="R19" s="774" t="s">
        <v>17</v>
      </c>
      <c r="S19" s="775">
        <f>F19</f>
        <v>100</v>
      </c>
      <c r="T19" s="774" t="s">
        <v>17</v>
      </c>
      <c r="U19" s="775">
        <f>H19</f>
        <v>101</v>
      </c>
      <c r="V19" s="774" t="s">
        <v>17</v>
      </c>
      <c r="W19" s="775">
        <f>J19</f>
        <v>100</v>
      </c>
      <c r="X19" s="2958"/>
      <c r="Y19" s="3203"/>
      <c r="Z19" s="2959" t="str">
        <f>Q19</f>
        <v>公共配套设施</v>
      </c>
      <c r="AA19" s="2957">
        <f t="shared" si="3"/>
        <v>1</v>
      </c>
      <c r="AB19" s="2957">
        <f t="shared" si="4"/>
        <v>0.99009900990099009</v>
      </c>
      <c r="AC19" s="2673">
        <f t="shared" si="5"/>
        <v>1</v>
      </c>
    </row>
    <row r="20" spans="1:29" ht="15">
      <c r="A20" s="428"/>
      <c r="B20" s="632"/>
      <c r="C20" s="2610" t="s">
        <v>3158</v>
      </c>
      <c r="D20" s="448"/>
      <c r="E20" s="2610" t="s">
        <v>3158</v>
      </c>
      <c r="F20" s="448"/>
      <c r="G20" s="2998" t="s">
        <v>3093</v>
      </c>
      <c r="H20" s="448"/>
      <c r="I20" s="2610" t="s">
        <v>3158</v>
      </c>
      <c r="J20" s="448"/>
      <c r="K20" s="615"/>
      <c r="L20" s="1140"/>
      <c r="M20" s="1131"/>
      <c r="N20" s="1131"/>
      <c r="O20" s="1131"/>
      <c r="P20" s="3201"/>
      <c r="Q20" s="2956"/>
      <c r="R20" s="774"/>
      <c r="S20" s="775"/>
      <c r="T20" s="774"/>
      <c r="U20" s="775"/>
      <c r="V20" s="774"/>
      <c r="W20" s="775"/>
      <c r="X20" s="2958"/>
      <c r="Y20" s="3203"/>
      <c r="Z20" s="2959"/>
      <c r="AA20" s="2957">
        <v>1</v>
      </c>
      <c r="AB20" s="2957">
        <v>1</v>
      </c>
      <c r="AC20" s="2673">
        <v>1</v>
      </c>
    </row>
    <row r="21" spans="1:29" ht="15">
      <c r="A21" s="428"/>
      <c r="B21" s="633" t="s">
        <v>2677</v>
      </c>
      <c r="C21" s="2674" t="str">
        <f>估价对象房地状况!C8</f>
        <v>七通</v>
      </c>
      <c r="D21" s="450">
        <v>100</v>
      </c>
      <c r="E21" s="459"/>
      <c r="F21" s="455">
        <f>SUMIF(83:83,E22,84:84)-SUMIF(83:83,C22,84:84)+100</f>
        <v>100</v>
      </c>
      <c r="G21" s="2992"/>
      <c r="H21" s="450">
        <f>SUMIF(83:83,G22,84:84)-SUMIF(83:83,C22,84:84)+100</f>
        <v>100</v>
      </c>
      <c r="I21" s="459"/>
      <c r="J21" s="450">
        <f>SUMIF(83:83,I22,84:84)-SUMIF(83:83,C22,84:84)+100</f>
        <v>100</v>
      </c>
      <c r="K21" s="614">
        <v>1</v>
      </c>
      <c r="L21" s="1140"/>
      <c r="M21" s="1131"/>
      <c r="N21" s="1131"/>
      <c r="O21" s="1131"/>
      <c r="P21" s="3201"/>
      <c r="Q21" s="2956" t="str">
        <f>B21</f>
        <v>基础设施水平</v>
      </c>
      <c r="R21" s="774" t="s">
        <v>17</v>
      </c>
      <c r="S21" s="775">
        <f>F21</f>
        <v>100</v>
      </c>
      <c r="T21" s="774" t="s">
        <v>17</v>
      </c>
      <c r="U21" s="775">
        <f>H21</f>
        <v>100</v>
      </c>
      <c r="V21" s="774" t="s">
        <v>17</v>
      </c>
      <c r="W21" s="775">
        <f>J21</f>
        <v>100</v>
      </c>
      <c r="X21" s="2958"/>
      <c r="Y21" s="3203"/>
      <c r="Z21" s="2959" t="str">
        <f>Q21</f>
        <v>基础设施水平</v>
      </c>
      <c r="AA21" s="2957">
        <f t="shared" ref="AA21" si="8">D21/F21</f>
        <v>1</v>
      </c>
      <c r="AB21" s="2957">
        <f t="shared" ref="AB21" si="9">D21/H21</f>
        <v>1</v>
      </c>
      <c r="AC21" s="2673">
        <f t="shared" ref="AC21" si="10">D21/J21</f>
        <v>1</v>
      </c>
    </row>
    <row r="22" spans="1:29" ht="15">
      <c r="A22" s="428"/>
      <c r="B22" s="633"/>
      <c r="C22" s="2675" t="s">
        <v>3095</v>
      </c>
      <c r="D22" s="448"/>
      <c r="E22" s="2675" t="s">
        <v>3095</v>
      </c>
      <c r="F22" s="448"/>
      <c r="G22" s="3001" t="s">
        <v>3095</v>
      </c>
      <c r="H22" s="448"/>
      <c r="I22" s="2675" t="s">
        <v>3095</v>
      </c>
      <c r="J22" s="448"/>
      <c r="K22" s="1383"/>
      <c r="L22" s="1140"/>
      <c r="M22" s="1131"/>
      <c r="N22" s="1131"/>
      <c r="O22" s="1131"/>
      <c r="P22" s="3201"/>
      <c r="Q22" s="2956"/>
      <c r="R22" s="774"/>
      <c r="S22" s="775"/>
      <c r="T22" s="774"/>
      <c r="U22" s="775"/>
      <c r="V22" s="774"/>
      <c r="W22" s="775"/>
      <c r="X22" s="2958"/>
      <c r="Y22" s="3203"/>
      <c r="Z22" s="2959"/>
      <c r="AA22" s="2957">
        <v>1</v>
      </c>
      <c r="AB22" s="2957">
        <v>1</v>
      </c>
      <c r="AC22" s="2673">
        <v>1</v>
      </c>
    </row>
    <row r="23" spans="1:29" ht="15">
      <c r="A23" s="428"/>
      <c r="B23" s="631" t="s">
        <v>2678</v>
      </c>
      <c r="C23" s="2674" t="str">
        <f>估价对象房地状况!C9</f>
        <v>较好</v>
      </c>
      <c r="D23" s="450">
        <v>100</v>
      </c>
      <c r="E23" s="454"/>
      <c r="F23" s="450">
        <f>SUMIF(85:85,E24,86:86)-SUMIF(85:85,C24,86:86)+100</f>
        <v>100</v>
      </c>
      <c r="G23" s="2991"/>
      <c r="H23" s="450">
        <f>SUMIF(85:85,G24,86:86)-SUMIF(85:85,C24,86:86)+100</f>
        <v>100</v>
      </c>
      <c r="I23" s="454"/>
      <c r="J23" s="450">
        <f>SUMIF(85:85,I24,86:86)-SUMIF(85:85,C24,86:86)+100</f>
        <v>100</v>
      </c>
      <c r="K23" s="614">
        <v>1</v>
      </c>
      <c r="L23" s="1140"/>
      <c r="M23" s="1131"/>
      <c r="N23" s="1131"/>
      <c r="O23" s="1131"/>
      <c r="P23" s="3201"/>
      <c r="Q23" s="2956" t="str">
        <f>B23</f>
        <v>环境质量</v>
      </c>
      <c r="R23" s="774" t="s">
        <v>17</v>
      </c>
      <c r="S23" s="775">
        <f>F23</f>
        <v>100</v>
      </c>
      <c r="T23" s="774" t="s">
        <v>17</v>
      </c>
      <c r="U23" s="775">
        <f>H23</f>
        <v>100</v>
      </c>
      <c r="V23" s="774" t="s">
        <v>17</v>
      </c>
      <c r="W23" s="775">
        <f>J23</f>
        <v>100</v>
      </c>
      <c r="X23" s="2958"/>
      <c r="Y23" s="3203"/>
      <c r="Z23" s="2959" t="str">
        <f>Q23</f>
        <v>环境质量</v>
      </c>
      <c r="AA23" s="2957">
        <f t="shared" si="3"/>
        <v>1</v>
      </c>
      <c r="AB23" s="2957">
        <f t="shared" si="4"/>
        <v>1</v>
      </c>
      <c r="AC23" s="2673">
        <f t="shared" si="5"/>
        <v>1</v>
      </c>
    </row>
    <row r="24" spans="1:29" ht="15">
      <c r="A24" s="428"/>
      <c r="B24" s="633"/>
      <c r="C24" s="2610" t="s">
        <v>3093</v>
      </c>
      <c r="D24" s="448"/>
      <c r="E24" s="2610" t="s">
        <v>3093</v>
      </c>
      <c r="F24" s="448"/>
      <c r="G24" s="2998" t="s">
        <v>3093</v>
      </c>
      <c r="H24" s="448"/>
      <c r="I24" s="2610" t="s">
        <v>3093</v>
      </c>
      <c r="J24" s="448"/>
      <c r="K24" s="615"/>
      <c r="L24" s="1140"/>
      <c r="M24" s="1131"/>
      <c r="N24" s="1131"/>
      <c r="O24" s="1131"/>
      <c r="P24" s="3201"/>
      <c r="Q24" s="2956"/>
      <c r="R24" s="774"/>
      <c r="S24" s="775"/>
      <c r="T24" s="774"/>
      <c r="U24" s="775"/>
      <c r="V24" s="774"/>
      <c r="W24" s="775"/>
      <c r="X24" s="2958"/>
      <c r="Y24" s="3203"/>
      <c r="Z24" s="2959"/>
      <c r="AA24" s="2957">
        <v>1</v>
      </c>
      <c r="AB24" s="2957">
        <v>1</v>
      </c>
      <c r="AC24" s="2673">
        <v>1</v>
      </c>
    </row>
    <row r="25" spans="1:29" ht="27.75">
      <c r="A25" s="404"/>
      <c r="B25" s="631" t="s">
        <v>2679</v>
      </c>
      <c r="C25" s="2614" t="s">
        <v>3097</v>
      </c>
      <c r="D25" s="435">
        <v>100</v>
      </c>
      <c r="E25" s="2614" t="s">
        <v>3097</v>
      </c>
      <c r="F25" s="435">
        <f>SUMIF(87:87,E26,88:88)-SUMIF(87:87,C26,88:88)+100</f>
        <v>100</v>
      </c>
      <c r="G25" s="2999" t="s">
        <v>3155</v>
      </c>
      <c r="H25" s="435">
        <f>SUMIF(87:87,G26,88:88)-SUMIF(87:87,C26,88:88)+100</f>
        <v>100</v>
      </c>
      <c r="I25" s="2614" t="s">
        <v>3097</v>
      </c>
      <c r="J25" s="435">
        <f>SUMIF(87:87,I26,88:88)-SUMIF(87:87,C26,88:88)+100</f>
        <v>100</v>
      </c>
      <c r="K25" s="614">
        <v>2</v>
      </c>
      <c r="L25" s="1140"/>
      <c r="M25" s="1131"/>
      <c r="N25" s="1131"/>
      <c r="O25" s="1131"/>
      <c r="P25" s="3201"/>
      <c r="Q25" s="2956" t="str">
        <f>B25</f>
        <v>毗邻道路的类型与等级</v>
      </c>
      <c r="R25" s="774" t="s">
        <v>17</v>
      </c>
      <c r="S25" s="775">
        <f>F25</f>
        <v>100</v>
      </c>
      <c r="T25" s="774" t="s">
        <v>17</v>
      </c>
      <c r="U25" s="775">
        <f>H25</f>
        <v>100</v>
      </c>
      <c r="V25" s="774" t="s">
        <v>17</v>
      </c>
      <c r="W25" s="775">
        <f>J25</f>
        <v>100</v>
      </c>
      <c r="X25" s="2958"/>
      <c r="Y25" s="3203"/>
      <c r="Z25" s="2959" t="str">
        <f>Q25</f>
        <v>毗邻道路的类型与等级</v>
      </c>
      <c r="AA25" s="2957">
        <f t="shared" si="3"/>
        <v>1</v>
      </c>
      <c r="AB25" s="2957">
        <f t="shared" si="4"/>
        <v>1</v>
      </c>
      <c r="AC25" s="2673">
        <f t="shared" si="5"/>
        <v>1</v>
      </c>
    </row>
    <row r="26" spans="1:29" ht="15">
      <c r="A26" s="404"/>
      <c r="B26" s="632"/>
      <c r="C26" s="634" t="s">
        <v>3099</v>
      </c>
      <c r="D26" s="435"/>
      <c r="E26" s="634" t="s">
        <v>3099</v>
      </c>
      <c r="F26" s="435"/>
      <c r="G26" s="2997" t="s">
        <v>3099</v>
      </c>
      <c r="H26" s="435"/>
      <c r="I26" s="634" t="s">
        <v>3099</v>
      </c>
      <c r="J26" s="435"/>
      <c r="K26" s="615"/>
      <c r="L26" s="1140"/>
      <c r="M26" s="1131"/>
      <c r="N26" s="1131"/>
      <c r="O26" s="1131"/>
      <c r="P26" s="3201"/>
      <c r="Q26" s="2956"/>
      <c r="R26" s="774"/>
      <c r="S26" s="775"/>
      <c r="T26" s="774"/>
      <c r="U26" s="775"/>
      <c r="V26" s="774"/>
      <c r="W26" s="775"/>
      <c r="X26" s="2958"/>
      <c r="Y26" s="3203"/>
      <c r="Z26" s="2959"/>
      <c r="AA26" s="2957">
        <v>1</v>
      </c>
      <c r="AB26" s="2957">
        <v>1</v>
      </c>
      <c r="AC26" s="2673">
        <v>1</v>
      </c>
    </row>
    <row r="27" spans="1:29" ht="15.75" thickBot="1">
      <c r="A27" s="428"/>
      <c r="B27" s="632" t="s">
        <v>2647</v>
      </c>
      <c r="C27" s="634" t="s">
        <v>3105</v>
      </c>
      <c r="D27" s="435">
        <v>100</v>
      </c>
      <c r="E27" s="634" t="s">
        <v>3103</v>
      </c>
      <c r="F27" s="435">
        <f>SUMIF(89:89,E27,90:90)-SUMIF(89:89,C27,90:90)+100</f>
        <v>102</v>
      </c>
      <c r="G27" s="2997" t="s">
        <v>3105</v>
      </c>
      <c r="H27" s="435">
        <f>SUMIF(89:89,G27,90:90)-SUMIF(89:89,C27,90:90)+100</f>
        <v>100</v>
      </c>
      <c r="I27" s="634" t="s">
        <v>3105</v>
      </c>
      <c r="J27" s="435">
        <f>SUMIF(89:89,I27,90:90)-SUMIF(89:89,C27,90:90)+100</f>
        <v>100</v>
      </c>
      <c r="K27" s="612">
        <v>2</v>
      </c>
      <c r="L27" s="1140"/>
      <c r="M27" s="1131"/>
      <c r="N27" s="1131"/>
      <c r="O27" s="1131"/>
      <c r="P27" s="3201"/>
      <c r="Q27" s="2956" t="str">
        <f t="shared" ref="Q27:Q47" si="11">B27</f>
        <v>楼层</v>
      </c>
      <c r="R27" s="774" t="s">
        <v>17</v>
      </c>
      <c r="S27" s="775">
        <f>F27</f>
        <v>102</v>
      </c>
      <c r="T27" s="774" t="s">
        <v>17</v>
      </c>
      <c r="U27" s="775">
        <f>H27</f>
        <v>100</v>
      </c>
      <c r="V27" s="774" t="s">
        <v>17</v>
      </c>
      <c r="W27" s="775">
        <f>J27</f>
        <v>100</v>
      </c>
      <c r="X27" s="2958"/>
      <c r="Y27" s="3203"/>
      <c r="Z27" s="2959" t="str">
        <f>Q27</f>
        <v>楼层</v>
      </c>
      <c r="AA27" s="2957">
        <f t="shared" si="3"/>
        <v>0.98039215686274506</v>
      </c>
      <c r="AB27" s="2957">
        <f t="shared" si="4"/>
        <v>1</v>
      </c>
      <c r="AC27" s="2673">
        <f t="shared" si="5"/>
        <v>1</v>
      </c>
    </row>
    <row r="28" spans="1:29" s="117" customFormat="1" ht="15.75" hidden="1" customHeight="1" thickBot="1">
      <c r="A28" s="431"/>
      <c r="B28" s="631" t="s">
        <v>2680</v>
      </c>
      <c r="C28" s="2676"/>
      <c r="D28" s="462">
        <v>100</v>
      </c>
      <c r="E28" s="2664"/>
      <c r="F28" s="462">
        <f>SUMIF(91:91,E28,92:92)-SUMIF(91:91,C28,92:92)+100</f>
        <v>100</v>
      </c>
      <c r="G28" s="3002"/>
      <c r="H28" s="462">
        <f>SUMIF(91:91,G28,92:92)-SUMIF(91:91,C28,92:92)+100</f>
        <v>100</v>
      </c>
      <c r="I28" s="2676"/>
      <c r="J28" s="462">
        <f>SUMIF(91:91,I28,92:92)-SUMIF(91:91,C28,92:92)+100</f>
        <v>100</v>
      </c>
      <c r="K28" s="612"/>
      <c r="L28" s="1132"/>
      <c r="M28" s="1133"/>
      <c r="N28" s="1133"/>
      <c r="O28" s="1133"/>
      <c r="P28" s="3201"/>
      <c r="Q28" s="2952" t="str">
        <f t="shared" si="11"/>
        <v>朝向</v>
      </c>
      <c r="R28" s="770" t="s">
        <v>17</v>
      </c>
      <c r="S28" s="771">
        <f>F28</f>
        <v>100</v>
      </c>
      <c r="T28" s="770" t="s">
        <v>17</v>
      </c>
      <c r="U28" s="771">
        <f>H28</f>
        <v>100</v>
      </c>
      <c r="V28" s="770" t="s">
        <v>17</v>
      </c>
      <c r="W28" s="771">
        <f>J28</f>
        <v>100</v>
      </c>
      <c r="X28" s="772"/>
      <c r="Y28" s="3203"/>
      <c r="Z28" s="2953" t="str">
        <f>Q28</f>
        <v>朝向</v>
      </c>
      <c r="AA28" s="2957">
        <f>D28/F28</f>
        <v>1</v>
      </c>
      <c r="AB28" s="2957">
        <f>D28/H28</f>
        <v>1</v>
      </c>
      <c r="AC28" s="2673">
        <f>D28/J28</f>
        <v>1</v>
      </c>
    </row>
    <row r="29" spans="1:29" ht="15.75" hidden="1" customHeight="1" thickBot="1">
      <c r="A29" s="428"/>
      <c r="B29" s="2677">
        <v>111</v>
      </c>
      <c r="C29" s="2614"/>
      <c r="D29" s="435">
        <v>100</v>
      </c>
      <c r="E29" s="432"/>
      <c r="F29" s="435">
        <f>SUMIF(93:93,E29,94:94)-SUMIF(93:93,C29,94:94)+100</f>
        <v>100</v>
      </c>
      <c r="G29" s="3000"/>
      <c r="H29" s="435">
        <f>SUMIF(93:93,G29,94:94)-SUMIF(93:93,C29,94:94)+100</f>
        <v>100</v>
      </c>
      <c r="I29" s="2671"/>
      <c r="J29" s="435">
        <f>SUMIF(93:93,I29,94:94)-SUMIF(93:93,C29,94:94)+100</f>
        <v>100</v>
      </c>
      <c r="K29" s="613"/>
      <c r="L29" s="1140"/>
      <c r="M29" s="1131"/>
      <c r="N29" s="1131"/>
      <c r="O29" s="1131"/>
      <c r="P29" s="3201"/>
      <c r="Q29" s="2956">
        <f t="shared" si="11"/>
        <v>111</v>
      </c>
      <c r="R29" s="774" t="s">
        <v>17</v>
      </c>
      <c r="S29" s="775">
        <f t="shared" ref="S29:S47" si="12">F29</f>
        <v>100</v>
      </c>
      <c r="T29" s="774" t="s">
        <v>17</v>
      </c>
      <c r="U29" s="775">
        <f t="shared" ref="U29:U47" si="13">H29</f>
        <v>100</v>
      </c>
      <c r="V29" s="774" t="s">
        <v>17</v>
      </c>
      <c r="W29" s="775">
        <f t="shared" ref="W29:W47" si="14">J29</f>
        <v>100</v>
      </c>
      <c r="X29" s="2958"/>
      <c r="Y29" s="3203"/>
      <c r="Z29" s="2959">
        <f t="shared" ref="Z29:Z47" si="15">Q29</f>
        <v>111</v>
      </c>
      <c r="AA29" s="2957">
        <f t="shared" si="3"/>
        <v>1</v>
      </c>
      <c r="AB29" s="2957">
        <f t="shared" si="4"/>
        <v>1</v>
      </c>
      <c r="AC29" s="2673">
        <f t="shared" si="5"/>
        <v>1</v>
      </c>
    </row>
    <row r="30" spans="1:29" ht="15.75" hidden="1" customHeight="1" thickBot="1">
      <c r="A30" s="428"/>
      <c r="B30" s="2677">
        <v>111</v>
      </c>
      <c r="C30" s="2614"/>
      <c r="D30" s="435">
        <v>100</v>
      </c>
      <c r="E30" s="432"/>
      <c r="F30" s="435">
        <f>SUMIF(95:95,E30,96:96)-SUMIF(95:95,C30,96:96)+100</f>
        <v>100</v>
      </c>
      <c r="G30" s="3000"/>
      <c r="H30" s="435">
        <f>SUMIF(95:95,G30,96:96)-SUMIF(95:95,C30,96:96)+100</f>
        <v>100</v>
      </c>
      <c r="I30" s="2671"/>
      <c r="J30" s="435">
        <f>SUMIF(95:95,I30,96:96)-SUMIF(95:95,C30,96:96)+100</f>
        <v>100</v>
      </c>
      <c r="K30" s="613"/>
      <c r="L30" s="1140"/>
      <c r="M30" s="1131"/>
      <c r="N30" s="1131"/>
      <c r="O30" s="1131"/>
      <c r="P30" s="3201"/>
      <c r="Q30" s="2956">
        <f t="shared" si="11"/>
        <v>111</v>
      </c>
      <c r="R30" s="774" t="s">
        <v>17</v>
      </c>
      <c r="S30" s="775">
        <f t="shared" si="12"/>
        <v>100</v>
      </c>
      <c r="T30" s="774" t="s">
        <v>17</v>
      </c>
      <c r="U30" s="775">
        <f t="shared" si="13"/>
        <v>100</v>
      </c>
      <c r="V30" s="774" t="s">
        <v>17</v>
      </c>
      <c r="W30" s="775">
        <f t="shared" si="14"/>
        <v>100</v>
      </c>
      <c r="X30" s="2958"/>
      <c r="Y30" s="3203"/>
      <c r="Z30" s="2959">
        <f t="shared" si="15"/>
        <v>111</v>
      </c>
      <c r="AA30" s="2957">
        <f t="shared" si="3"/>
        <v>1</v>
      </c>
      <c r="AB30" s="2957">
        <f t="shared" si="4"/>
        <v>1</v>
      </c>
      <c r="AC30" s="2673">
        <f t="shared" si="5"/>
        <v>1</v>
      </c>
    </row>
    <row r="31" spans="1:29" ht="15.75" hidden="1" customHeight="1" thickBot="1">
      <c r="A31" s="428"/>
      <c r="B31" s="2677">
        <v>111</v>
      </c>
      <c r="C31" s="2614"/>
      <c r="D31" s="435">
        <v>100</v>
      </c>
      <c r="E31" s="432"/>
      <c r="F31" s="435">
        <f>SUMIF(97:97,E31,98:98)-SUMIF(97:97,C31,98:98)+100</f>
        <v>100</v>
      </c>
      <c r="G31" s="3000"/>
      <c r="H31" s="435">
        <f>SUMIF(97:97,G31,98:98)-SUMIF(97:97,C31,98:98)+100</f>
        <v>100</v>
      </c>
      <c r="I31" s="2671"/>
      <c r="J31" s="435">
        <f>SUMIF(97:97,I31,98:98)-SUMIF(97:97,C31,98:98)+100</f>
        <v>100</v>
      </c>
      <c r="K31" s="613"/>
      <c r="L31" s="1140"/>
      <c r="M31" s="1131"/>
      <c r="N31" s="1131"/>
      <c r="O31" s="1131"/>
      <c r="P31" s="3201"/>
      <c r="Q31" s="2956">
        <f t="shared" si="11"/>
        <v>111</v>
      </c>
      <c r="R31" s="774" t="s">
        <v>17</v>
      </c>
      <c r="S31" s="775">
        <f t="shared" si="12"/>
        <v>100</v>
      </c>
      <c r="T31" s="774" t="s">
        <v>17</v>
      </c>
      <c r="U31" s="775">
        <f t="shared" si="13"/>
        <v>100</v>
      </c>
      <c r="V31" s="774" t="s">
        <v>17</v>
      </c>
      <c r="W31" s="775">
        <f t="shared" si="14"/>
        <v>100</v>
      </c>
      <c r="X31" s="2958"/>
      <c r="Y31" s="3203"/>
      <c r="Z31" s="2959">
        <f t="shared" si="15"/>
        <v>111</v>
      </c>
      <c r="AA31" s="2957">
        <f t="shared" si="3"/>
        <v>1</v>
      </c>
      <c r="AB31" s="2957">
        <f t="shared" si="4"/>
        <v>1</v>
      </c>
      <c r="AC31" s="2673">
        <f t="shared" si="5"/>
        <v>1</v>
      </c>
    </row>
    <row r="32" spans="1:29" ht="15.75" hidden="1" customHeight="1" thickBot="1">
      <c r="A32" s="436"/>
      <c r="B32" s="635">
        <v>111</v>
      </c>
      <c r="C32" s="2615"/>
      <c r="D32" s="438">
        <v>100</v>
      </c>
      <c r="E32" s="628"/>
      <c r="F32" s="438">
        <f>SUMIF(99:99,E32,100:100)-SUMIF(99:99,C32,100:100)+100</f>
        <v>100</v>
      </c>
      <c r="G32" s="3000"/>
      <c r="H32" s="438">
        <f>SUMIF(99:99,G32,100:100)-SUMIF(99:99,C32,100:100)+100</f>
        <v>100</v>
      </c>
      <c r="I32" s="2671"/>
      <c r="J32" s="438">
        <f>SUMIF(99:99,I32,100:100)-SUMIF(99:99,C32,100:100)+100</f>
        <v>100</v>
      </c>
      <c r="K32" s="613"/>
      <c r="L32" s="1140"/>
      <c r="M32" s="1131"/>
      <c r="N32" s="1131"/>
      <c r="O32" s="1131"/>
      <c r="P32" s="3201"/>
      <c r="Q32" s="2956">
        <f t="shared" si="11"/>
        <v>111</v>
      </c>
      <c r="R32" s="774" t="s">
        <v>17</v>
      </c>
      <c r="S32" s="775">
        <f t="shared" si="12"/>
        <v>100</v>
      </c>
      <c r="T32" s="774" t="s">
        <v>17</v>
      </c>
      <c r="U32" s="775">
        <f t="shared" si="13"/>
        <v>100</v>
      </c>
      <c r="V32" s="774" t="s">
        <v>17</v>
      </c>
      <c r="W32" s="775">
        <f t="shared" si="14"/>
        <v>100</v>
      </c>
      <c r="X32" s="2958"/>
      <c r="Y32" s="3203"/>
      <c r="Z32" s="2959">
        <f t="shared" si="15"/>
        <v>111</v>
      </c>
      <c r="AA32" s="2957">
        <f t="shared" si="3"/>
        <v>1</v>
      </c>
      <c r="AB32" s="2957">
        <f t="shared" si="4"/>
        <v>1</v>
      </c>
      <c r="AC32" s="2673">
        <f t="shared" si="5"/>
        <v>1</v>
      </c>
    </row>
    <row r="33" spans="1:29" ht="15">
      <c r="A33" s="440" t="s">
        <v>2551</v>
      </c>
      <c r="B33" s="71" t="s">
        <v>2681</v>
      </c>
      <c r="C33" s="2678" t="s">
        <v>3109</v>
      </c>
      <c r="D33" s="467">
        <v>100</v>
      </c>
      <c r="E33" s="2678" t="s">
        <v>3109</v>
      </c>
      <c r="F33" s="461">
        <f>SUMIF(101:101,E33,102:102)-SUMIF(101:101,C33,102:102)+100</f>
        <v>100</v>
      </c>
      <c r="G33" s="3003" t="s">
        <v>3109</v>
      </c>
      <c r="H33" s="435">
        <f>SUMIF(101:101,G33,102:102)-SUMIF(101:101,C33,102:102)+100</f>
        <v>100</v>
      </c>
      <c r="I33" s="2678" t="s">
        <v>3109</v>
      </c>
      <c r="J33" s="467">
        <f>SUMIF(101:101,I33,102:102)-SUMIF(101:101,C33,102:102)+100</f>
        <v>100</v>
      </c>
      <c r="K33" s="612">
        <v>5</v>
      </c>
      <c r="L33" s="1140"/>
      <c r="M33" s="1131"/>
      <c r="N33" s="1131"/>
      <c r="O33" s="1131"/>
      <c r="P33" s="3204" t="s">
        <v>2553</v>
      </c>
      <c r="Q33" s="2956" t="str">
        <f t="shared" si="11"/>
        <v>建筑类型</v>
      </c>
      <c r="R33" s="774" t="s">
        <v>17</v>
      </c>
      <c r="S33" s="775">
        <f t="shared" si="12"/>
        <v>100</v>
      </c>
      <c r="T33" s="774" t="s">
        <v>17</v>
      </c>
      <c r="U33" s="775">
        <f t="shared" si="13"/>
        <v>100</v>
      </c>
      <c r="V33" s="774" t="s">
        <v>17</v>
      </c>
      <c r="W33" s="775">
        <f t="shared" si="14"/>
        <v>100</v>
      </c>
      <c r="X33" s="2958"/>
      <c r="Y33" s="3207" t="s">
        <v>2553</v>
      </c>
      <c r="Z33" s="2959" t="str">
        <f t="shared" si="15"/>
        <v>建筑类型</v>
      </c>
      <c r="AA33" s="2957">
        <f t="shared" si="3"/>
        <v>1</v>
      </c>
      <c r="AB33" s="2957">
        <f t="shared" si="4"/>
        <v>1</v>
      </c>
      <c r="AC33" s="2673">
        <f t="shared" si="5"/>
        <v>1</v>
      </c>
    </row>
    <row r="34" spans="1:29" s="471" customFormat="1" ht="15">
      <c r="A34" s="468"/>
      <c r="B34" s="2954" t="s">
        <v>2554</v>
      </c>
      <c r="C34" s="469"/>
      <c r="D34" s="136">
        <v>100</v>
      </c>
      <c r="E34" s="469"/>
      <c r="F34" s="425">
        <f>LOOKUP(E34,104:104,105:105)-LOOKUP(C34,104:104,105:105)+100</f>
        <v>100</v>
      </c>
      <c r="G34" s="2994"/>
      <c r="H34" s="136">
        <f>LOOKUP(G34,104:104,105:105)-LOOKUP(C34,104:104,105:105)+100</f>
        <v>100</v>
      </c>
      <c r="I34" s="469"/>
      <c r="J34" s="136">
        <f>LOOKUP(I34,104:104,105:105)-LOOKUP(C34,104:104,105:105)+100</f>
        <v>100</v>
      </c>
      <c r="K34" s="613"/>
      <c r="L34" s="1138"/>
      <c r="M34" s="1141"/>
      <c r="N34" s="1141"/>
      <c r="O34" s="1141"/>
      <c r="P34" s="3205"/>
      <c r="Q34" s="776" t="str">
        <f t="shared" si="11"/>
        <v>项目建筑规模</v>
      </c>
      <c r="R34" s="777" t="s">
        <v>17</v>
      </c>
      <c r="S34" s="778">
        <f t="shared" si="12"/>
        <v>100</v>
      </c>
      <c r="T34" s="777" t="s">
        <v>17</v>
      </c>
      <c r="U34" s="778">
        <f t="shared" si="13"/>
        <v>100</v>
      </c>
      <c r="V34" s="777" t="s">
        <v>17</v>
      </c>
      <c r="W34" s="778">
        <f t="shared" si="14"/>
        <v>100</v>
      </c>
      <c r="X34" s="779"/>
      <c r="Y34" s="3207"/>
      <c r="Z34" s="780" t="str">
        <f t="shared" si="15"/>
        <v>项目建筑规模</v>
      </c>
      <c r="AA34" s="2957">
        <f t="shared" si="3"/>
        <v>1</v>
      </c>
      <c r="AB34" s="2957">
        <f t="shared" si="4"/>
        <v>1</v>
      </c>
      <c r="AC34" s="2673">
        <f t="shared" si="5"/>
        <v>1</v>
      </c>
    </row>
    <row r="35" spans="1:29" ht="15">
      <c r="A35" s="472"/>
      <c r="B35" s="2954" t="s">
        <v>2555</v>
      </c>
      <c r="C35" s="460" t="s">
        <v>3111</v>
      </c>
      <c r="D35" s="435">
        <v>100</v>
      </c>
      <c r="E35" s="460" t="s">
        <v>3111</v>
      </c>
      <c r="F35" s="461">
        <f>SUMIF(106:106,E35,107:107)-SUMIF(106:106,C35,107:107)+100</f>
        <v>100</v>
      </c>
      <c r="G35" s="2993" t="s">
        <v>3111</v>
      </c>
      <c r="H35" s="435">
        <f>SUMIF(106:106,G35,107:107)-SUMIF(106:106,C35,107:107)+100</f>
        <v>100</v>
      </c>
      <c r="I35" s="460" t="s">
        <v>3111</v>
      </c>
      <c r="J35" s="435">
        <f>SUMIF(106:106,I35,107:107)-SUMIF(106:106,C35,107:107)+100</f>
        <v>100</v>
      </c>
      <c r="K35" s="612">
        <v>1</v>
      </c>
      <c r="L35" s="1140"/>
      <c r="M35" s="1131"/>
      <c r="N35" s="1131"/>
      <c r="O35" s="1131"/>
      <c r="P35" s="3205"/>
      <c r="Q35" s="2956" t="str">
        <f t="shared" si="11"/>
        <v>建筑结构</v>
      </c>
      <c r="R35" s="774" t="s">
        <v>17</v>
      </c>
      <c r="S35" s="775">
        <f t="shared" si="12"/>
        <v>100</v>
      </c>
      <c r="T35" s="774" t="s">
        <v>17</v>
      </c>
      <c r="U35" s="775">
        <f t="shared" si="13"/>
        <v>100</v>
      </c>
      <c r="V35" s="774" t="s">
        <v>17</v>
      </c>
      <c r="W35" s="775">
        <f t="shared" si="14"/>
        <v>100</v>
      </c>
      <c r="X35" s="2958"/>
      <c r="Y35" s="3207"/>
      <c r="Z35" s="2959" t="str">
        <f t="shared" si="15"/>
        <v>建筑结构</v>
      </c>
      <c r="AA35" s="2957">
        <f t="shared" si="3"/>
        <v>1</v>
      </c>
      <c r="AB35" s="2957">
        <f t="shared" si="4"/>
        <v>1</v>
      </c>
      <c r="AC35" s="2673">
        <f t="shared" si="5"/>
        <v>1</v>
      </c>
    </row>
    <row r="36" spans="1:29" ht="15">
      <c r="A36" s="472"/>
      <c r="B36" s="2954" t="s">
        <v>2649</v>
      </c>
      <c r="C36" s="460" t="s">
        <v>3113</v>
      </c>
      <c r="D36" s="435">
        <v>100</v>
      </c>
      <c r="E36" s="460" t="s">
        <v>3113</v>
      </c>
      <c r="F36" s="461">
        <f>SUMIF(108:108,E36,109:109)-SUMIF(108:108,C36,109:109)+100</f>
        <v>100</v>
      </c>
      <c r="G36" s="2993" t="s">
        <v>3113</v>
      </c>
      <c r="H36" s="435">
        <f>SUMIF(108:108,G36,109:109)-SUMIF(108:108,C36,109:109)+100</f>
        <v>100</v>
      </c>
      <c r="I36" s="460" t="s">
        <v>3113</v>
      </c>
      <c r="J36" s="435">
        <f>SUMIF(108:108,I36,109:109)-SUMIF(108:108,C36,109:109)+100</f>
        <v>100</v>
      </c>
      <c r="K36" s="612">
        <v>1</v>
      </c>
      <c r="L36" s="1140"/>
      <c r="M36" s="1131"/>
      <c r="N36" s="1131"/>
      <c r="O36" s="1131"/>
      <c r="P36" s="3205"/>
      <c r="Q36" s="2956" t="str">
        <f t="shared" si="11"/>
        <v>公共部分装修</v>
      </c>
      <c r="R36" s="774" t="s">
        <v>17</v>
      </c>
      <c r="S36" s="775">
        <f t="shared" si="12"/>
        <v>100</v>
      </c>
      <c r="T36" s="774" t="s">
        <v>17</v>
      </c>
      <c r="U36" s="775">
        <f t="shared" si="13"/>
        <v>100</v>
      </c>
      <c r="V36" s="774" t="s">
        <v>17</v>
      </c>
      <c r="W36" s="775">
        <f t="shared" si="14"/>
        <v>100</v>
      </c>
      <c r="X36" s="2958"/>
      <c r="Y36" s="3207"/>
      <c r="Z36" s="2959" t="str">
        <f t="shared" si="15"/>
        <v>公共部分装修</v>
      </c>
      <c r="AA36" s="2957">
        <f t="shared" si="3"/>
        <v>1</v>
      </c>
      <c r="AB36" s="2957">
        <f t="shared" si="4"/>
        <v>1</v>
      </c>
      <c r="AC36" s="2673">
        <f t="shared" si="5"/>
        <v>1</v>
      </c>
    </row>
    <row r="37" spans="1:29" ht="15">
      <c r="A37" s="472"/>
      <c r="B37" s="2954" t="s">
        <v>2650</v>
      </c>
      <c r="C37" s="474">
        <f>'数据-取费表'!N6</f>
        <v>0.82</v>
      </c>
      <c r="D37" s="435">
        <v>100</v>
      </c>
      <c r="E37" s="474">
        <f>C37</f>
        <v>0.82</v>
      </c>
      <c r="F37" s="461">
        <f>LOOKUP(E37,111:111,112:112)-LOOKUP(C37,111:111,112:112)+100</f>
        <v>100</v>
      </c>
      <c r="G37" s="2995">
        <v>0.75</v>
      </c>
      <c r="H37" s="461">
        <f>LOOKUP(G37,111:111,112:112)-LOOKUP(C37,111:111,112:112)+100</f>
        <v>98</v>
      </c>
      <c r="I37" s="3004">
        <f>E37</f>
        <v>0.82</v>
      </c>
      <c r="J37" s="435">
        <f>LOOKUP(I37,111:111,112:112)-LOOKUP(C37,111:111,112:112)+100</f>
        <v>100</v>
      </c>
      <c r="K37" s="612">
        <v>2</v>
      </c>
      <c r="L37" s="1140"/>
      <c r="M37" s="1131"/>
      <c r="N37" s="1131"/>
      <c r="O37" s="1131"/>
      <c r="P37" s="3205"/>
      <c r="Q37" s="2956" t="str">
        <f t="shared" si="11"/>
        <v>成新度</v>
      </c>
      <c r="R37" s="774" t="s">
        <v>17</v>
      </c>
      <c r="S37" s="775">
        <f t="shared" si="12"/>
        <v>100</v>
      </c>
      <c r="T37" s="774" t="s">
        <v>17</v>
      </c>
      <c r="U37" s="775">
        <f t="shared" si="13"/>
        <v>98</v>
      </c>
      <c r="V37" s="774" t="s">
        <v>17</v>
      </c>
      <c r="W37" s="775">
        <f t="shared" si="14"/>
        <v>100</v>
      </c>
      <c r="X37" s="2958"/>
      <c r="Y37" s="3207"/>
      <c r="Z37" s="2959" t="str">
        <f t="shared" si="15"/>
        <v>成新度</v>
      </c>
      <c r="AA37" s="2957">
        <f t="shared" si="3"/>
        <v>1</v>
      </c>
      <c r="AB37" s="2957">
        <f t="shared" si="4"/>
        <v>1.0204081632653061</v>
      </c>
      <c r="AC37" s="2673">
        <f t="shared" si="5"/>
        <v>1</v>
      </c>
    </row>
    <row r="38" spans="1:29" s="117" customFormat="1" ht="15">
      <c r="A38" s="473"/>
      <c r="B38" s="2954" t="s">
        <v>2682</v>
      </c>
      <c r="C38" s="460" t="s">
        <v>3115</v>
      </c>
      <c r="D38" s="136">
        <v>100</v>
      </c>
      <c r="E38" s="460" t="s">
        <v>3115</v>
      </c>
      <c r="F38" s="461">
        <f>SUMIF(113:113,E38,114:114)-SUMIF(113:113,C38,114:114)+100</f>
        <v>100</v>
      </c>
      <c r="G38" s="2993" t="s">
        <v>3115</v>
      </c>
      <c r="H38" s="435">
        <f>SUMIF(113:113,G38,114:114)-SUMIF(113:113,C38,114:114)+100</f>
        <v>100</v>
      </c>
      <c r="I38" s="460" t="s">
        <v>3115</v>
      </c>
      <c r="J38" s="435">
        <f>SUMIF(113:113,I38,114:114)-SUMIF(113:113,C38,114:114)+100</f>
        <v>100</v>
      </c>
      <c r="K38" s="612">
        <v>5</v>
      </c>
      <c r="L38" s="1132"/>
      <c r="M38" s="1133"/>
      <c r="N38" s="1133"/>
      <c r="O38" s="1133"/>
      <c r="P38" s="3205"/>
      <c r="Q38" s="2952" t="str">
        <f t="shared" si="11"/>
        <v>写字楼等级</v>
      </c>
      <c r="R38" s="770" t="s">
        <v>17</v>
      </c>
      <c r="S38" s="771">
        <f t="shared" si="12"/>
        <v>100</v>
      </c>
      <c r="T38" s="770" t="s">
        <v>17</v>
      </c>
      <c r="U38" s="771">
        <f t="shared" si="13"/>
        <v>100</v>
      </c>
      <c r="V38" s="770" t="s">
        <v>17</v>
      </c>
      <c r="W38" s="771">
        <f t="shared" si="14"/>
        <v>100</v>
      </c>
      <c r="X38" s="772"/>
      <c r="Y38" s="3207"/>
      <c r="Z38" s="2953" t="str">
        <f t="shared" si="15"/>
        <v>写字楼等级</v>
      </c>
      <c r="AA38" s="773">
        <f t="shared" si="3"/>
        <v>1</v>
      </c>
      <c r="AB38" s="773">
        <f t="shared" si="4"/>
        <v>1</v>
      </c>
      <c r="AC38" s="2670">
        <f t="shared" si="5"/>
        <v>1</v>
      </c>
    </row>
    <row r="39" spans="1:29" ht="15">
      <c r="A39" s="472"/>
      <c r="B39" s="2954" t="s">
        <v>2683</v>
      </c>
      <c r="C39" s="460" t="s">
        <v>3117</v>
      </c>
      <c r="D39" s="435">
        <v>100</v>
      </c>
      <c r="E39" s="460" t="s">
        <v>3117</v>
      </c>
      <c r="F39" s="461">
        <f>SUMIF(115:115,E39,116:116)-SUMIF(115:115,C39,116:116)+100</f>
        <v>100</v>
      </c>
      <c r="G39" s="2993" t="s">
        <v>3117</v>
      </c>
      <c r="H39" s="435">
        <f>SUMIF(115:115,G39,116:116)-SUMIF(115:115,C39,116:116)+100</f>
        <v>100</v>
      </c>
      <c r="I39" s="460" t="s">
        <v>3117</v>
      </c>
      <c r="J39" s="435">
        <f>SUMIF(115:115,I39,116:116)-SUMIF(115:115,C39,116:116)+100</f>
        <v>100</v>
      </c>
      <c r="K39" s="612">
        <v>1</v>
      </c>
      <c r="L39" s="1140"/>
      <c r="M39" s="1131"/>
      <c r="N39" s="1131"/>
      <c r="O39" s="1131"/>
      <c r="P39" s="3205" t="s">
        <v>2553</v>
      </c>
      <c r="Q39" s="2956" t="str">
        <f t="shared" si="11"/>
        <v>物业管理</v>
      </c>
      <c r="R39" s="774" t="s">
        <v>17</v>
      </c>
      <c r="S39" s="775">
        <f t="shared" si="12"/>
        <v>100</v>
      </c>
      <c r="T39" s="774" t="s">
        <v>17</v>
      </c>
      <c r="U39" s="775">
        <f t="shared" si="13"/>
        <v>100</v>
      </c>
      <c r="V39" s="774" t="s">
        <v>17</v>
      </c>
      <c r="W39" s="775">
        <f t="shared" si="14"/>
        <v>100</v>
      </c>
      <c r="X39" s="2958"/>
      <c r="Y39" s="3207" t="s">
        <v>2553</v>
      </c>
      <c r="Z39" s="2959" t="str">
        <f t="shared" si="15"/>
        <v>物业管理</v>
      </c>
      <c r="AA39" s="2957">
        <f t="shared" si="3"/>
        <v>1</v>
      </c>
      <c r="AB39" s="2957">
        <f t="shared" si="4"/>
        <v>1</v>
      </c>
      <c r="AC39" s="2673">
        <f t="shared" si="5"/>
        <v>1</v>
      </c>
    </row>
    <row r="40" spans="1:29" ht="15">
      <c r="A40" s="472"/>
      <c r="B40" s="2954" t="s">
        <v>2651</v>
      </c>
      <c r="C40" s="460" t="s">
        <v>3120</v>
      </c>
      <c r="D40" s="435">
        <v>100</v>
      </c>
      <c r="E40" s="460" t="s">
        <v>3120</v>
      </c>
      <c r="F40" s="461">
        <f>SUMIF(117:117,E40,118:118)-SUMIF(117:117,C40,118:118)+100</f>
        <v>100</v>
      </c>
      <c r="G40" s="2993" t="s">
        <v>3120</v>
      </c>
      <c r="H40" s="435">
        <f>SUMIF(117:117,G40,118:118)-SUMIF(117:117,C40,118:118)+100</f>
        <v>100</v>
      </c>
      <c r="I40" s="460" t="s">
        <v>3120</v>
      </c>
      <c r="J40" s="435">
        <f>SUMIF(117:117,I40,118:118)-SUMIF(117:117,C40,118:118)+100</f>
        <v>100</v>
      </c>
      <c r="K40" s="612">
        <v>1</v>
      </c>
      <c r="L40" s="1140"/>
      <c r="M40" s="1131"/>
      <c r="N40" s="1131"/>
      <c r="O40" s="1131"/>
      <c r="P40" s="3205"/>
      <c r="Q40" s="2956" t="str">
        <f t="shared" si="11"/>
        <v>市政基础设施</v>
      </c>
      <c r="R40" s="774" t="s">
        <v>17</v>
      </c>
      <c r="S40" s="775">
        <f t="shared" si="12"/>
        <v>100</v>
      </c>
      <c r="T40" s="774" t="s">
        <v>17</v>
      </c>
      <c r="U40" s="775">
        <f t="shared" si="13"/>
        <v>100</v>
      </c>
      <c r="V40" s="774" t="s">
        <v>17</v>
      </c>
      <c r="W40" s="775">
        <f t="shared" si="14"/>
        <v>100</v>
      </c>
      <c r="X40" s="2958"/>
      <c r="Y40" s="3207"/>
      <c r="Z40" s="2959" t="str">
        <f t="shared" si="15"/>
        <v>市政基础设施</v>
      </c>
      <c r="AA40" s="2957">
        <f t="shared" si="3"/>
        <v>1</v>
      </c>
      <c r="AB40" s="2957">
        <f t="shared" si="4"/>
        <v>1</v>
      </c>
      <c r="AC40" s="2673">
        <f t="shared" si="5"/>
        <v>1</v>
      </c>
    </row>
    <row r="41" spans="1:29" ht="15">
      <c r="A41" s="472"/>
      <c r="B41" s="2954" t="s">
        <v>2653</v>
      </c>
      <c r="C41" s="616" t="s">
        <v>3123</v>
      </c>
      <c r="D41" s="435">
        <v>100</v>
      </c>
      <c r="E41" s="616" t="s">
        <v>3123</v>
      </c>
      <c r="F41" s="461">
        <f>SUMIF(119:119,E41,120:120)-SUMIF(119:119,C41,120:120)+100</f>
        <v>100</v>
      </c>
      <c r="G41" s="2996" t="s">
        <v>3123</v>
      </c>
      <c r="H41" s="435">
        <f>SUMIF(119:119,G41,120:120)-SUMIF(119:119,C41,120:120)+100</f>
        <v>100</v>
      </c>
      <c r="I41" s="616" t="s">
        <v>3123</v>
      </c>
      <c r="J41" s="435">
        <f>SUMIF(119:119,I41,120:120)-SUMIF(119:119,C41,120:120)+100</f>
        <v>100</v>
      </c>
      <c r="K41" s="612">
        <v>5</v>
      </c>
      <c r="L41" s="1140"/>
      <c r="M41" s="1131"/>
      <c r="N41" s="1131"/>
      <c r="O41" s="1131"/>
      <c r="P41" s="3205"/>
      <c r="Q41" s="2956" t="str">
        <f t="shared" si="11"/>
        <v>层高</v>
      </c>
      <c r="R41" s="774" t="s">
        <v>17</v>
      </c>
      <c r="S41" s="775">
        <f t="shared" si="12"/>
        <v>100</v>
      </c>
      <c r="T41" s="774" t="s">
        <v>17</v>
      </c>
      <c r="U41" s="775">
        <f t="shared" si="13"/>
        <v>100</v>
      </c>
      <c r="V41" s="774" t="s">
        <v>17</v>
      </c>
      <c r="W41" s="775">
        <f t="shared" si="14"/>
        <v>100</v>
      </c>
      <c r="X41" s="2958"/>
      <c r="Y41" s="3207"/>
      <c r="Z41" s="2959" t="str">
        <f t="shared" si="15"/>
        <v>层高</v>
      </c>
      <c r="AA41" s="2957">
        <f t="shared" si="3"/>
        <v>1</v>
      </c>
      <c r="AB41" s="2957">
        <f t="shared" si="4"/>
        <v>1</v>
      </c>
      <c r="AC41" s="2673">
        <f t="shared" si="5"/>
        <v>1</v>
      </c>
    </row>
    <row r="42" spans="1:29" s="471" customFormat="1" ht="15">
      <c r="A42" s="468"/>
      <c r="B42" s="2955" t="s">
        <v>2684</v>
      </c>
      <c r="C42" s="434" t="s">
        <v>3132</v>
      </c>
      <c r="D42" s="435">
        <v>100</v>
      </c>
      <c r="E42" s="434" t="s">
        <v>3146</v>
      </c>
      <c r="F42" s="461">
        <f>SUMIF(121:121,E42,122:122)-SUMIF(121:121,C42,122:122)+100</f>
        <v>101</v>
      </c>
      <c r="G42" s="2989" t="s">
        <v>3166</v>
      </c>
      <c r="H42" s="435">
        <f>SUMIF(121:121,G42,122:122)-SUMIF(121:121,C42,122:122)+100</f>
        <v>99</v>
      </c>
      <c r="I42" s="434" t="s">
        <v>3165</v>
      </c>
      <c r="J42" s="435">
        <f>SUMIF(121:121,I42,122:122)-SUMIF(121:121,C42,122:122)+100</f>
        <v>98</v>
      </c>
      <c r="K42" s="613"/>
      <c r="L42" s="1138"/>
      <c r="M42" s="1141"/>
      <c r="N42" s="1141"/>
      <c r="O42" s="1141"/>
      <c r="P42" s="3205"/>
      <c r="Q42" s="776" t="str">
        <f t="shared" si="11"/>
        <v>单套建筑面积</v>
      </c>
      <c r="R42" s="777" t="s">
        <v>17</v>
      </c>
      <c r="S42" s="778">
        <f t="shared" si="12"/>
        <v>101</v>
      </c>
      <c r="T42" s="777" t="s">
        <v>17</v>
      </c>
      <c r="U42" s="778">
        <f t="shared" si="13"/>
        <v>99</v>
      </c>
      <c r="V42" s="777" t="s">
        <v>17</v>
      </c>
      <c r="W42" s="778">
        <f t="shared" si="14"/>
        <v>98</v>
      </c>
      <c r="X42" s="779"/>
      <c r="Y42" s="3207"/>
      <c r="Z42" s="780" t="str">
        <f t="shared" si="15"/>
        <v>单套建筑面积</v>
      </c>
      <c r="AA42" s="2957">
        <f t="shared" si="3"/>
        <v>0.99009900990099009</v>
      </c>
      <c r="AB42" s="2957">
        <f t="shared" si="4"/>
        <v>1.0101010101010102</v>
      </c>
      <c r="AC42" s="2673">
        <f t="shared" si="5"/>
        <v>1.0204081632653061</v>
      </c>
    </row>
    <row r="43" spans="1:29" ht="15">
      <c r="A43" s="472"/>
      <c r="B43" s="2954" t="s">
        <v>2656</v>
      </c>
      <c r="C43" s="460" t="s">
        <v>3128</v>
      </c>
      <c r="D43" s="435">
        <v>100</v>
      </c>
      <c r="E43" s="460" t="s">
        <v>3128</v>
      </c>
      <c r="F43" s="461">
        <f>SUMIF(123:123,E43,124:124)-SUMIF(123:123,C43,124:124)+100</f>
        <v>100</v>
      </c>
      <c r="G43" s="2993" t="s">
        <v>3128</v>
      </c>
      <c r="H43" s="435">
        <f>SUMIF(123:123,G43,124:124)-SUMIF(123:123,C43,124:124)+100</f>
        <v>100</v>
      </c>
      <c r="I43" s="460" t="s">
        <v>3113</v>
      </c>
      <c r="J43" s="435">
        <f>SUMIF(123:123,I43,124:124)-SUMIF(123:123,C43,124:124)+100</f>
        <v>101</v>
      </c>
      <c r="K43" s="612">
        <v>1</v>
      </c>
      <c r="L43" s="1140"/>
      <c r="M43" s="1131"/>
      <c r="N43" s="1131"/>
      <c r="O43" s="1131"/>
      <c r="P43" s="3205"/>
      <c r="Q43" s="2956" t="str">
        <f t="shared" si="11"/>
        <v>内部装修</v>
      </c>
      <c r="R43" s="774" t="s">
        <v>17</v>
      </c>
      <c r="S43" s="775">
        <f t="shared" si="12"/>
        <v>100</v>
      </c>
      <c r="T43" s="774" t="s">
        <v>17</v>
      </c>
      <c r="U43" s="775">
        <f t="shared" si="13"/>
        <v>100</v>
      </c>
      <c r="V43" s="774" t="s">
        <v>17</v>
      </c>
      <c r="W43" s="775">
        <f t="shared" si="14"/>
        <v>101</v>
      </c>
      <c r="X43" s="2958"/>
      <c r="Y43" s="3207"/>
      <c r="Z43" s="2959" t="str">
        <f t="shared" si="15"/>
        <v>内部装修</v>
      </c>
      <c r="AA43" s="2957">
        <f t="shared" si="3"/>
        <v>1</v>
      </c>
      <c r="AB43" s="2957">
        <f t="shared" si="4"/>
        <v>1</v>
      </c>
      <c r="AC43" s="2673">
        <f t="shared" si="5"/>
        <v>0.99009900990099009</v>
      </c>
    </row>
    <row r="44" spans="1:29" ht="15.75" thickBot="1">
      <c r="A44" s="472"/>
      <c r="B44" s="2954" t="s">
        <v>2564</v>
      </c>
      <c r="C44" s="460" t="s">
        <v>3093</v>
      </c>
      <c r="D44" s="435">
        <v>100</v>
      </c>
      <c r="E44" s="460" t="s">
        <v>3093</v>
      </c>
      <c r="F44" s="461">
        <f>SUMIF(125:125,E44,126:126)-SUMIF(125:125,C44,126:126)+100</f>
        <v>100</v>
      </c>
      <c r="G44" s="2993" t="s">
        <v>3093</v>
      </c>
      <c r="H44" s="435">
        <f>SUMIF(125:125,G44,126:126)-SUMIF(125:125,C44,126:126)+100</f>
        <v>100</v>
      </c>
      <c r="I44" s="460" t="s">
        <v>3093</v>
      </c>
      <c r="J44" s="435">
        <f>SUMIF(125:125,I44,126:126)-SUMIF(125:125,C44,126:126)+100</f>
        <v>100</v>
      </c>
      <c r="K44" s="612">
        <v>1</v>
      </c>
      <c r="L44" s="1140"/>
      <c r="M44" s="1131"/>
      <c r="N44" s="1131"/>
      <c r="O44" s="1131"/>
      <c r="P44" s="3205"/>
      <c r="Q44" s="2956" t="str">
        <f t="shared" si="11"/>
        <v>内部装修维护情况</v>
      </c>
      <c r="R44" s="774" t="s">
        <v>17</v>
      </c>
      <c r="S44" s="775">
        <f t="shared" si="12"/>
        <v>100</v>
      </c>
      <c r="T44" s="774" t="s">
        <v>17</v>
      </c>
      <c r="U44" s="775">
        <f t="shared" si="13"/>
        <v>100</v>
      </c>
      <c r="V44" s="774" t="s">
        <v>17</v>
      </c>
      <c r="W44" s="775">
        <f t="shared" si="14"/>
        <v>100</v>
      </c>
      <c r="X44" s="2958"/>
      <c r="Y44" s="3207"/>
      <c r="Z44" s="2959" t="str">
        <f t="shared" si="15"/>
        <v>内部装修维护情况</v>
      </c>
      <c r="AA44" s="2957">
        <f t="shared" si="3"/>
        <v>1</v>
      </c>
      <c r="AB44" s="2957">
        <f t="shared" si="4"/>
        <v>1</v>
      </c>
      <c r="AC44" s="2673">
        <f t="shared" si="5"/>
        <v>1</v>
      </c>
    </row>
    <row r="45" spans="1:29" s="117" customFormat="1" ht="15.75" hidden="1" customHeight="1" thickBot="1">
      <c r="A45" s="473"/>
      <c r="B45" s="1386">
        <v>111</v>
      </c>
      <c r="C45" s="469"/>
      <c r="D45" s="136">
        <v>100</v>
      </c>
      <c r="E45" s="432"/>
      <c r="F45" s="425">
        <f>SUMIF(127:127,E45,128:128)-SUMIF(127:127,C45,128:128)+100</f>
        <v>100</v>
      </c>
      <c r="G45" s="2988"/>
      <c r="H45" s="136">
        <f>SUMIF(127:127,G45,128:128)-SUMIF(127:127,C45,128:128)+100</f>
        <v>100</v>
      </c>
      <c r="I45" s="432"/>
      <c r="J45" s="136">
        <f>SUMIF(127:127,I45,128:128)-SUMIF(127:127,C45,128:128)+100</f>
        <v>100</v>
      </c>
      <c r="K45" s="613"/>
      <c r="L45" s="1132"/>
      <c r="M45" s="1133"/>
      <c r="N45" s="1133"/>
      <c r="O45" s="1133"/>
      <c r="P45" s="3205"/>
      <c r="Q45" s="2952">
        <f t="shared" si="11"/>
        <v>111</v>
      </c>
      <c r="R45" s="770" t="s">
        <v>17</v>
      </c>
      <c r="S45" s="771">
        <f t="shared" si="12"/>
        <v>100</v>
      </c>
      <c r="T45" s="770" t="s">
        <v>17</v>
      </c>
      <c r="U45" s="771">
        <f t="shared" si="13"/>
        <v>100</v>
      </c>
      <c r="V45" s="770" t="s">
        <v>17</v>
      </c>
      <c r="W45" s="771">
        <f t="shared" si="14"/>
        <v>100</v>
      </c>
      <c r="X45" s="772"/>
      <c r="Y45" s="3207"/>
      <c r="Z45" s="2953">
        <f t="shared" si="15"/>
        <v>111</v>
      </c>
      <c r="AA45" s="773">
        <f t="shared" si="3"/>
        <v>1</v>
      </c>
      <c r="AB45" s="773">
        <f t="shared" si="4"/>
        <v>1</v>
      </c>
      <c r="AC45" s="2670">
        <f t="shared" si="5"/>
        <v>1</v>
      </c>
    </row>
    <row r="46" spans="1:29" ht="15.75" hidden="1" customHeight="1" thickBot="1">
      <c r="A46" s="472"/>
      <c r="B46" s="1386">
        <v>111</v>
      </c>
      <c r="C46" s="434"/>
      <c r="D46" s="435">
        <v>100</v>
      </c>
      <c r="E46" s="432"/>
      <c r="F46" s="461">
        <f>SUMIF(129:129,E46,130:130)-SUMIF(129:129,C46,130:130)+100</f>
        <v>100</v>
      </c>
      <c r="G46" s="2988"/>
      <c r="H46" s="435">
        <f>SUMIF(129:129,G46,130:130)-SUMIF(129:129,C46,130:130)+100</f>
        <v>100</v>
      </c>
      <c r="I46" s="432"/>
      <c r="J46" s="435">
        <f>SUMIF(129:129,I46,130:130)-SUMIF(129:129,C46,130:130)+100</f>
        <v>100</v>
      </c>
      <c r="K46" s="613"/>
      <c r="L46" s="1140"/>
      <c r="M46" s="1131"/>
      <c r="N46" s="1131"/>
      <c r="O46" s="1131"/>
      <c r="P46" s="3205"/>
      <c r="Q46" s="2956">
        <f t="shared" si="11"/>
        <v>111</v>
      </c>
      <c r="R46" s="774" t="s">
        <v>17</v>
      </c>
      <c r="S46" s="775">
        <f t="shared" si="12"/>
        <v>100</v>
      </c>
      <c r="T46" s="774" t="s">
        <v>17</v>
      </c>
      <c r="U46" s="775">
        <f t="shared" si="13"/>
        <v>100</v>
      </c>
      <c r="V46" s="774" t="s">
        <v>17</v>
      </c>
      <c r="W46" s="775">
        <f t="shared" si="14"/>
        <v>100</v>
      </c>
      <c r="X46" s="2958"/>
      <c r="Y46" s="3207"/>
      <c r="Z46" s="2959">
        <f t="shared" si="15"/>
        <v>111</v>
      </c>
      <c r="AA46" s="2957">
        <f t="shared" si="3"/>
        <v>1</v>
      </c>
      <c r="AB46" s="2957">
        <f t="shared" si="4"/>
        <v>1</v>
      </c>
      <c r="AC46" s="2673">
        <f t="shared" si="5"/>
        <v>1</v>
      </c>
    </row>
    <row r="47" spans="1:29" ht="15.75" hidden="1" customHeight="1" thickBot="1">
      <c r="A47" s="478"/>
      <c r="B47" s="2601">
        <v>111</v>
      </c>
      <c r="C47" s="437"/>
      <c r="D47" s="438">
        <v>100</v>
      </c>
      <c r="E47" s="432"/>
      <c r="F47" s="439">
        <f>SUMIF(131:131,E47,132:132)-SUMIF(131:131,C47,132:132)+100</f>
        <v>100</v>
      </c>
      <c r="G47" s="2988"/>
      <c r="H47" s="438">
        <f>SUMIF(131:131,G47,132:132)-SUMIF(131:131,C47,132:132)+100</f>
        <v>100</v>
      </c>
      <c r="I47" s="432"/>
      <c r="J47" s="438">
        <f>SUMIF(131:131,I47,132:132)-SUMIF(131:131,C47,132:132)+100</f>
        <v>100</v>
      </c>
      <c r="K47" s="613"/>
      <c r="L47" s="1140"/>
      <c r="M47" s="1131"/>
      <c r="N47" s="1131"/>
      <c r="O47" s="1131"/>
      <c r="P47" s="3206"/>
      <c r="Q47" s="2956">
        <f t="shared" si="11"/>
        <v>111</v>
      </c>
      <c r="R47" s="774" t="s">
        <v>17</v>
      </c>
      <c r="S47" s="775">
        <f t="shared" si="12"/>
        <v>100</v>
      </c>
      <c r="T47" s="774" t="s">
        <v>17</v>
      </c>
      <c r="U47" s="775">
        <f t="shared" si="13"/>
        <v>100</v>
      </c>
      <c r="V47" s="774" t="s">
        <v>17</v>
      </c>
      <c r="W47" s="775">
        <f t="shared" si="14"/>
        <v>100</v>
      </c>
      <c r="X47" s="2958"/>
      <c r="Y47" s="3208"/>
      <c r="Z47" s="2959">
        <f t="shared" si="15"/>
        <v>111</v>
      </c>
      <c r="AA47" s="2957">
        <f t="shared" si="3"/>
        <v>1</v>
      </c>
      <c r="AB47" s="2957">
        <f t="shared" si="4"/>
        <v>1</v>
      </c>
      <c r="AC47" s="2673">
        <f t="shared" si="5"/>
        <v>1</v>
      </c>
    </row>
    <row r="48" spans="1:29" ht="15">
      <c r="A48" s="479" t="s">
        <v>2565</v>
      </c>
      <c r="B48" s="480"/>
      <c r="C48" s="1407" t="s">
        <v>1</v>
      </c>
      <c r="D48" s="1408"/>
      <c r="E48" s="1409">
        <f>ROUND(37000*M48,0)</f>
        <v>37000</v>
      </c>
      <c r="F48" s="1410"/>
      <c r="G48" s="1409">
        <f>ROUND(38000*M48,0)</f>
        <v>38000</v>
      </c>
      <c r="H48" s="1412"/>
      <c r="I48" s="1411">
        <v>37000</v>
      </c>
      <c r="J48" s="485"/>
      <c r="K48" s="783"/>
      <c r="L48" s="1143"/>
      <c r="M48" s="2982">
        <v>1</v>
      </c>
      <c r="N48" s="1131"/>
      <c r="O48" s="1131"/>
      <c r="P48" s="3194" t="str">
        <f>A48</f>
        <v>成交单价（元/平方米）</v>
      </c>
      <c r="Q48" s="3195"/>
      <c r="R48" s="3196">
        <f>E48</f>
        <v>37000</v>
      </c>
      <c r="S48" s="3196"/>
      <c r="T48" s="3196">
        <f>G48</f>
        <v>38000</v>
      </c>
      <c r="U48" s="3196"/>
      <c r="V48" s="3196">
        <f>I48</f>
        <v>37000</v>
      </c>
      <c r="W48" s="3196"/>
      <c r="X48" s="446"/>
      <c r="Y48" s="781"/>
      <c r="Z48" s="446"/>
      <c r="AA48" s="446"/>
      <c r="AB48" s="446"/>
      <c r="AC48" s="630"/>
    </row>
    <row r="49" spans="1:29" ht="15.75" thickBot="1">
      <c r="A49" s="486" t="s">
        <v>2566</v>
      </c>
      <c r="B49" s="487"/>
      <c r="C49" s="1413">
        <f>R50</f>
        <v>37230</v>
      </c>
      <c r="D49" s="1414"/>
      <c r="E49" s="1415">
        <f>R49</f>
        <v>35915</v>
      </c>
      <c r="F49" s="1415"/>
      <c r="G49" s="1413">
        <f>T49</f>
        <v>38395</v>
      </c>
      <c r="H49" s="1414"/>
      <c r="I49" s="1415">
        <f>V49</f>
        <v>37381</v>
      </c>
      <c r="J49" s="489"/>
      <c r="K49" s="784"/>
      <c r="L49" s="1143"/>
      <c r="M49" s="1131"/>
      <c r="N49" s="1131"/>
      <c r="O49" s="1131"/>
      <c r="P49" s="3194" t="str">
        <f>A49</f>
        <v>比较价值（元/平方米）</v>
      </c>
      <c r="Q49" s="3195"/>
      <c r="R49" s="3196">
        <f>IF(F1="售价",ROUND(PRODUCT(R48,AA7:AA47),0),ROUND(PRODUCT(R48,AA7:AA47),1))</f>
        <v>35915</v>
      </c>
      <c r="S49" s="3196"/>
      <c r="T49" s="3196">
        <f>IF(F1="售价",ROUND(PRODUCT(T48,AB7:AB47),0),ROUND(PRODUCT(T48,AB7:AB47),1))</f>
        <v>38395</v>
      </c>
      <c r="U49" s="3196"/>
      <c r="V49" s="3196">
        <f>IF(F1="售价",ROUND(PRODUCT(V48,AC7:AC47),0),ROUND(PRODUCT(V48,AC7:AC47),1))</f>
        <v>37381</v>
      </c>
      <c r="W49" s="3196"/>
      <c r="X49" s="446"/>
      <c r="Y49" s="446"/>
      <c r="Z49" s="446"/>
      <c r="AA49" s="446"/>
      <c r="AB49" s="446"/>
      <c r="AC49" s="630"/>
    </row>
    <row r="50" spans="1:29" ht="15.75" thickBot="1">
      <c r="A50" s="492" t="s">
        <v>2567</v>
      </c>
      <c r="B50" s="493"/>
      <c r="C50" s="1417">
        <f>R50</f>
        <v>37230</v>
      </c>
      <c r="D50" s="1417"/>
      <c r="E50" s="1417"/>
      <c r="F50" s="1417"/>
      <c r="G50" s="1417"/>
      <c r="H50" s="1417"/>
      <c r="I50" s="1417"/>
      <c r="J50" s="494"/>
      <c r="K50" s="785"/>
      <c r="L50" s="1143"/>
      <c r="M50" s="1131"/>
      <c r="N50" s="1131"/>
      <c r="O50" s="1131"/>
      <c r="P50" s="3197" t="str">
        <f>A50</f>
        <v>估价对象XX用房的比较价值（楼面单价，元/平方米）</v>
      </c>
      <c r="Q50" s="3198"/>
      <c r="R50" s="3199">
        <f>IF(F1="售价",ROUND(AVERAGE(R49:V49),0),ROUND(AVERAGE(R49:V49),1))</f>
        <v>37230</v>
      </c>
      <c r="S50" s="3199"/>
      <c r="T50" s="3199"/>
      <c r="U50" s="3199"/>
      <c r="V50" s="3199"/>
      <c r="W50" s="319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2568</v>
      </c>
      <c r="D53" s="498"/>
      <c r="E53" s="499">
        <f>IF(E48&lt;E49,E49/E48-1,E48/E49-1)</f>
        <v>3.0210218571627534E-2</v>
      </c>
      <c r="F53" s="500" t="str">
        <f>IF(OR(E53&gt;=0.3,E53&lt;=-0.3),"超过30%","")</f>
        <v/>
      </c>
      <c r="G53" s="499">
        <f>IF(G48&lt;G49,G49/G48-1,G48/G49-1)</f>
        <v>1.0394736842105345E-2</v>
      </c>
      <c r="H53" s="500" t="str">
        <f>IF(OR(G53&gt;=0.3,G53&lt;=-0.3),"超过30%","")</f>
        <v/>
      </c>
      <c r="I53" s="499">
        <f>IF(I48&lt;I49,I49/I48-1,I48/I49-1)</f>
        <v>1.0297297297297225E-2</v>
      </c>
      <c r="J53" s="500" t="str">
        <f>IF(OR(I53&gt;=0.3,I53&lt;=-0.3),"超过30%","")</f>
        <v/>
      </c>
      <c r="K53" s="1105"/>
      <c r="L53" s="1106"/>
      <c r="M53" s="1144"/>
      <c r="N53" s="1144"/>
      <c r="O53" s="1144"/>
    </row>
    <row r="54" spans="1:29" ht="13.5" customHeight="1">
      <c r="A54" s="1144"/>
      <c r="B54" s="1144"/>
      <c r="C54" s="497" t="s">
        <v>2569</v>
      </c>
      <c r="D54" s="501"/>
      <c r="E54" s="499">
        <f>IF(E49&lt;G49,G49/E49-1,E49/G49-1)</f>
        <v>6.9051928163719856E-2</v>
      </c>
      <c r="F54" s="500" t="str">
        <f>IF(OR(E54&gt;=0.2,E54&lt;=-0.2),"超过20%","")</f>
        <v/>
      </c>
      <c r="G54" s="499">
        <f>IF(G49&lt;I49,I49/G49-1,G49/I49-1)</f>
        <v>2.7126080094165506E-2</v>
      </c>
      <c r="H54" s="500" t="str">
        <f>IF(OR(G54&gt;=0.2,G54&lt;=-0.2),"超过20%","")</f>
        <v/>
      </c>
      <c r="I54" s="499">
        <f>IF(I49&lt;E49,E49/I49-1,I49/E49-1)</f>
        <v>4.0818599470973105E-2</v>
      </c>
      <c r="J54" s="500" t="str">
        <f>IF(OR(I54&gt;=0.2,I54&lt;=-0.2),"超过20%","")</f>
        <v/>
      </c>
      <c r="K54" s="1105"/>
      <c r="L54" s="1106"/>
      <c r="M54" s="1144"/>
      <c r="N54" s="1144"/>
      <c r="O54" s="1144"/>
    </row>
    <row r="55" spans="1:29" s="502" customFormat="1" ht="13.5" customHeight="1">
      <c r="A55" s="1145"/>
      <c r="B55" s="1145"/>
      <c r="C55" s="497" t="s">
        <v>2570</v>
      </c>
      <c r="D55" s="501"/>
      <c r="E55" s="499">
        <f>IF(E48&lt;G48,G48/E48-1,E48/G48-1)</f>
        <v>2.7027027027026973E-2</v>
      </c>
      <c r="F55" s="500" t="str">
        <f>IF(OR(E55&gt;=0.3,E55&lt;=-0.3),"超过30%","")</f>
        <v/>
      </c>
      <c r="G55" s="499">
        <f>IF(G48&lt;I48,I48/G48-1,G48/I48-1)</f>
        <v>2.7027027027026973E-2</v>
      </c>
      <c r="H55" s="500" t="str">
        <f>IF(OR(G55&gt;=0.3,G55&lt;=-0.3),"超过30%","")</f>
        <v/>
      </c>
      <c r="I55" s="499">
        <f>IF(I48&lt;E48,E48/I48-1,I48/E48-1)</f>
        <v>0</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2571</v>
      </c>
      <c r="B58" s="759"/>
      <c r="C58" s="764"/>
      <c r="D58" s="764"/>
      <c r="E58" s="764"/>
      <c r="F58" s="765"/>
      <c r="G58" s="765"/>
      <c r="H58" s="764"/>
      <c r="I58" s="764"/>
      <c r="J58" s="764"/>
      <c r="K58" s="766"/>
      <c r="L58" s="1161"/>
      <c r="M58" s="1159"/>
      <c r="N58" s="1159"/>
      <c r="O58" s="1159"/>
      <c r="P58" s="2680"/>
      <c r="Q58" s="504"/>
    </row>
    <row r="59" spans="1:29" s="508" customFormat="1" ht="15">
      <c r="A59" s="505" t="s">
        <v>2536</v>
      </c>
      <c r="B59" s="506"/>
      <c r="C59" s="1574" t="str">
        <f>YEAR(C7)&amp;"-"&amp;MONTH(C7)</f>
        <v>2021-12</v>
      </c>
      <c r="D59" s="1575">
        <f>EDATE(C59,-1)</f>
        <v>44501</v>
      </c>
      <c r="E59" s="1575">
        <f>EDATE(D59,-1)</f>
        <v>44470</v>
      </c>
      <c r="F59" s="1575">
        <f t="shared" ref="F59:O59" si="16">EDATE(E59,-1)</f>
        <v>44440</v>
      </c>
      <c r="G59" s="1575">
        <f t="shared" si="16"/>
        <v>44409</v>
      </c>
      <c r="H59" s="1575">
        <f t="shared" si="16"/>
        <v>44378</v>
      </c>
      <c r="I59" s="1575">
        <f t="shared" si="16"/>
        <v>44348</v>
      </c>
      <c r="J59" s="1575">
        <f t="shared" si="16"/>
        <v>44317</v>
      </c>
      <c r="K59" s="1575">
        <f t="shared" si="16"/>
        <v>44287</v>
      </c>
      <c r="L59" s="1575">
        <f t="shared" si="16"/>
        <v>44256</v>
      </c>
      <c r="M59" s="1575">
        <f t="shared" si="16"/>
        <v>44228</v>
      </c>
      <c r="N59" s="1575">
        <f t="shared" si="16"/>
        <v>44197</v>
      </c>
      <c r="O59" s="1575">
        <f t="shared" si="16"/>
        <v>44166</v>
      </c>
      <c r="P59" s="1571"/>
    </row>
    <row r="60" spans="1:29" s="117" customFormat="1" ht="15">
      <c r="A60" s="509"/>
      <c r="B60" s="510"/>
      <c r="C60" s="1573">
        <v>100</v>
      </c>
      <c r="D60" s="512">
        <f>C60</f>
        <v>100</v>
      </c>
      <c r="E60" s="512">
        <f>D60</f>
        <v>100</v>
      </c>
      <c r="F60" s="512">
        <f>E60</f>
        <v>100</v>
      </c>
      <c r="G60" s="512">
        <v>100</v>
      </c>
      <c r="H60" s="512">
        <v>100</v>
      </c>
      <c r="I60" s="512">
        <v>100</v>
      </c>
      <c r="J60" s="512">
        <v>100</v>
      </c>
      <c r="K60" s="512"/>
      <c r="L60" s="512"/>
      <c r="M60" s="513"/>
      <c r="N60" s="512"/>
      <c r="O60" s="513"/>
      <c r="P60" s="2681"/>
    </row>
    <row r="61" spans="1:29" s="117" customFormat="1" ht="15.75" thickBot="1">
      <c r="A61" s="515" t="s">
        <v>2573</v>
      </c>
      <c r="B61" s="516"/>
      <c r="C61" s="517"/>
      <c r="D61" s="518"/>
      <c r="E61" s="518"/>
      <c r="F61" s="518"/>
      <c r="G61" s="518"/>
      <c r="H61" s="518"/>
      <c r="I61" s="518"/>
      <c r="J61" s="518"/>
      <c r="K61" s="518"/>
      <c r="L61" s="518"/>
      <c r="M61" s="519"/>
      <c r="N61" s="518"/>
      <c r="O61" s="519"/>
      <c r="P61" s="2681"/>
      <c r="Q61" s="504"/>
    </row>
    <row r="62" spans="1:29" s="117" customFormat="1" ht="15">
      <c r="A62" s="521" t="s">
        <v>2538</v>
      </c>
      <c r="B62" s="510"/>
      <c r="C62" s="522" t="s">
        <v>2575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2576</v>
      </c>
      <c r="B64" s="528" t="s">
        <v>2542</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7"/>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3"/>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3"/>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3"/>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3"/>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3"/>
      <c r="Q86" s="504"/>
    </row>
    <row r="87" spans="1:17" s="117" customFormat="1" ht="27.75" thickTop="1">
      <c r="A87" s="579"/>
      <c r="B87" s="538" t="s">
        <v>2687</v>
      </c>
      <c r="C87" s="2971" t="s">
        <v>3098</v>
      </c>
      <c r="D87" s="2971" t="s">
        <v>3100</v>
      </c>
      <c r="E87" s="2971" t="s">
        <v>3101</v>
      </c>
      <c r="F87" s="2971" t="s">
        <v>3102</v>
      </c>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71" t="s">
        <v>3104</v>
      </c>
      <c r="D89" s="2971" t="s">
        <v>3106</v>
      </c>
      <c r="E89" s="2971" t="s">
        <v>3108</v>
      </c>
      <c r="F89" s="2634"/>
      <c r="G89" s="554"/>
      <c r="H89" s="554"/>
      <c r="I89" s="554"/>
      <c r="J89" s="554"/>
      <c r="K89" s="554"/>
      <c r="L89" s="554"/>
      <c r="M89" s="581"/>
      <c r="N89" s="1151"/>
      <c r="O89" s="1151"/>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2551</v>
      </c>
      <c r="B101" s="528" t="s">
        <v>2600</v>
      </c>
      <c r="C101" s="2972" t="s">
        <v>3110</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3"/>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4"/>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4"/>
      <c r="Q105" s="559"/>
    </row>
    <row r="106" spans="1:17" ht="15" thickTop="1">
      <c r="A106" s="599"/>
      <c r="B106" s="538" t="s">
        <v>2602</v>
      </c>
      <c r="C106" s="2971" t="s">
        <v>3112</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2604</v>
      </c>
      <c r="C108" s="2971" t="s">
        <v>3114</v>
      </c>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3"/>
      <c r="Q112" s="504"/>
    </row>
    <row r="113" spans="1:17" s="471" customFormat="1" ht="15" thickTop="1">
      <c r="A113" s="593"/>
      <c r="B113" s="538" t="s">
        <v>2688</v>
      </c>
      <c r="C113" s="2971" t="s">
        <v>3116</v>
      </c>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4"/>
      <c r="Q114" s="559"/>
    </row>
    <row r="115" spans="1:17" ht="15" thickTop="1">
      <c r="A115" s="599"/>
      <c r="B115" s="538" t="s">
        <v>2605</v>
      </c>
      <c r="C115" s="2971" t="s">
        <v>3118</v>
      </c>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3"/>
      <c r="Q116" s="504"/>
    </row>
    <row r="117" spans="1:17" ht="15" thickTop="1">
      <c r="A117" s="599"/>
      <c r="B117" s="538" t="s">
        <v>2606</v>
      </c>
      <c r="C117" s="2971" t="s">
        <v>3119</v>
      </c>
      <c r="D117" s="2971" t="s">
        <v>3121</v>
      </c>
      <c r="E117" s="2971" t="s">
        <v>3122</v>
      </c>
      <c r="F117" s="554"/>
      <c r="G117" s="554"/>
      <c r="H117" s="583"/>
      <c r="I117" s="583"/>
      <c r="J117" s="583"/>
      <c r="K117" s="584"/>
      <c r="L117" s="585"/>
      <c r="M117" s="586"/>
      <c r="N117" s="1152"/>
      <c r="O117" s="1152"/>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3"/>
      <c r="Q118" s="504"/>
    </row>
    <row r="119" spans="1:17" ht="15" thickTop="1">
      <c r="A119" s="599"/>
      <c r="B119" s="636" t="s">
        <v>2689</v>
      </c>
      <c r="C119" s="2973" t="s">
        <v>3124</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3"/>
      <c r="O120" s="1153"/>
      <c r="P120" s="2683"/>
      <c r="Q120" s="504"/>
    </row>
    <row r="121" spans="1:17" s="471" customFormat="1" ht="15" thickTop="1">
      <c r="A121" s="593"/>
      <c r="B121" s="538" t="s">
        <v>2672</v>
      </c>
      <c r="C121" s="554" t="s">
        <v>3127</v>
      </c>
      <c r="D121" s="554" t="s">
        <v>3126</v>
      </c>
      <c r="E121" s="554" t="s">
        <v>3125</v>
      </c>
      <c r="F121" s="583" t="s">
        <v>3161</v>
      </c>
      <c r="G121" s="555" t="s">
        <v>3162</v>
      </c>
      <c r="H121" s="555" t="s">
        <v>3163</v>
      </c>
      <c r="I121" s="555"/>
      <c r="J121" s="555"/>
      <c r="K121" s="555"/>
      <c r="L121" s="556"/>
      <c r="M121" s="557"/>
      <c r="N121" s="1154"/>
      <c r="O121" s="1154"/>
      <c r="P121" s="2684"/>
      <c r="Q121" s="559"/>
    </row>
    <row r="122" spans="1:17" s="471" customFormat="1" ht="15.75" thickBot="1">
      <c r="A122" s="553"/>
      <c r="B122" s="535"/>
      <c r="C122" s="560">
        <f>D122-1</f>
        <v>98</v>
      </c>
      <c r="D122" s="560">
        <f>E122-1</f>
        <v>99</v>
      </c>
      <c r="E122" s="560">
        <v>100</v>
      </c>
      <c r="F122" s="560">
        <f>E122-1</f>
        <v>99</v>
      </c>
      <c r="G122" s="560">
        <f>F122-1</f>
        <v>98</v>
      </c>
      <c r="H122" s="560">
        <f>G122-1</f>
        <v>97</v>
      </c>
      <c r="I122" s="560"/>
      <c r="J122" s="560"/>
      <c r="K122" s="560"/>
      <c r="L122" s="560"/>
      <c r="M122" s="560"/>
      <c r="N122" s="1154"/>
      <c r="O122" s="1154"/>
      <c r="P122" s="2684"/>
      <c r="Q122" s="559"/>
    </row>
    <row r="123" spans="1:17" ht="15" thickTop="1">
      <c r="A123" s="599"/>
      <c r="B123" s="538" t="s">
        <v>2608</v>
      </c>
      <c r="C123" s="2971" t="s">
        <v>3114</v>
      </c>
      <c r="D123" s="2971" t="s">
        <v>3129</v>
      </c>
      <c r="E123" s="2971" t="s">
        <v>3130</v>
      </c>
      <c r="F123" s="2973" t="s">
        <v>3131</v>
      </c>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I5:J5"/>
    <mergeCell ref="G5:H5"/>
    <mergeCell ref="G6:H6"/>
    <mergeCell ref="C6:D6"/>
    <mergeCell ref="E6:F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t="s">
        <v>3136</v>
      </c>
      <c r="D1" s="1819" t="s">
        <v>70</v>
      </c>
      <c r="E1" s="1820" t="s">
        <v>1381</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1508</v>
      </c>
      <c r="B2" s="1843" t="e">
        <f ca="1">C40+J29+L46</f>
        <v>#N/A</v>
      </c>
      <c r="C2" s="1844" t="s">
        <v>1509</v>
      </c>
      <c r="D2" s="1844"/>
      <c r="E2" s="1845"/>
      <c r="F2" s="1846"/>
      <c r="G2" s="1847"/>
      <c r="H2" s="1839"/>
      <c r="I2" s="1839"/>
      <c r="J2" s="1839"/>
      <c r="K2" s="1840"/>
      <c r="L2" s="1839"/>
      <c r="M2" s="1839"/>
    </row>
    <row r="3" spans="1:37" ht="18" customHeight="1" thickBot="1">
      <c r="A3" s="1848" t="s">
        <v>1510</v>
      </c>
      <c r="B3" s="1849">
        <f ca="1">IF(ISERROR(B2*10000/F43),0,ROUND(B2*10000/F43,0))</f>
        <v>0</v>
      </c>
      <c r="C3" s="1844" t="s">
        <v>1511</v>
      </c>
      <c r="D3" s="1844"/>
      <c r="E3" s="1845"/>
      <c r="F3" s="1846"/>
      <c r="G3" s="1847"/>
      <c r="H3" s="744" t="s">
        <v>1581</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t="e">
        <f ca="1">C6+C10+C12</f>
        <v>#N/A</v>
      </c>
      <c r="D5" s="1821" t="s">
        <v>1396</v>
      </c>
      <c r="E5" s="1293"/>
      <c r="F5" s="1294"/>
      <c r="G5" s="1850"/>
      <c r="H5" s="344">
        <v>1</v>
      </c>
      <c r="I5" s="345" t="s">
        <v>1395</v>
      </c>
      <c r="J5" s="1292" t="e">
        <f ca="1">J6+J10+J12</f>
        <v>#N/A</v>
      </c>
      <c r="K5" s="1821" t="s">
        <v>1396</v>
      </c>
      <c r="L5" s="1293"/>
      <c r="M5" s="1294"/>
    </row>
    <row r="6" spans="1:37" ht="18" customHeight="1">
      <c r="A6" s="1291" t="s">
        <v>1031</v>
      </c>
      <c r="B6" s="3249" t="s">
        <v>1397</v>
      </c>
      <c r="C6" s="1296" t="e">
        <f ca="1">ROUND(F6*F8*F7*(1-F9)/10000,0)</f>
        <v>#N/A</v>
      </c>
      <c r="D6" s="164" t="s">
        <v>3016</v>
      </c>
      <c r="E6" s="347" t="s">
        <v>1399</v>
      </c>
      <c r="F6" s="348" t="e">
        <f ca="1">INDIRECT("'数据-取费表'!u"&amp;$G$1)</f>
        <v>#N/A</v>
      </c>
      <c r="G6" s="1850"/>
      <c r="H6" s="1291" t="s">
        <v>1031</v>
      </c>
      <c r="I6" s="3249" t="s">
        <v>1397</v>
      </c>
      <c r="J6" s="346" t="e">
        <f ca="1">ROUND(M6*M8*M7*(1-M9)/10000,0)</f>
        <v>#N/A</v>
      </c>
      <c r="K6" s="164" t="s">
        <v>3015</v>
      </c>
      <c r="L6" s="347" t="s">
        <v>1399</v>
      </c>
      <c r="M6" s="348" t="e">
        <f ca="1">INDIRECT("'数据-取费表'!z"&amp;$G$1)</f>
        <v>#N/A</v>
      </c>
    </row>
    <row r="7" spans="1:37" ht="18" customHeight="1">
      <c r="A7" s="1295"/>
      <c r="B7" s="3250"/>
      <c r="C7" s="1297"/>
      <c r="D7" s="352"/>
      <c r="E7" s="1298" t="s">
        <v>1400</v>
      </c>
      <c r="F7" s="348" t="e">
        <f ca="1">IF(INDIRECT("'数据-取费表'!ah"&amp;$G$1)="",INDIRECT("'数据-取费表'!k"&amp;$G$1),INDIRECT("'数据-取费表'!ah"&amp;$G$1))</f>
        <v>#N/A</v>
      </c>
      <c r="G7" s="1850"/>
      <c r="H7" s="349"/>
      <c r="I7" s="3250"/>
      <c r="J7" s="351"/>
      <c r="K7" s="352"/>
      <c r="L7" s="347" t="s">
        <v>1400</v>
      </c>
      <c r="M7" s="348" t="e">
        <f ca="1">F7</f>
        <v>#N/A</v>
      </c>
    </row>
    <row r="8" spans="1:37" ht="18" customHeight="1">
      <c r="A8" s="349"/>
      <c r="B8" s="3250"/>
      <c r="C8" s="351"/>
      <c r="D8" s="352"/>
      <c r="E8" s="347" t="s">
        <v>1401</v>
      </c>
      <c r="F8" s="348" t="e">
        <f ca="1">INDIRECT("'数据-取费表'!ai"&amp;$G$1)</f>
        <v>#N/A</v>
      </c>
      <c r="G8" s="1850"/>
      <c r="H8" s="349"/>
      <c r="I8" s="3250"/>
      <c r="J8" s="351"/>
      <c r="K8" s="352"/>
      <c r="L8" s="347" t="s">
        <v>1401</v>
      </c>
      <c r="M8" s="348" t="e">
        <f ca="1">INDIRECT("'数据-取费表'!ai"&amp;$G$1)</f>
        <v>#N/A</v>
      </c>
    </row>
    <row r="9" spans="1:37" ht="18" customHeight="1">
      <c r="A9" s="349"/>
      <c r="B9" s="3251"/>
      <c r="C9" s="351"/>
      <c r="D9" s="352"/>
      <c r="E9" s="347" t="s">
        <v>1402</v>
      </c>
      <c r="F9" s="357" t="e">
        <f ca="1">INDIRECT("'数据-取费表'!w"&amp;$G$1)</f>
        <v>#N/A</v>
      </c>
      <c r="G9" s="1850"/>
      <c r="H9" s="349"/>
      <c r="I9" s="3251"/>
      <c r="J9" s="351"/>
      <c r="K9" s="352"/>
      <c r="L9" s="358" t="s">
        <v>1402</v>
      </c>
      <c r="M9" s="359" t="e">
        <f ca="1">INDIRECT("'数据-取费表'!ab"&amp;$G$1)</f>
        <v>#N/A</v>
      </c>
    </row>
    <row r="10" spans="1:37" ht="18" customHeight="1">
      <c r="A10" s="1291" t="s">
        <v>1035</v>
      </c>
      <c r="B10" s="1822" t="s">
        <v>1403</v>
      </c>
      <c r="C10" s="361" t="e">
        <f ca="1">ROUND(IF(F10="押一",C6/12*F11,IF(F10="押二",C6/12*2*F11,IF(F10="押三",C6/12*3*F11,C11*F11))),0)</f>
        <v>#N/A</v>
      </c>
      <c r="D10" s="1823" t="s">
        <v>3025</v>
      </c>
      <c r="E10" s="358" t="s">
        <v>1404</v>
      </c>
      <c r="F10" s="1366" t="s">
        <v>3142</v>
      </c>
      <c r="G10" s="1850"/>
      <c r="H10" s="1291" t="s">
        <v>1035</v>
      </c>
      <c r="I10" s="1822" t="s">
        <v>1403</v>
      </c>
      <c r="J10" s="346" t="e">
        <f ca="1">ROUND(IF(M10="押一",J6/12*M11,IF(M10="押二",J6/12*2*M11,IF(M10="押三",J6/12*3*M11,J11*M11))),0)</f>
        <v>#N/A</v>
      </c>
      <c r="K10" s="1823" t="s">
        <v>3024</v>
      </c>
      <c r="L10" s="358" t="s">
        <v>1404</v>
      </c>
      <c r="M10" s="1366" t="s">
        <v>3142</v>
      </c>
    </row>
    <row r="11" spans="1:37" ht="18" customHeight="1">
      <c r="A11" s="353"/>
      <c r="B11" s="1824" t="s">
        <v>1382</v>
      </c>
      <c r="C11" s="1178">
        <f>租约!G5/10000</f>
        <v>276.110275</v>
      </c>
      <c r="D11" s="1825"/>
      <c r="E11" s="358" t="s">
        <v>1405</v>
      </c>
      <c r="F11" s="359">
        <f ca="1">'数据-取费表'!B39</f>
        <v>1.4999999999999999E-2</v>
      </c>
      <c r="G11" s="1850"/>
      <c r="H11" s="1299"/>
      <c r="I11" s="1824" t="s">
        <v>1382</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t="e">
        <f ca="1">ROUND(C29*F13,0)</f>
        <v>#N/A</v>
      </c>
      <c r="D13" s="1331" t="s">
        <v>1408</v>
      </c>
      <c r="E13" s="1331" t="s">
        <v>1409</v>
      </c>
      <c r="F13" s="1332" t="e">
        <f ca="1">INDIRECT("'数据-取费表'!y"&amp;$G$1)</f>
        <v>#N/A</v>
      </c>
      <c r="G13" s="1850"/>
      <c r="H13" s="1329">
        <v>2</v>
      </c>
      <c r="I13" s="1330" t="s">
        <v>1407</v>
      </c>
      <c r="J13" s="1290" t="e">
        <f ca="1">ROUND(J14*J15,0)</f>
        <v>#N/A</v>
      </c>
      <c r="K13" s="1337" t="s">
        <v>1408</v>
      </c>
      <c r="L13" s="1851"/>
      <c r="M13" s="1852"/>
    </row>
    <row r="14" spans="1:37" ht="18" customHeight="1">
      <c r="A14" s="1201" t="s">
        <v>1030</v>
      </c>
      <c r="B14" s="347" t="s">
        <v>1410</v>
      </c>
      <c r="C14" s="363" t="e">
        <f ca="1">INDIRECT("'数据-取费表'!m"&amp;$G$1)+INDIRECT("'数据-取费表'!t"&amp;$G$1)</f>
        <v>#N/A</v>
      </c>
      <c r="D14" s="1799" t="s">
        <v>1411</v>
      </c>
      <c r="E14" s="1793"/>
      <c r="F14" s="364"/>
      <c r="G14" s="1850"/>
      <c r="H14" s="1201" t="s">
        <v>1031</v>
      </c>
      <c r="I14" s="347" t="s">
        <v>1412</v>
      </c>
      <c r="J14" s="24" t="e">
        <f ca="1">C29</f>
        <v>#N/A</v>
      </c>
      <c r="K14" s="15"/>
      <c r="L14" s="979"/>
      <c r="M14" s="980"/>
    </row>
    <row r="15" spans="1:37" s="1857" customFormat="1" ht="18" customHeight="1" thickBot="1">
      <c r="A15" s="1201" t="s">
        <v>1032</v>
      </c>
      <c r="B15" s="347" t="s">
        <v>1413</v>
      </c>
      <c r="C15" s="24" t="e">
        <f ca="1">ROUND(C14*F15,0)</f>
        <v>#N/A</v>
      </c>
      <c r="D15" s="365" t="s">
        <v>1414</v>
      </c>
      <c r="E15" s="365" t="s">
        <v>1415</v>
      </c>
      <c r="F15" s="366">
        <f>'数据-取费表'!B33</f>
        <v>0.03</v>
      </c>
      <c r="G15" s="1853"/>
      <c r="H15" s="1339" t="s">
        <v>1035</v>
      </c>
      <c r="I15" s="1340" t="s">
        <v>1409</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t="e">
        <f ca="1">ROUND(INDIRECT("'数据-取费表'!m"&amp;$G$1)*F16,0)</f>
        <v>#N/A</v>
      </c>
      <c r="D16" s="347" t="s">
        <v>1414</v>
      </c>
      <c r="E16" s="347" t="s">
        <v>1415</v>
      </c>
      <c r="F16" s="367" t="e">
        <f ca="1">IF(INDIRECT("'数据-取费表'!c"&amp;$G$1)="住宅",'数据-取费表'!B34,0)</f>
        <v>#N/A</v>
      </c>
      <c r="G16" s="1850"/>
      <c r="H16" s="1329" t="s">
        <v>1026</v>
      </c>
      <c r="I16" s="1330" t="s">
        <v>1417</v>
      </c>
      <c r="J16" s="355" t="e">
        <f ca="1">ROUND(J17+J22+J23+J24,0)</f>
        <v>#N/A</v>
      </c>
      <c r="K16" s="1337" t="s">
        <v>1418</v>
      </c>
      <c r="L16" s="1338"/>
      <c r="M16" s="1294"/>
    </row>
    <row r="17" spans="1:37" s="1857" customFormat="1" ht="18" customHeight="1">
      <c r="A17" s="1201" t="s">
        <v>1384</v>
      </c>
      <c r="B17" s="347" t="s">
        <v>1419</v>
      </c>
      <c r="C17" s="24" t="e">
        <f ca="1">ROUND(F17*(F43+INDIRECT("'数据-取费表'!S"&amp;$G$1))/10000,0)</f>
        <v>#N/A</v>
      </c>
      <c r="D17" s="347" t="s">
        <v>1420</v>
      </c>
      <c r="E17" s="347" t="s">
        <v>1421</v>
      </c>
      <c r="F17" s="26">
        <f>'数据-取费表'!B35</f>
        <v>150</v>
      </c>
      <c r="G17" s="1853"/>
      <c r="H17" s="1201" t="s">
        <v>1031</v>
      </c>
      <c r="I17" s="347" t="s">
        <v>1422</v>
      </c>
      <c r="J17" s="24" t="e">
        <f ca="1">ROUND(IF(项目基本情况!B11="自然人",J6*M17/(1+'数据-取费表'!C42),J18+J19+J20),1)</f>
        <v>#N/A</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t="e">
        <f ca="1">ROUND(C14*F18,0)</f>
        <v>#N/A</v>
      </c>
      <c r="D18" s="347" t="s">
        <v>1414</v>
      </c>
      <c r="E18" s="347" t="s">
        <v>1415</v>
      </c>
      <c r="F18" s="367">
        <f>'数据-取费表'!B36</f>
        <v>1.4999999999999999E-2</v>
      </c>
      <c r="G18" s="1853"/>
      <c r="H18" s="1201" t="s">
        <v>1030</v>
      </c>
      <c r="I18" s="347" t="s">
        <v>1426</v>
      </c>
      <c r="J18" s="24" t="e">
        <f ca="1">ROUND(J6*M18/(1+'数据-取费表'!C42),2)</f>
        <v>#N/A</v>
      </c>
      <c r="K18" s="1797" t="s">
        <v>1427</v>
      </c>
      <c r="L18" s="347" t="s">
        <v>1415</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t="e">
        <f ca="1">SUM(C14:C18)</f>
        <v>#N/A</v>
      </c>
      <c r="D19" s="140" t="s">
        <v>1429</v>
      </c>
      <c r="E19" s="1817"/>
      <c r="F19" s="26"/>
      <c r="G19" s="1850"/>
      <c r="H19" s="1201" t="s">
        <v>1032</v>
      </c>
      <c r="I19" s="347" t="s">
        <v>1430</v>
      </c>
      <c r="J19" s="24" t="e">
        <f ca="1">IF(K19="按租金收入计税",ROUND(J6*M19/(1+'数据-取费表'!C42),2),ROUND(C29*M19*0.7,2))</f>
        <v>#N/A</v>
      </c>
      <c r="K19" s="1827" t="s">
        <v>3141</v>
      </c>
      <c r="L19" s="347" t="s">
        <v>1415</v>
      </c>
      <c r="M19" s="367">
        <f>IF(K19="按租金收入计税",'数据-取费表'!B51,'数据-取费表'!B50)</f>
        <v>0.12</v>
      </c>
    </row>
    <row r="20" spans="1:37" s="1857" customFormat="1" ht="18" customHeight="1">
      <c r="A20" s="1201" t="s">
        <v>1035</v>
      </c>
      <c r="B20" s="347" t="s">
        <v>1432</v>
      </c>
      <c r="C20" s="24" t="e">
        <f ca="1">ROUND(C19*F20,0)</f>
        <v>#N/A</v>
      </c>
      <c r="D20" s="369" t="s">
        <v>1433</v>
      </c>
      <c r="E20" s="347" t="s">
        <v>1415</v>
      </c>
      <c r="F20" s="367">
        <f>'数据-取费表'!B37</f>
        <v>0.02</v>
      </c>
      <c r="G20" s="1853"/>
      <c r="H20" s="1201" t="s">
        <v>1383</v>
      </c>
      <c r="I20" s="164" t="s">
        <v>1434</v>
      </c>
      <c r="J20" s="25" t="e">
        <f ca="1">ROUND(M20*M21/10000,2)</f>
        <v>#N/A</v>
      </c>
      <c r="K20" s="370" t="s">
        <v>1435</v>
      </c>
      <c r="L20" s="347" t="s">
        <v>1436</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18</v>
      </c>
      <c r="D21" s="369" t="s">
        <v>1438</v>
      </c>
      <c r="E21" s="347" t="s">
        <v>1439</v>
      </c>
      <c r="F21" s="367">
        <f>'数据-取费表'!B38</f>
        <v>0.02</v>
      </c>
      <c r="G21" s="1853"/>
      <c r="H21" s="372"/>
      <c r="I21" s="356"/>
      <c r="J21" s="29"/>
      <c r="K21" s="373"/>
      <c r="L21" s="347" t="s">
        <v>1440</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t="e">
        <f ca="1">ROUND(J14*M22,1)</f>
        <v>#N/A</v>
      </c>
      <c r="K22" s="1797" t="s">
        <v>1443</v>
      </c>
      <c r="L22" s="347" t="s">
        <v>1415</v>
      </c>
      <c r="M22" s="374" t="e">
        <f ca="1">INDIRECT("'数据-取费表'!Ak"&amp;$G$1)</f>
        <v>#N/A</v>
      </c>
    </row>
    <row r="23" spans="1:37" s="1857" customFormat="1" ht="18" customHeight="1">
      <c r="A23" s="1201" t="s">
        <v>1030</v>
      </c>
      <c r="B23" s="347" t="s">
        <v>1444</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t="e">
        <f ca="1">ROUND(J13*M23,1)</f>
        <v>#N/A</v>
      </c>
      <c r="K23" s="1797" t="s">
        <v>1447</v>
      </c>
      <c r="L23" s="347" t="s">
        <v>1448</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t="e">
        <f ca="1">ROUND(J5*M24,1)</f>
        <v>#N/A</v>
      </c>
      <c r="K24" s="1342" t="s">
        <v>1452</v>
      </c>
      <c r="L24" s="1340" t="s">
        <v>1448</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1453</v>
      </c>
      <c r="B25" s="347" t="s">
        <v>1454</v>
      </c>
      <c r="C25" s="24"/>
      <c r="D25" s="140" t="s">
        <v>1455</v>
      </c>
      <c r="E25" s="1817"/>
      <c r="F25" s="26"/>
      <c r="G25" s="1850"/>
      <c r="H25" s="1329" t="s">
        <v>1027</v>
      </c>
      <c r="I25" s="1344" t="s">
        <v>1456</v>
      </c>
      <c r="J25" s="355" t="e">
        <f ca="1">J5-J16</f>
        <v>#N/A</v>
      </c>
      <c r="K25" s="1345" t="s">
        <v>1457</v>
      </c>
      <c r="L25" s="1346"/>
      <c r="M25" s="1347"/>
    </row>
    <row r="26" spans="1:37">
      <c r="A26" s="1201" t="s">
        <v>1030</v>
      </c>
      <c r="B26" s="347" t="s">
        <v>1458</v>
      </c>
      <c r="C26" s="24" t="e">
        <f ca="1">ROUND((C19+C20)*F26,0)</f>
        <v>#N/A</v>
      </c>
      <c r="D26" s="369" t="s">
        <v>1459</v>
      </c>
      <c r="E26" s="358" t="s">
        <v>1460</v>
      </c>
      <c r="F26" s="357" t="e">
        <f ca="1">INDIRECT("'数据-取费表'!q"&amp;$G$1)</f>
        <v>#N/A</v>
      </c>
      <c r="G26" s="1850"/>
      <c r="H26" s="344" t="s">
        <v>1028</v>
      </c>
      <c r="I26" s="345" t="s">
        <v>1461</v>
      </c>
      <c r="J26" s="346" t="e">
        <f ca="1">IF(J5&lt;&gt;0,ROUND(J25*(1-((1+M28)/(1+M26))^M27)/(M26-M28),0),0)</f>
        <v>#N/A</v>
      </c>
      <c r="K26" s="370" t="s">
        <v>1462</v>
      </c>
      <c r="L26" s="347" t="s">
        <v>1463</v>
      </c>
      <c r="M26" s="357" t="e">
        <f ca="1">INDIRECT("'数据-取费表'!I"&amp;$G$1)</f>
        <v>#N/A</v>
      </c>
    </row>
    <row r="27" spans="1:37" ht="18" customHeight="1">
      <c r="A27" s="1201" t="s">
        <v>1032</v>
      </c>
      <c r="B27" s="347" t="s">
        <v>1464</v>
      </c>
      <c r="C27" s="24" t="e">
        <f ca="1">ROUND(F21*F26,4)</f>
        <v>#N/A</v>
      </c>
      <c r="D27" s="369" t="s">
        <v>1465</v>
      </c>
      <c r="E27" s="365"/>
      <c r="F27" s="366"/>
      <c r="G27" s="1850"/>
      <c r="H27" s="349"/>
      <c r="I27" s="350"/>
      <c r="J27" s="351"/>
      <c r="K27" s="378" t="s">
        <v>1466</v>
      </c>
      <c r="L27" s="347" t="s">
        <v>1467</v>
      </c>
      <c r="M27" s="379" t="e">
        <f ca="1">INDIRECT("'数据-取费表'!ag"&amp;$G$1)</f>
        <v>#N/A</v>
      </c>
    </row>
    <row r="28" spans="1:37" s="1857" customFormat="1" ht="18" customHeight="1">
      <c r="A28" s="1201" t="s">
        <v>1033</v>
      </c>
      <c r="B28" s="347" t="s">
        <v>1468</v>
      </c>
      <c r="C28" s="24">
        <f>ROUND(F28/(1+'数据-取费表'!C42),4)</f>
        <v>5.33E-2</v>
      </c>
      <c r="D28" s="369" t="s">
        <v>1469</v>
      </c>
      <c r="E28" s="347" t="s">
        <v>1415</v>
      </c>
      <c r="F28" s="367">
        <f>'数据-取费表'!B41</f>
        <v>5.6000000000000001E-2</v>
      </c>
      <c r="G28" s="1853"/>
      <c r="H28" s="353"/>
      <c r="I28" s="354"/>
      <c r="J28" s="355"/>
      <c r="K28" s="373"/>
      <c r="L28" s="347" t="s">
        <v>1470</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t="e">
        <f ca="1">ROUND((C19+C20+C23+C26)/(1-F21-C24-C27-C28),0)</f>
        <v>#N/A</v>
      </c>
      <c r="D29" s="1342"/>
      <c r="E29" s="1340"/>
      <c r="F29" s="1343"/>
      <c r="G29" s="1853"/>
      <c r="H29" s="380" t="s">
        <v>1029</v>
      </c>
      <c r="I29" s="381" t="s">
        <v>1472</v>
      </c>
      <c r="J29" s="382" t="e">
        <f ca="1">ROUND(J26/(1+F40)^F41,0)</f>
        <v>#N/A</v>
      </c>
      <c r="K29" s="383" t="s">
        <v>1473</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t="e">
        <f ca="1">ROUND(C31+C36+C37+C38,0)</f>
        <v>#N/A</v>
      </c>
      <c r="D30" s="1337" t="s">
        <v>1418</v>
      </c>
      <c r="E30" s="1338"/>
      <c r="F30" s="1294"/>
      <c r="G30" s="1850"/>
      <c r="H30" s="745"/>
      <c r="I30" s="746"/>
      <c r="J30" s="747"/>
      <c r="K30" s="748"/>
      <c r="L30" s="749"/>
      <c r="M30" s="750"/>
    </row>
    <row r="31" spans="1:37" ht="18" customHeight="1">
      <c r="A31" s="1201" t="s">
        <v>1031</v>
      </c>
      <c r="B31" s="347" t="s">
        <v>1422</v>
      </c>
      <c r="C31" s="24" t="e">
        <f ca="1">ROUND(IF(项目基本情况!B11="自然人",C6*F31/(1+'数据-取费表'!C42),C32+C33+C34),1)</f>
        <v>#N/A</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t="e">
        <f ca="1">IF(项目基本情况!B11="自然人","——",ROUND(C6*F32/(1+'数据-取费表'!C42),2))</f>
        <v>#N/A</v>
      </c>
      <c r="D32" s="1797" t="s">
        <v>1427</v>
      </c>
      <c r="E32" s="347" t="s">
        <v>1415</v>
      </c>
      <c r="F32" s="377">
        <f>'数据-取费表'!B41</f>
        <v>5.6000000000000001E-2</v>
      </c>
      <c r="G32" s="1850"/>
      <c r="H32" s="745"/>
      <c r="I32" s="746"/>
      <c r="J32" s="747"/>
      <c r="K32" s="748"/>
      <c r="L32" s="749"/>
      <c r="M32" s="750"/>
    </row>
    <row r="33" spans="1:18" ht="18" customHeight="1">
      <c r="A33" s="1201" t="s">
        <v>1032</v>
      </c>
      <c r="B33" s="347" t="s">
        <v>1430</v>
      </c>
      <c r="C33" s="24" t="e">
        <f ca="1">IF(项目基本情况!B11="自然人","——",IF(D33="按租金收入计税",ROUND(C6*F33/(1+'数据-取费表'!C42),2),IF(D33="按房产原值计税",ROUND(C29*F33*0.7,2),INDIRECT("'数据-取费表'!Aj"&amp;$G$1))))</f>
        <v>#N/A</v>
      </c>
      <c r="D33" s="1827" t="s">
        <v>3141</v>
      </c>
      <c r="E33" s="347" t="s">
        <v>1415</v>
      </c>
      <c r="F33" s="367">
        <f>IF(D33="按票据","——",IF(D33="按租金收入计税",'数据-取费表'!B51,'数据-取费表'!B50))</f>
        <v>0.12</v>
      </c>
      <c r="G33" s="1850"/>
      <c r="H33" s="1858"/>
      <c r="I33" s="1859"/>
      <c r="J33" s="1860"/>
      <c r="K33" s="1861"/>
      <c r="L33" s="1858"/>
      <c r="M33" s="1858"/>
    </row>
    <row r="34" spans="1:18" ht="18" customHeight="1">
      <c r="A34" s="1291" t="s">
        <v>1383</v>
      </c>
      <c r="B34" s="164" t="s">
        <v>1434</v>
      </c>
      <c r="C34" s="25" t="e">
        <f ca="1">IF(项目基本情况!B11="自然人","——",ROUND(F34*F35/10000,2))</f>
        <v>#N/A</v>
      </c>
      <c r="D34" s="370" t="s">
        <v>1435</v>
      </c>
      <c r="E34" s="347" t="s">
        <v>1436</v>
      </c>
      <c r="F34" s="371">
        <f>'数据-取费表'!B52</f>
        <v>12</v>
      </c>
      <c r="G34" s="1850"/>
      <c r="H34" s="745"/>
      <c r="I34" s="1859"/>
      <c r="J34" s="1860"/>
      <c r="K34" s="1862"/>
      <c r="L34" s="1863"/>
      <c r="M34" s="1863"/>
    </row>
    <row r="35" spans="1:18" ht="18" customHeight="1">
      <c r="A35" s="1353"/>
      <c r="B35" s="1351"/>
      <c r="C35" s="29"/>
      <c r="D35" s="373"/>
      <c r="E35" s="347" t="s">
        <v>1440</v>
      </c>
      <c r="F35" s="348" t="e">
        <f ca="1">INDIRECT("'数据-取费表'!r"&amp;$G$1)</f>
        <v>#N/A</v>
      </c>
      <c r="G35" s="1850"/>
      <c r="H35" s="745"/>
      <c r="I35" s="1859"/>
      <c r="J35" s="1860"/>
      <c r="K35" s="1861"/>
      <c r="L35" s="1858"/>
      <c r="M35" s="1858"/>
    </row>
    <row r="36" spans="1:18" ht="18" customHeight="1">
      <c r="A36" s="1352" t="s">
        <v>1035</v>
      </c>
      <c r="B36" s="347" t="s">
        <v>1442</v>
      </c>
      <c r="C36" s="24" t="e">
        <f ca="1">ROUND(C29*F36,1)</f>
        <v>#N/A</v>
      </c>
      <c r="D36" s="1797" t="s">
        <v>1475</v>
      </c>
      <c r="E36" s="347" t="s">
        <v>1415</v>
      </c>
      <c r="F36" s="374" t="e">
        <f ca="1">INDIRECT("'数据-取费表'!Ak"&amp;$G$1)</f>
        <v>#N/A</v>
      </c>
      <c r="G36" s="1850"/>
      <c r="H36" s="1858"/>
      <c r="I36" s="1859"/>
      <c r="J36" s="1860"/>
      <c r="K36" s="751"/>
      <c r="L36" s="1858"/>
      <c r="M36" s="1858"/>
    </row>
    <row r="37" spans="1:18" ht="18" customHeight="1">
      <c r="A37" s="1201" t="s">
        <v>1071</v>
      </c>
      <c r="B37" s="347" t="s">
        <v>1446</v>
      </c>
      <c r="C37" s="24" t="e">
        <f ca="1">ROUND(C13*F37,1)</f>
        <v>#N/A</v>
      </c>
      <c r="D37" s="1797" t="s">
        <v>1447</v>
      </c>
      <c r="E37" s="347" t="s">
        <v>1448</v>
      </c>
      <c r="F37" s="376" t="e">
        <f ca="1">INDIRECT("'数据-取费表'!Al"&amp;$G$1)</f>
        <v>#N/A</v>
      </c>
      <c r="G37" s="1850"/>
      <c r="H37" s="1858"/>
      <c r="I37" s="1859"/>
      <c r="J37" s="1860"/>
      <c r="K37" s="751"/>
      <c r="L37" s="1858"/>
      <c r="M37" s="1858"/>
    </row>
    <row r="38" spans="1:18" ht="18" customHeight="1" thickBot="1">
      <c r="A38" s="1339" t="s">
        <v>1387</v>
      </c>
      <c r="B38" s="1340" t="s">
        <v>1432</v>
      </c>
      <c r="C38" s="1341" t="e">
        <f ca="1">ROUND(C5*F38,1)</f>
        <v>#N/A</v>
      </c>
      <c r="D38" s="1342" t="s">
        <v>1452</v>
      </c>
      <c r="E38" s="1340" t="s">
        <v>1448</v>
      </c>
      <c r="F38" s="1336" t="e">
        <f ca="1">INDIRECT("'数据-取费表'!Am"&amp;$G$1)</f>
        <v>#N/A</v>
      </c>
      <c r="G38" s="1850"/>
      <c r="H38" s="1858"/>
      <c r="I38" s="1859"/>
      <c r="J38" s="1860"/>
      <c r="K38" s="1864"/>
      <c r="L38" s="1858"/>
      <c r="M38" s="1858"/>
    </row>
    <row r="39" spans="1:18" ht="24.6" customHeight="1" thickTop="1">
      <c r="A39" s="1329" t="s">
        <v>1027</v>
      </c>
      <c r="B39" s="1344" t="s">
        <v>1476</v>
      </c>
      <c r="C39" s="355" t="e">
        <f ca="1">C5-C30</f>
        <v>#N/A</v>
      </c>
      <c r="D39" s="1345" t="s">
        <v>1477</v>
      </c>
      <c r="E39" s="1346"/>
      <c r="F39" s="1347"/>
      <c r="G39" s="1850"/>
      <c r="H39" s="1858"/>
      <c r="I39" s="1859"/>
      <c r="J39" s="1860"/>
      <c r="K39" s="1864"/>
      <c r="L39" s="1858"/>
      <c r="M39" s="1858"/>
    </row>
    <row r="40" spans="1:18" ht="18" customHeight="1">
      <c r="A40" s="344" t="s">
        <v>1028</v>
      </c>
      <c r="B40" s="345" t="s">
        <v>1478</v>
      </c>
      <c r="C40" s="346" t="e">
        <f ca="1">ROUND(C39*(1-((1+F42)/(1+F40))^F41)/(F40-F42),0)</f>
        <v>#N/A</v>
      </c>
      <c r="D40" s="370" t="s">
        <v>1462</v>
      </c>
      <c r="E40" s="347" t="s">
        <v>1463</v>
      </c>
      <c r="F40" s="357" t="e">
        <f ca="1">INDIRECT("'数据-取费表'!I"&amp;$G$1)</f>
        <v>#N/A</v>
      </c>
      <c r="G40" s="1850"/>
      <c r="H40" s="1838"/>
      <c r="I40" s="1859"/>
      <c r="J40" s="1860"/>
      <c r="K40" s="1864"/>
      <c r="L40" s="1838"/>
      <c r="M40" s="1838"/>
    </row>
    <row r="41" spans="1:18" ht="18" customHeight="1">
      <c r="A41" s="349"/>
      <c r="B41" s="350"/>
      <c r="C41" s="351"/>
      <c r="D41" s="378" t="s">
        <v>1479</v>
      </c>
      <c r="E41" s="347" t="s">
        <v>1467</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1470</v>
      </c>
      <c r="F42" s="357" t="e">
        <f ca="1">INDIRECT("'数据-取费表'!v"&amp;$G$1)</f>
        <v>#N/A</v>
      </c>
      <c r="G42" s="1850"/>
      <c r="H42" s="732"/>
      <c r="I42" s="1859"/>
      <c r="J42" s="1860"/>
      <c r="K42" s="751"/>
      <c r="L42" s="732"/>
      <c r="M42" s="732"/>
    </row>
    <row r="43" spans="1:18" ht="18" customHeight="1" thickBot="1">
      <c r="A43" s="380" t="s">
        <v>1029</v>
      </c>
      <c r="B43" s="381" t="s">
        <v>1480</v>
      </c>
      <c r="C43" s="382" t="e">
        <f ca="1">ROUND(C40*10000/F43,0)</f>
        <v>#N/A</v>
      </c>
      <c r="D43" s="383" t="s">
        <v>1481</v>
      </c>
      <c r="E43" s="384" t="s">
        <v>1482</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1512</v>
      </c>
      <c r="P45" s="1838"/>
      <c r="Q45" s="1838"/>
      <c r="R45" s="1838"/>
    </row>
    <row r="46" spans="1:18" s="1841" customFormat="1" ht="13.5" thickBot="1">
      <c r="A46" s="1869" t="s">
        <v>1513</v>
      </c>
      <c r="C46" s="1870" t="e">
        <f ca="1">C68-C40</f>
        <v>#N/A</v>
      </c>
      <c r="D46" s="1871" t="str">
        <f>C2</f>
        <v>万元</v>
      </c>
      <c r="E46" s="1865"/>
      <c r="F46" s="1865"/>
      <c r="I46" s="1872" t="s">
        <v>1514</v>
      </c>
      <c r="J46" s="1873"/>
      <c r="K46" s="1874"/>
      <c r="L46" s="1875" t="e">
        <f ca="1">IF(M47="住宅",0,IF(L48&gt;J51,L60,J60))</f>
        <v>#N/A</v>
      </c>
      <c r="O46" s="1876" t="s">
        <v>1515</v>
      </c>
      <c r="P46" s="1877" t="s">
        <v>1516</v>
      </c>
      <c r="Q46" s="1878" t="s">
        <v>1517</v>
      </c>
      <c r="R46" s="1878" t="s">
        <v>1518</v>
      </c>
    </row>
    <row r="47" spans="1:18" s="1841" customFormat="1" ht="13.5" thickBot="1">
      <c r="A47" s="1165" t="s">
        <v>1390</v>
      </c>
      <c r="B47" s="1197" t="s">
        <v>1391</v>
      </c>
      <c r="C47" s="1367" t="s">
        <v>1392</v>
      </c>
      <c r="D47" s="1197" t="s">
        <v>1393</v>
      </c>
      <c r="E47" s="1279" t="s">
        <v>1394</v>
      </c>
      <c r="F47" s="1280"/>
      <c r="G47" s="792"/>
      <c r="I47" s="1879" t="s">
        <v>1519</v>
      </c>
      <c r="J47" s="1880" t="s">
        <v>3111</v>
      </c>
      <c r="K47" s="1881" t="s">
        <v>1520</v>
      </c>
      <c r="L47" s="1882" t="e">
        <f ca="1">INDIRECT("'数据-取费表'!d"&amp;$G$1)</f>
        <v>#N/A</v>
      </c>
      <c r="M47" s="1837" t="str">
        <f>IF(ISNUMBER(FIND("住宅",C1)),"住宅","非住宅")</f>
        <v>非住宅</v>
      </c>
      <c r="O47" s="1883" t="s">
        <v>1036</v>
      </c>
      <c r="P47" s="1884" t="s">
        <v>1521</v>
      </c>
      <c r="Q47" s="1885" t="e">
        <f ca="1">C40+J29</f>
        <v>#N/A</v>
      </c>
      <c r="R47" s="1885" t="s">
        <v>1522</v>
      </c>
    </row>
    <row r="48" spans="1:18" s="1841" customFormat="1" ht="28.5" thickBot="1">
      <c r="A48" s="1360" t="s">
        <v>1131</v>
      </c>
      <c r="B48" s="345" t="s">
        <v>1395</v>
      </c>
      <c r="C48" s="1816" t="e">
        <f ca="1">C49+C53+C55</f>
        <v>#N/A</v>
      </c>
      <c r="D48" s="1362"/>
      <c r="E48" s="1363"/>
      <c r="F48" s="1181"/>
      <c r="G48" s="792"/>
      <c r="H48" s="793"/>
      <c r="I48" s="1886" t="s">
        <v>1523</v>
      </c>
      <c r="J48" s="1887" t="s">
        <v>3143</v>
      </c>
      <c r="K48" s="1888" t="s">
        <v>1524</v>
      </c>
      <c r="L48" s="1889" t="e">
        <f ca="1">INDIRECT("'数据-取费表'!f"&amp;$G$1)</f>
        <v>#N/A</v>
      </c>
      <c r="O48" s="1883" t="s">
        <v>1037</v>
      </c>
      <c r="P48" s="1884" t="s">
        <v>1525</v>
      </c>
      <c r="Q48" s="1885" t="e">
        <f ca="1">J60</f>
        <v>#N/A</v>
      </c>
      <c r="R48" s="1885" t="s">
        <v>1526</v>
      </c>
    </row>
    <row r="49" spans="1:18" s="1841" customFormat="1" ht="13.5" thickBot="1">
      <c r="A49" s="1194" t="s">
        <v>1132</v>
      </c>
      <c r="B49" s="1828" t="s">
        <v>1483</v>
      </c>
      <c r="C49" s="1364" t="e">
        <f ca="1">ROUND(F49*F51*F50*(1-F52)/10000,0)</f>
        <v>#N/A</v>
      </c>
      <c r="D49" s="1276" t="s">
        <v>3017</v>
      </c>
      <c r="E49" s="1829" t="s">
        <v>1484</v>
      </c>
      <c r="F49" s="1281"/>
      <c r="G49" s="1890"/>
      <c r="H49" s="793"/>
      <c r="I49" s="1886" t="s">
        <v>1527</v>
      </c>
      <c r="J49" s="1891">
        <f>'数据-取费表'!N18</f>
        <v>2009</v>
      </c>
      <c r="K49" s="1888" t="s">
        <v>1528</v>
      </c>
      <c r="L49" s="1892"/>
      <c r="O49" s="1893" t="s">
        <v>1038</v>
      </c>
      <c r="P49" s="1884" t="s">
        <v>1529</v>
      </c>
      <c r="Q49" s="1885" t="e">
        <f ca="1">C29</f>
        <v>#N/A</v>
      </c>
      <c r="R49" s="1885" t="s">
        <v>1522</v>
      </c>
    </row>
    <row r="50" spans="1:18" s="1841" customFormat="1" ht="13.5" thickBot="1">
      <c r="A50" s="1195"/>
      <c r="B50" s="1198"/>
      <c r="C50" s="1368"/>
      <c r="D50" s="1172"/>
      <c r="E50" s="1277" t="s">
        <v>1400</v>
      </c>
      <c r="F50" s="1278" t="e">
        <f ca="1">F7</f>
        <v>#N/A</v>
      </c>
      <c r="H50" s="793"/>
      <c r="I50" s="1886" t="s">
        <v>1530</v>
      </c>
      <c r="J50" s="1894">
        <f>SUMPRODUCT((I63:I65=J47)*(J62:L62=J48)*(J63:L65))</f>
        <v>60</v>
      </c>
      <c r="K50" s="1888" t="s">
        <v>1531</v>
      </c>
      <c r="L50" s="1892"/>
      <c r="M50" s="1895"/>
      <c r="O50" s="1893" t="s">
        <v>1039</v>
      </c>
      <c r="P50" s="1884" t="s">
        <v>1532</v>
      </c>
      <c r="Q50" s="1896" t="e">
        <f ca="1">J58</f>
        <v>#N/A</v>
      </c>
      <c r="R50" s="1885"/>
    </row>
    <row r="51" spans="1:18" s="1841" customFormat="1" ht="13.5" thickBot="1">
      <c r="A51" s="1196"/>
      <c r="B51" s="1198"/>
      <c r="C51" s="1199"/>
      <c r="D51" s="1172"/>
      <c r="E51" s="1200" t="s">
        <v>1401</v>
      </c>
      <c r="F51" s="348" t="e">
        <f ca="1">F8</f>
        <v>#N/A</v>
      </c>
      <c r="I51" s="1897" t="s">
        <v>1533</v>
      </c>
      <c r="J51" s="1898">
        <f>IF(J49="",J50,J49+J50-YEAR('数据-取费表'!B2))</f>
        <v>48</v>
      </c>
      <c r="K51" s="1899" t="s">
        <v>1534</v>
      </c>
      <c r="L51" s="1900" t="e">
        <f ca="1">ROUND(-PV(INDIRECT("'数据-取费表'!h"&amp;$G$1),L48,(C39-C13*C76),0),0)</f>
        <v>#N/A</v>
      </c>
      <c r="M51" s="1901"/>
      <c r="O51" s="1893" t="s">
        <v>1040</v>
      </c>
      <c r="P51" s="1884" t="s">
        <v>1535</v>
      </c>
      <c r="Q51" s="1896">
        <f>J52</f>
        <v>9.0000000000000011E-2</v>
      </c>
      <c r="R51" s="1885"/>
    </row>
    <row r="52" spans="1:18" s="1841" customFormat="1" ht="13.5" thickBot="1">
      <c r="A52" s="1196"/>
      <c r="B52" s="1198"/>
      <c r="C52" s="1199"/>
      <c r="D52" s="1172"/>
      <c r="E52" s="1200" t="s">
        <v>1402</v>
      </c>
      <c r="F52" s="1275"/>
      <c r="I52" s="1902" t="s">
        <v>1536</v>
      </c>
      <c r="J52" s="1903">
        <f>'数据-取费表'!J6+0.005</f>
        <v>9.0000000000000011E-2</v>
      </c>
      <c r="K52" s="1902" t="s">
        <v>1537</v>
      </c>
      <c r="L52" s="1903"/>
      <c r="O52" s="1893" t="s">
        <v>1041</v>
      </c>
      <c r="P52" s="1884" t="s">
        <v>1538</v>
      </c>
      <c r="Q52" s="1885" t="e">
        <f ca="1">J53</f>
        <v>#N/A</v>
      </c>
      <c r="R52" s="1885" t="s">
        <v>1539</v>
      </c>
    </row>
    <row r="53" spans="1:18" s="1841" customFormat="1" ht="24.75" thickBot="1">
      <c r="A53" s="1405" t="s">
        <v>1133</v>
      </c>
      <c r="B53" s="1830" t="s">
        <v>1403</v>
      </c>
      <c r="C53" s="361">
        <f ca="1">ROUND(IF(F53="押一",C49/12*F11,IF(F53="押二",C49/12*2*F11,IF(F53="押三",C49/12*3*F11,C54*F11))),0)</f>
        <v>0</v>
      </c>
      <c r="D53" s="1823" t="s">
        <v>3024</v>
      </c>
      <c r="E53" s="358" t="s">
        <v>1404</v>
      </c>
      <c r="F53" s="1366"/>
      <c r="I53" s="1904" t="s">
        <v>1540</v>
      </c>
      <c r="J53" s="2949" t="e">
        <f ca="1">IF(M47="住宅",IF(D1="——",MAX(J51,L48),MAX(J51,L48-'数据-取费表'!B24)),IF(D1="——",MIN(J51,L48),MIN(J51,L48-'数据-取费表'!B24)))</f>
        <v>#N/A</v>
      </c>
      <c r="K53" s="3247" t="s">
        <v>1541</v>
      </c>
      <c r="L53" s="3248"/>
      <c r="O53" s="1883" t="s">
        <v>1042</v>
      </c>
      <c r="P53" s="1884" t="s">
        <v>1542</v>
      </c>
      <c r="Q53" s="1885" t="e">
        <f ca="1">Q47+Q48</f>
        <v>#N/A</v>
      </c>
      <c r="R53" s="1885" t="s">
        <v>1043</v>
      </c>
    </row>
    <row r="54" spans="1:18" s="1841" customFormat="1" ht="13.5" thickBot="1">
      <c r="A54" s="1406"/>
      <c r="B54" s="1824" t="s">
        <v>1382</v>
      </c>
      <c r="C54" s="1178"/>
      <c r="D54" s="1823"/>
      <c r="E54" s="1831"/>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t="e">
        <f ca="1">ROUND(IF(J47="钢混",J57/J50,1-(1-2%)*(J50-J57)/J50),3)</f>
        <v>#N/A</v>
      </c>
      <c r="K55" s="1910" t="s">
        <v>1545</v>
      </c>
      <c r="L55" s="1911" t="s">
        <v>1546</v>
      </c>
      <c r="O55" s="1876" t="s">
        <v>1515</v>
      </c>
      <c r="P55" s="1877" t="s">
        <v>1516</v>
      </c>
      <c r="Q55" s="1878" t="s">
        <v>1517</v>
      </c>
      <c r="R55" s="1878" t="s">
        <v>1518</v>
      </c>
    </row>
    <row r="56" spans="1:18" s="1841" customFormat="1" ht="25.5" thickTop="1" thickBot="1">
      <c r="A56" s="1176">
        <v>2</v>
      </c>
      <c r="B56" s="1177" t="s">
        <v>1407</v>
      </c>
      <c r="C56" s="276" t="e">
        <f ca="1">C13</f>
        <v>#N/A</v>
      </c>
      <c r="D56" s="1912"/>
      <c r="E56" s="1913"/>
      <c r="F56" s="1905"/>
      <c r="I56" s="1914" t="s">
        <v>1547</v>
      </c>
      <c r="J56" s="1915" t="s">
        <v>3065</v>
      </c>
      <c r="K56" s="1886" t="s">
        <v>1548</v>
      </c>
      <c r="L56" s="1889" t="e">
        <f ca="1">IF(L48&lt;J51,"——",L48-J53)</f>
        <v>#N/A</v>
      </c>
      <c r="O56" s="1883" t="s">
        <v>1036</v>
      </c>
      <c r="P56" s="1884" t="s">
        <v>1521</v>
      </c>
      <c r="Q56" s="1885" t="e">
        <f ca="1">C40+J29</f>
        <v>#N/A</v>
      </c>
      <c r="R56" s="1885" t="s">
        <v>1522</v>
      </c>
    </row>
    <row r="57" spans="1:18" s="1841" customFormat="1" ht="24.75" thickBot="1">
      <c r="A57" s="1916"/>
      <c r="B57" s="1169" t="s">
        <v>1471</v>
      </c>
      <c r="C57" s="282" t="e">
        <f ca="1">C29</f>
        <v>#N/A</v>
      </c>
      <c r="D57" s="1917"/>
      <c r="E57" s="1918"/>
      <c r="F57" s="1919"/>
      <c r="I57" s="1920" t="s">
        <v>1549</v>
      </c>
      <c r="J57" s="1921" t="e">
        <f ca="1">IF(OR(M47="住宅",J51&lt;L48,J56="是"),"——",J51-L48)</f>
        <v>#N/A</v>
      </c>
      <c r="K57" s="1886" t="s">
        <v>1550</v>
      </c>
      <c r="L57" s="1889" t="e">
        <f ca="1">IF(L48&lt;J51,"——",IF(L55="比较法",L49,IF(L55="基准地价",L50,L51)))</f>
        <v>#N/A</v>
      </c>
      <c r="O57" s="1883" t="s">
        <v>1037</v>
      </c>
      <c r="P57" s="1884" t="s">
        <v>1551</v>
      </c>
      <c r="Q57" s="1885" t="e">
        <f ca="1">L60</f>
        <v>#N/A</v>
      </c>
      <c r="R57" s="1885" t="s">
        <v>1552</v>
      </c>
    </row>
    <row r="58" spans="1:18" s="1841" customFormat="1" ht="24.75" thickBot="1">
      <c r="A58" s="360" t="s">
        <v>1026</v>
      </c>
      <c r="B58" s="1177" t="s">
        <v>1417</v>
      </c>
      <c r="C58" s="361" t="e">
        <f ca="1">ROUND(C59+C64+C65+C66,0)</f>
        <v>#N/A</v>
      </c>
      <c r="D58" s="1179" t="s">
        <v>1418</v>
      </c>
      <c r="E58" s="1180"/>
      <c r="F58" s="1181"/>
      <c r="I58" s="1920" t="s">
        <v>1553</v>
      </c>
      <c r="J58" s="1922" t="e">
        <f ca="1">IF(J55&lt;0.4,0.4,J55)</f>
        <v>#N/A</v>
      </c>
      <c r="K58" s="1899" t="s">
        <v>1554</v>
      </c>
      <c r="L58" s="1889" t="e">
        <f ca="1">ROUND(POWER(1+L52,L47-L48)*(POWER(1+L52,L48)-1)/(POWER(1+L52,L47)-1),4)</f>
        <v>#N/A</v>
      </c>
      <c r="O58" s="1893" t="s">
        <v>1038</v>
      </c>
      <c r="P58" s="1884" t="s">
        <v>1555</v>
      </c>
      <c r="Q58" s="1885">
        <f>IF(L55="比较法",L49,IF(L55="基准地价",L50,0))</f>
        <v>0</v>
      </c>
      <c r="R58" s="1885" t="s">
        <v>1522</v>
      </c>
    </row>
    <row r="59" spans="1:18" s="1841" customFormat="1" ht="24.75" thickBot="1">
      <c r="A59" s="1201" t="s">
        <v>1031</v>
      </c>
      <c r="B59" s="1169" t="s">
        <v>1422</v>
      </c>
      <c r="C59" s="24" t="e">
        <f ca="1">ROUND(IF(项目基本情况!B11="自然人",C48*F59,C60+C61+C62),1)</f>
        <v>#N/A</v>
      </c>
      <c r="D59" s="1182" t="s">
        <v>1423</v>
      </c>
      <c r="E59" s="1183" t="s">
        <v>1424</v>
      </c>
      <c r="F59" s="368" t="str">
        <f ca="1">IF(项目基本情况!B11="企业","",IF(INDIRECT("'数据-取费表'!c"&amp;$G$1)="住宅",5%,IF(F49*F50*F51/12/(1+'数据-取费表'!C42)&gt;20000,12%,7%)))</f>
        <v/>
      </c>
      <c r="I59" s="1920" t="s">
        <v>1556</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1039</v>
      </c>
      <c r="P59" s="1884" t="s">
        <v>1557</v>
      </c>
      <c r="Q59" s="1896">
        <f>L52</f>
        <v>0</v>
      </c>
      <c r="R59" s="1885"/>
    </row>
    <row r="60" spans="1:18" s="1841" customFormat="1" ht="16.5" thickBot="1">
      <c r="A60" s="1201" t="s">
        <v>1030</v>
      </c>
      <c r="B60" s="1169" t="s">
        <v>1426</v>
      </c>
      <c r="C60" s="24" t="e">
        <f ca="1">IF(项目基本情况!B11="自然人","——",ROUND(C48*F60/(1+'数据-取费表'!C42),2))</f>
        <v>#N/A</v>
      </c>
      <c r="D60" s="1183" t="s">
        <v>1427</v>
      </c>
      <c r="E60" s="1169" t="s">
        <v>1415</v>
      </c>
      <c r="F60" s="377">
        <f t="shared" ref="F60:F66" si="0">F32</f>
        <v>5.6000000000000001E-2</v>
      </c>
      <c r="I60" s="1923" t="s">
        <v>1558</v>
      </c>
      <c r="J60" s="1924" t="e">
        <f ca="1">IF(OR(M47="住宅",J51&lt;L48,J56="是"),"0",ROUND(J59/(1+J52)^J53,0))</f>
        <v>#N/A</v>
      </c>
      <c r="K60" s="1925" t="s">
        <v>1559</v>
      </c>
      <c r="L60" s="1924" t="e">
        <f ca="1">IF(OR(M47="住宅",L48&lt;J51),0,ROUND(L57*(L58/L59-1),0))</f>
        <v>#N/A</v>
      </c>
      <c r="O60" s="1893" t="s">
        <v>1040</v>
      </c>
      <c r="P60" s="1884" t="s">
        <v>1560</v>
      </c>
      <c r="Q60" s="1885" t="e">
        <f ca="1">L58</f>
        <v>#N/A</v>
      </c>
      <c r="R60" s="1885" t="s">
        <v>1561</v>
      </c>
    </row>
    <row r="61" spans="1:18" s="1841" customFormat="1" ht="13.5" thickBot="1">
      <c r="A61" s="1201" t="s">
        <v>1485</v>
      </c>
      <c r="B61" s="1169" t="s">
        <v>1486</v>
      </c>
      <c r="C61" s="24" t="e">
        <f ca="1">IF(项目基本情况!B11="自然人","——",IF(D61="按租金收入计税",ROUND(C48*F61,2),IF(D61="按房产原值计税",ROUND(C57*F61*0.7,2),INDIRECT("'数据-取费表'!Aj"&amp;$G$1))))</f>
        <v>#N/A</v>
      </c>
      <c r="D61" s="1827" t="s">
        <v>1431</v>
      </c>
      <c r="E61" s="1169" t="s">
        <v>1487</v>
      </c>
      <c r="F61" s="367">
        <f t="shared" si="0"/>
        <v>0.12</v>
      </c>
      <c r="I61" s="1926"/>
      <c r="J61" s="1926"/>
      <c r="K61" s="1926"/>
      <c r="L61" s="1926"/>
      <c r="O61" s="1893" t="s">
        <v>1041</v>
      </c>
      <c r="P61" s="1884" t="str">
        <f>K59</f>
        <v>建筑物剩余耐用年限下的土地年期修正系数Kn</v>
      </c>
      <c r="Q61" s="1885" t="e">
        <f ca="1">L59</f>
        <v>#N/A</v>
      </c>
      <c r="R61" s="1885" t="s">
        <v>1562</v>
      </c>
    </row>
    <row r="62" spans="1:18" s="1841" customFormat="1" ht="13.5" thickBot="1">
      <c r="A62" s="1201" t="s">
        <v>1488</v>
      </c>
      <c r="B62" s="1168" t="s">
        <v>1489</v>
      </c>
      <c r="C62" s="25" t="e">
        <f ca="1">IF(项目基本情况!B11="自然人","——",ROUND(F62*F63/10000,2))</f>
        <v>#N/A</v>
      </c>
      <c r="D62" s="1184" t="s">
        <v>1490</v>
      </c>
      <c r="E62" s="1169" t="s">
        <v>1491</v>
      </c>
      <c r="F62" s="371">
        <f t="shared" si="0"/>
        <v>12</v>
      </c>
      <c r="I62" s="1927" t="s">
        <v>1563</v>
      </c>
      <c r="J62" s="1928" t="s">
        <v>1564</v>
      </c>
      <c r="K62" s="1928" t="s">
        <v>1565</v>
      </c>
      <c r="L62" s="1928" t="s">
        <v>1566</v>
      </c>
      <c r="M62" s="1929" t="s">
        <v>1567</v>
      </c>
      <c r="O62" s="1883" t="s">
        <v>1042</v>
      </c>
      <c r="P62" s="1884" t="s">
        <v>1568</v>
      </c>
      <c r="Q62" s="1885" t="e">
        <f ca="1">Q56+Q57</f>
        <v>#N/A</v>
      </c>
      <c r="R62" s="1885" t="s">
        <v>1043</v>
      </c>
    </row>
    <row r="63" spans="1:18" s="1841" customFormat="1" ht="13.5" thickBot="1">
      <c r="A63" s="372"/>
      <c r="B63" s="1175"/>
      <c r="C63" s="29"/>
      <c r="D63" s="1185"/>
      <c r="E63" s="1169" t="s">
        <v>1492</v>
      </c>
      <c r="F63" s="348" t="e">
        <f t="shared" ca="1" si="0"/>
        <v>#N/A</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t="e">
        <f ca="1">ROUND(C57*F64,1)</f>
        <v>#N/A</v>
      </c>
      <c r="D64" s="1183" t="s">
        <v>1495</v>
      </c>
      <c r="E64" s="1169" t="s">
        <v>1487</v>
      </c>
      <c r="F64" s="374" t="e">
        <f t="shared" ca="1" si="0"/>
        <v>#N/A</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t="e">
        <f ca="1">ROUND(C56*F65,1)</f>
        <v>#N/A</v>
      </c>
      <c r="D65" s="1183" t="s">
        <v>1447</v>
      </c>
      <c r="E65" s="1169" t="s">
        <v>1448</v>
      </c>
      <c r="F65" s="376" t="e">
        <f t="shared" ca="1" si="0"/>
        <v>#N/A</v>
      </c>
      <c r="I65" s="1927" t="s">
        <v>1572</v>
      </c>
      <c r="J65" s="1928">
        <v>40</v>
      </c>
      <c r="K65" s="1928">
        <v>30</v>
      </c>
      <c r="L65" s="1928">
        <v>50</v>
      </c>
      <c r="M65" s="1930">
        <v>0.02</v>
      </c>
      <c r="O65" s="1883" t="s">
        <v>1036</v>
      </c>
      <c r="P65" s="1884" t="s">
        <v>1573</v>
      </c>
      <c r="Q65" s="1885" t="e">
        <f ca="1">C40+J29</f>
        <v>#N/A</v>
      </c>
      <c r="R65" s="1885" t="s">
        <v>1522</v>
      </c>
    </row>
    <row r="66" spans="1:18" s="1841" customFormat="1" ht="16.5" thickBot="1">
      <c r="A66" s="1201" t="s">
        <v>1497</v>
      </c>
      <c r="B66" s="1169" t="s">
        <v>1432</v>
      </c>
      <c r="C66" s="24" t="e">
        <f ca="1">ROUND(C48*F66,1)</f>
        <v>#N/A</v>
      </c>
      <c r="D66" s="1183" t="s">
        <v>1498</v>
      </c>
      <c r="E66" s="1169" t="s">
        <v>1415</v>
      </c>
      <c r="F66" s="357" t="e">
        <f t="shared" ca="1" si="0"/>
        <v>#N/A</v>
      </c>
      <c r="O66" s="1883" t="s">
        <v>1037</v>
      </c>
      <c r="P66" s="1884" t="s">
        <v>1551</v>
      </c>
      <c r="Q66" s="1885" t="e">
        <f ca="1">L60</f>
        <v>#N/A</v>
      </c>
      <c r="R66" s="1885" t="s">
        <v>1574</v>
      </c>
    </row>
    <row r="67" spans="1:18" s="1841" customFormat="1" ht="16.5" thickBot="1">
      <c r="A67" s="1176" t="s">
        <v>1027</v>
      </c>
      <c r="B67" s="1186" t="s">
        <v>1456</v>
      </c>
      <c r="C67" s="361" t="e">
        <f ca="1">C48-C58</f>
        <v>#N/A</v>
      </c>
      <c r="D67" s="1182" t="s">
        <v>1457</v>
      </c>
      <c r="E67" s="1187"/>
      <c r="F67" s="1188"/>
      <c r="O67" s="1893" t="s">
        <v>1038</v>
      </c>
      <c r="P67" s="1884" t="s">
        <v>1555</v>
      </c>
      <c r="Q67" s="1931" t="e">
        <f ca="1">L51</f>
        <v>#N/A</v>
      </c>
      <c r="R67" s="1885" t="s">
        <v>1575</v>
      </c>
    </row>
    <row r="68" spans="1:18" s="1841" customFormat="1" ht="16.5" thickBot="1">
      <c r="A68" s="1166" t="s">
        <v>1028</v>
      </c>
      <c r="B68" s="1167" t="s">
        <v>1478</v>
      </c>
      <c r="C68" s="346" t="e">
        <f ca="1">ROUND(C67*(1-((1+F70)/(1+F68))^F69)/(F68-F70),0)</f>
        <v>#N/A</v>
      </c>
      <c r="D68" s="1184" t="s">
        <v>1462</v>
      </c>
      <c r="E68" s="1169" t="s">
        <v>1463</v>
      </c>
      <c r="F68" s="357" t="e">
        <f ca="1">F40</f>
        <v>#N/A</v>
      </c>
      <c r="O68" s="1893" t="s">
        <v>1039</v>
      </c>
      <c r="P68" s="1932" t="s">
        <v>1576</v>
      </c>
      <c r="Q68" s="1885" t="e">
        <f ca="1">ROUND(Q69-Q70*Q71,0)</f>
        <v>#N/A</v>
      </c>
      <c r="R68" s="1885" t="s">
        <v>1047</v>
      </c>
    </row>
    <row r="69" spans="1:18" s="1841" customFormat="1" ht="13.5" thickBot="1">
      <c r="A69" s="1170"/>
      <c r="B69" s="1171"/>
      <c r="C69" s="351"/>
      <c r="D69" s="1189" t="s">
        <v>1466</v>
      </c>
      <c r="E69" s="1169" t="s">
        <v>1467</v>
      </c>
      <c r="F69" s="379" t="e">
        <f ca="1">F41</f>
        <v>#N/A</v>
      </c>
      <c r="O69" s="1893" t="s">
        <v>1044</v>
      </c>
      <c r="P69" s="1932" t="s">
        <v>1577</v>
      </c>
      <c r="Q69" s="1885" t="e">
        <f ca="1">C39</f>
        <v>#N/A</v>
      </c>
      <c r="R69" s="1885" t="s">
        <v>1522</v>
      </c>
    </row>
    <row r="70" spans="1:18" s="1841" customFormat="1" ht="13.5" thickBot="1">
      <c r="A70" s="1173"/>
      <c r="B70" s="1174"/>
      <c r="C70" s="355"/>
      <c r="D70" s="1185"/>
      <c r="E70" s="1169" t="s">
        <v>1470</v>
      </c>
      <c r="F70" s="1275"/>
      <c r="O70" s="1893" t="s">
        <v>1045</v>
      </c>
      <c r="P70" s="1932" t="s">
        <v>1578</v>
      </c>
      <c r="Q70" s="1885" t="e">
        <f ca="1">C13</f>
        <v>#N/A</v>
      </c>
      <c r="R70" s="1885" t="s">
        <v>1522</v>
      </c>
    </row>
    <row r="71" spans="1:18" s="1841" customFormat="1" ht="13.5" thickBot="1">
      <c r="A71" s="1190" t="s">
        <v>1029</v>
      </c>
      <c r="B71" s="1191" t="s">
        <v>1480</v>
      </c>
      <c r="C71" s="382" t="e">
        <f ca="1">ROUND(C68*10000/F71,0)</f>
        <v>#N/A</v>
      </c>
      <c r="D71" s="1192" t="s">
        <v>1481</v>
      </c>
      <c r="E71" s="1193" t="s">
        <v>1482</v>
      </c>
      <c r="F71" s="385" t="e">
        <f ca="1">F43</f>
        <v>#N/A</v>
      </c>
      <c r="O71" s="1893" t="s">
        <v>1046</v>
      </c>
      <c r="P71" s="1932" t="s">
        <v>1579</v>
      </c>
      <c r="Q71" s="1896" t="e">
        <f ca="1">C76</f>
        <v>#N/A</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#N/A</v>
      </c>
      <c r="R73" s="1885" t="s">
        <v>1561</v>
      </c>
    </row>
    <row r="74" spans="1:18" ht="13.5" thickBot="1">
      <c r="A74" s="1841"/>
      <c r="B74" s="317" t="s">
        <v>1580</v>
      </c>
      <c r="C74" s="1934"/>
      <c r="D74" s="1841"/>
      <c r="E74" s="1841"/>
      <c r="F74" s="1841"/>
      <c r="O74" s="1893" t="s">
        <v>1048</v>
      </c>
      <c r="P74" s="1884" t="str">
        <f>K59</f>
        <v>建筑物剩余耐用年限下的土地年期修正系数Kn</v>
      </c>
      <c r="Q74" s="1885" t="e">
        <f ca="1">L59</f>
        <v>#N/A</v>
      </c>
      <c r="R74" s="1885" t="s">
        <v>1562</v>
      </c>
    </row>
    <row r="75" spans="1:18" ht="13.5" thickBot="1">
      <c r="A75" s="1841"/>
      <c r="B75" s="386" t="s">
        <v>1499</v>
      </c>
      <c r="C75" s="387" t="e">
        <f ca="1">ROUND(C13*C76,0)</f>
        <v>#N/A</v>
      </c>
      <c r="D75" s="1841"/>
      <c r="E75" s="1841"/>
      <c r="F75" s="1841"/>
      <c r="K75" s="1867"/>
      <c r="L75" s="1841"/>
      <c r="O75" s="1883" t="s">
        <v>1042</v>
      </c>
      <c r="P75" s="1884" t="s">
        <v>1542</v>
      </c>
      <c r="Q75" s="1885" t="e">
        <f ca="1">Q65+Q66</f>
        <v>#N/A</v>
      </c>
      <c r="R75" s="1885" t="s">
        <v>1043</v>
      </c>
    </row>
    <row r="76" spans="1:18">
      <c r="B76" s="388" t="s">
        <v>1500</v>
      </c>
      <c r="C76" s="389" t="e">
        <f ca="1">INDIRECT("'数据-取费表'!j"&amp;$G$1)</f>
        <v>#N/A</v>
      </c>
      <c r="I76" s="1841"/>
      <c r="J76" s="1841"/>
      <c r="K76" s="1867"/>
      <c r="L76" s="1841"/>
    </row>
    <row r="77" spans="1:18">
      <c r="B77" s="390" t="s">
        <v>1501</v>
      </c>
      <c r="C77" s="391"/>
      <c r="I77" s="1841"/>
      <c r="J77" s="1841"/>
      <c r="K77" s="1867"/>
      <c r="L77" s="1841"/>
    </row>
    <row r="78" spans="1:18">
      <c r="B78" s="314" t="s">
        <v>1502</v>
      </c>
      <c r="C78" s="392"/>
    </row>
    <row r="79" spans="1:18">
      <c r="B79" s="386" t="s">
        <v>1503</v>
      </c>
      <c r="C79" s="318" t="e">
        <f ca="1">1-C80</f>
        <v>#N/A</v>
      </c>
    </row>
    <row r="80" spans="1:18">
      <c r="B80" s="386" t="s">
        <v>1504</v>
      </c>
      <c r="C80" s="318" t="e">
        <f ca="1">ROUND(C75/C39,3)</f>
        <v>#N/A</v>
      </c>
    </row>
    <row r="81" spans="2:3">
      <c r="B81" s="314" t="s">
        <v>1505</v>
      </c>
      <c r="C81" s="282"/>
    </row>
    <row r="82" spans="2:3">
      <c r="B82" s="317" t="s">
        <v>1506</v>
      </c>
      <c r="C82" s="319" t="e">
        <f ca="1">1-C83</f>
        <v>#N/A</v>
      </c>
    </row>
    <row r="83" spans="2:3">
      <c r="B83" s="317" t="s">
        <v>1507</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t="s">
        <v>3170</v>
      </c>
      <c r="D1" s="1819" t="s">
        <v>70</v>
      </c>
      <c r="E1" s="1820" t="s">
        <v>1381</v>
      </c>
      <c r="F1" s="1283">
        <f ca="1">J53</f>
        <v>35.08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1583</v>
      </c>
      <c r="B2" s="1843">
        <f ca="1">ROUND(D2/10000,0)</f>
        <v>1168</v>
      </c>
      <c r="C2" s="1844" t="s">
        <v>1584</v>
      </c>
      <c r="D2" s="1936">
        <f ca="1">C40+J29+L46</f>
        <v>11677875</v>
      </c>
      <c r="E2" s="1845" t="s">
        <v>1585</v>
      </c>
      <c r="F2" s="1846"/>
      <c r="G2" s="1847"/>
      <c r="H2" s="1839"/>
      <c r="I2" s="1839"/>
      <c r="J2" s="1839"/>
      <c r="K2" s="1840"/>
      <c r="L2" s="1839"/>
      <c r="M2" s="1839"/>
    </row>
    <row r="3" spans="1:37" ht="18" customHeight="1" thickBot="1">
      <c r="A3" s="1848" t="s">
        <v>1586</v>
      </c>
      <c r="B3" s="1849">
        <f ca="1">IF(ISERROR(D2/F43),0,ROUND(D2/F43,0))</f>
        <v>35058</v>
      </c>
      <c r="C3" s="1844" t="s">
        <v>1587</v>
      </c>
      <c r="D3" s="1844"/>
      <c r="E3" s="1845"/>
      <c r="F3" s="1846"/>
      <c r="G3" s="1847"/>
      <c r="H3" s="744"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2">
        <f ca="1">C6+C10+C12</f>
        <v>702060</v>
      </c>
      <c r="D5" s="1821" t="s">
        <v>1594</v>
      </c>
      <c r="E5" s="1293"/>
      <c r="F5" s="1294"/>
      <c r="G5" s="1850"/>
      <c r="H5" s="344">
        <v>1</v>
      </c>
      <c r="I5" s="345" t="s">
        <v>1593</v>
      </c>
      <c r="J5" s="1292">
        <f ca="1">J6+J10+J12</f>
        <v>0</v>
      </c>
      <c r="K5" s="1821" t="s">
        <v>1594</v>
      </c>
      <c r="L5" s="1293"/>
      <c r="M5" s="1294"/>
    </row>
    <row r="6" spans="1:37" ht="18" customHeight="1">
      <c r="A6" s="1291" t="s">
        <v>1031</v>
      </c>
      <c r="B6" s="3249" t="s">
        <v>1397</v>
      </c>
      <c r="C6" s="1296">
        <f ca="1">ROUND(F6*F8*F7*(1-F9),0)</f>
        <v>700309</v>
      </c>
      <c r="D6" s="164" t="s">
        <v>3013</v>
      </c>
      <c r="E6" s="347" t="s">
        <v>1399</v>
      </c>
      <c r="F6" s="348">
        <f ca="1">INDIRECT("'数据-取费表'!u"&amp;$G$1)</f>
        <v>6.4</v>
      </c>
      <c r="G6" s="1850"/>
      <c r="H6" s="1291" t="s">
        <v>1031</v>
      </c>
      <c r="I6" s="3249" t="s">
        <v>1397</v>
      </c>
      <c r="J6" s="346">
        <f ca="1">ROUND(M6*M8*M7*(1-M9),0)</f>
        <v>0</v>
      </c>
      <c r="K6" s="1833" t="s">
        <v>3014</v>
      </c>
      <c r="L6" s="347" t="s">
        <v>1399</v>
      </c>
      <c r="M6" s="348">
        <f ca="1">INDIRECT("'数据-取费表'!z"&amp;$G$1)</f>
        <v>0</v>
      </c>
    </row>
    <row r="7" spans="1:37" ht="18" customHeight="1">
      <c r="A7" s="1295"/>
      <c r="B7" s="3250"/>
      <c r="C7" s="1297"/>
      <c r="D7" s="352"/>
      <c r="E7" s="1298" t="s">
        <v>1400</v>
      </c>
      <c r="F7" s="348">
        <f ca="1">IF(INDIRECT("'数据-取费表'!ah"&amp;$G$1)="",INDIRECT("'数据-取费表'!k"&amp;$G$1),INDIRECT("'数据-取费表'!ah"&amp;$G$1))</f>
        <v>333.1</v>
      </c>
      <c r="G7" s="1850"/>
      <c r="H7" s="349"/>
      <c r="I7" s="3250"/>
      <c r="J7" s="351"/>
      <c r="K7" s="352"/>
      <c r="L7" s="347" t="s">
        <v>1400</v>
      </c>
      <c r="M7" s="348">
        <f ca="1">F7</f>
        <v>333.1</v>
      </c>
    </row>
    <row r="8" spans="1:37" ht="18" customHeight="1">
      <c r="A8" s="349"/>
      <c r="B8" s="3250"/>
      <c r="C8" s="351"/>
      <c r="D8" s="352"/>
      <c r="E8" s="347" t="s">
        <v>1401</v>
      </c>
      <c r="F8" s="348">
        <f ca="1">INDIRECT("'数据-取费表'!ai"&amp;$G$1)</f>
        <v>365</v>
      </c>
      <c r="G8" s="1850"/>
      <c r="H8" s="349"/>
      <c r="I8" s="3250"/>
      <c r="J8" s="351"/>
      <c r="K8" s="352"/>
      <c r="L8" s="347" t="s">
        <v>1401</v>
      </c>
      <c r="M8" s="348">
        <f ca="1">INDIRECT("'数据-取费表'!ai"&amp;$G$1)</f>
        <v>365</v>
      </c>
    </row>
    <row r="9" spans="1:37" ht="18" customHeight="1">
      <c r="A9" s="349"/>
      <c r="B9" s="3251"/>
      <c r="C9" s="351"/>
      <c r="D9" s="352"/>
      <c r="E9" s="347" t="s">
        <v>1402</v>
      </c>
      <c r="F9" s="357">
        <f ca="1">INDIRECT("'数据-取费表'!w"&amp;$G$1)</f>
        <v>0.1</v>
      </c>
      <c r="G9" s="1850"/>
      <c r="H9" s="349"/>
      <c r="I9" s="3251"/>
      <c r="J9" s="351"/>
      <c r="K9" s="352"/>
      <c r="L9" s="358" t="s">
        <v>1402</v>
      </c>
      <c r="M9" s="359">
        <f ca="1">INDIRECT("'数据-取费表'!ab"&amp;$G$1)</f>
        <v>0</v>
      </c>
    </row>
    <row r="10" spans="1:37" ht="18" customHeight="1">
      <c r="A10" s="1291" t="s">
        <v>1035</v>
      </c>
      <c r="B10" s="1822" t="s">
        <v>1403</v>
      </c>
      <c r="C10" s="361">
        <f ca="1">ROUND(IF(F10="押一",C6/12*F11,IF(F10="押二",C6/12*2*F11,IF(F10="押三",C6/12*3*F11,C11*F11))),0)</f>
        <v>1751</v>
      </c>
      <c r="D10" s="1823" t="s">
        <v>3024</v>
      </c>
      <c r="E10" s="358" t="s">
        <v>1404</v>
      </c>
      <c r="F10" s="1366" t="s">
        <v>3156</v>
      </c>
      <c r="G10" s="1850"/>
      <c r="H10" s="1291" t="s">
        <v>1035</v>
      </c>
      <c r="I10" s="1822" t="s">
        <v>1403</v>
      </c>
      <c r="J10" s="346">
        <f ca="1">ROUND(IF(M10="押一",J6/12*M11,IF(M10="押二",J6/12*2*M11,IF(M10="押三",J6/12*3*M11,J11*M11))),0)</f>
        <v>0</v>
      </c>
      <c r="K10" s="1834" t="s">
        <v>3026</v>
      </c>
      <c r="L10" s="358" t="s">
        <v>1404</v>
      </c>
      <c r="M10" s="1366"/>
    </row>
    <row r="11" spans="1:37" ht="18" customHeight="1">
      <c r="A11" s="353"/>
      <c r="B11" s="1824" t="s">
        <v>1595</v>
      </c>
      <c r="C11" s="1178"/>
      <c r="D11" s="352"/>
      <c r="E11" s="358" t="s">
        <v>1405</v>
      </c>
      <c r="F11" s="359">
        <f ca="1">'数据-取费表'!B39</f>
        <v>1.4999999999999999E-2</v>
      </c>
      <c r="G11" s="1850"/>
      <c r="H11" s="1299"/>
      <c r="I11" s="1824" t="s">
        <v>1596</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1376715</v>
      </c>
      <c r="D13" s="1331" t="s">
        <v>1408</v>
      </c>
      <c r="E13" s="1331" t="s">
        <v>1409</v>
      </c>
      <c r="F13" s="1332">
        <f ca="1">INDIRECT("'数据-取费表'!y"&amp;$G$1)</f>
        <v>0.82</v>
      </c>
      <c r="G13" s="1850"/>
      <c r="H13" s="1329">
        <v>2</v>
      </c>
      <c r="I13" s="1330" t="s">
        <v>1407</v>
      </c>
      <c r="J13" s="1290">
        <f ca="1">ROUND(J14*J15,0)</f>
        <v>0</v>
      </c>
      <c r="K13" s="1337" t="s">
        <v>1408</v>
      </c>
      <c r="L13" s="1851"/>
      <c r="M13" s="1852"/>
    </row>
    <row r="14" spans="1:37" ht="18" customHeight="1">
      <c r="A14" s="1201" t="s">
        <v>1030</v>
      </c>
      <c r="B14" s="347" t="s">
        <v>1410</v>
      </c>
      <c r="C14" s="363">
        <f ca="1">ROUND(INDIRECT("'数据-取费表'!l"&amp;$G$1)*F43+'数据-取费表'!L14*INDIRECT("'数据-取费表'!S"&amp;$G$1),0)</f>
        <v>1165850</v>
      </c>
      <c r="D14" s="1799" t="s">
        <v>1411</v>
      </c>
      <c r="E14" s="1793"/>
      <c r="F14" s="364"/>
      <c r="G14" s="1850"/>
      <c r="H14" s="1201" t="s">
        <v>1031</v>
      </c>
      <c r="I14" s="347" t="s">
        <v>1412</v>
      </c>
      <c r="J14" s="24">
        <f ca="1">C29</f>
        <v>1678921</v>
      </c>
      <c r="K14" s="15"/>
      <c r="L14" s="979"/>
      <c r="M14" s="980"/>
    </row>
    <row r="15" spans="1:37" s="1857" customFormat="1" ht="18" customHeight="1" thickBot="1">
      <c r="A15" s="1201" t="s">
        <v>1032</v>
      </c>
      <c r="B15" s="347" t="s">
        <v>1413</v>
      </c>
      <c r="C15" s="24">
        <f ca="1">ROUND(C14*F15,0)</f>
        <v>34976</v>
      </c>
      <c r="D15" s="365" t="s">
        <v>1414</v>
      </c>
      <c r="E15" s="365" t="s">
        <v>1415</v>
      </c>
      <c r="F15" s="366">
        <f>'数据-取费表'!B33</f>
        <v>0.03</v>
      </c>
      <c r="G15" s="1853"/>
      <c r="H15" s="1339" t="s">
        <v>1035</v>
      </c>
      <c r="I15" s="1340" t="s">
        <v>1409</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0"/>
      <c r="H16" s="1329" t="s">
        <v>1026</v>
      </c>
      <c r="I16" s="1330" t="s">
        <v>1417</v>
      </c>
      <c r="J16" s="355">
        <f ca="1">ROUND(J17+J22+J23+J24,0)</f>
        <v>39287</v>
      </c>
      <c r="K16" s="1337" t="s">
        <v>1418</v>
      </c>
      <c r="L16" s="1338"/>
      <c r="M16" s="1294"/>
    </row>
    <row r="17" spans="1:37" s="1857" customFormat="1" ht="18" customHeight="1">
      <c r="A17" s="1201" t="s">
        <v>1384</v>
      </c>
      <c r="B17" s="347" t="s">
        <v>1419</v>
      </c>
      <c r="C17" s="24">
        <f ca="1">ROUND(F17*(F43+INDIRECT("'数据-取费表'!S"&amp;$G$1)),0)</f>
        <v>49965</v>
      </c>
      <c r="D17" s="347" t="s">
        <v>1420</v>
      </c>
      <c r="E17" s="347" t="s">
        <v>1421</v>
      </c>
      <c r="F17" s="26">
        <f>'数据-取费表'!B35</f>
        <v>150</v>
      </c>
      <c r="G17" s="1853"/>
      <c r="H17" s="1201" t="s">
        <v>1031</v>
      </c>
      <c r="I17" s="347" t="s">
        <v>1422</v>
      </c>
      <c r="J17" s="24">
        <f ca="1">ROUND(IF(项目基本情况!B11="自然人",J6*M17/(1+'数据-取费表'!C42),J18+J19+J20),0)</f>
        <v>14103</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17488</v>
      </c>
      <c r="D18" s="347" t="s">
        <v>1414</v>
      </c>
      <c r="E18" s="347" t="s">
        <v>1415</v>
      </c>
      <c r="F18" s="367">
        <f>'数据-取费表'!B36</f>
        <v>1.4999999999999999E-2</v>
      </c>
      <c r="G18" s="1853"/>
      <c r="H18" s="1201" t="s">
        <v>1030</v>
      </c>
      <c r="I18" s="347" t="s">
        <v>1426</v>
      </c>
      <c r="J18" s="24">
        <f ca="1">ROUND(J6*M18/(1+'数据-取费表'!C42),0)</f>
        <v>0</v>
      </c>
      <c r="K18" s="1797" t="s">
        <v>1427</v>
      </c>
      <c r="L18" s="347" t="s">
        <v>1415</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1268279</v>
      </c>
      <c r="D19" s="140" t="s">
        <v>1429</v>
      </c>
      <c r="E19" s="1817"/>
      <c r="F19" s="26"/>
      <c r="G19" s="1850"/>
      <c r="H19" s="1201" t="s">
        <v>1032</v>
      </c>
      <c r="I19" s="347" t="s">
        <v>1430</v>
      </c>
      <c r="J19" s="24">
        <f ca="1">IF(K19="按租金收入计税",ROUND(J6*M19/(1+'数据-取费表'!C42),0),ROUND(C29*M19*0.7,0))</f>
        <v>14103</v>
      </c>
      <c r="K19" s="1827" t="s">
        <v>1431</v>
      </c>
      <c r="L19" s="347" t="s">
        <v>1415</v>
      </c>
      <c r="M19" s="367">
        <f>IF(K19="按租金收入计税",'数据-取费表'!B51,'数据-取费表'!B50)</f>
        <v>1.2E-2</v>
      </c>
    </row>
    <row r="20" spans="1:37" s="1857" customFormat="1" ht="18" customHeight="1">
      <c r="A20" s="1201" t="s">
        <v>1035</v>
      </c>
      <c r="B20" s="347" t="s">
        <v>1432</v>
      </c>
      <c r="C20" s="24">
        <f ca="1">ROUND(C19*F20,0)</f>
        <v>25366</v>
      </c>
      <c r="D20" s="369" t="s">
        <v>1433</v>
      </c>
      <c r="E20" s="347" t="s">
        <v>1415</v>
      </c>
      <c r="F20" s="367">
        <f>'数据-取费表'!B37</f>
        <v>0.02</v>
      </c>
      <c r="G20" s="1853"/>
      <c r="H20" s="1201" t="s">
        <v>1383</v>
      </c>
      <c r="I20" s="164" t="s">
        <v>1434</v>
      </c>
      <c r="J20" s="25">
        <f ca="1">ROUND(M20*M21,0)</f>
        <v>0</v>
      </c>
      <c r="K20" s="370" t="s">
        <v>1435</v>
      </c>
      <c r="L20" s="347" t="s">
        <v>1436</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v>
      </c>
      <c r="D21" s="369" t="s">
        <v>1438</v>
      </c>
      <c r="E21" s="347" t="s">
        <v>1439</v>
      </c>
      <c r="F21" s="367">
        <f>'数据-取费表'!B38</f>
        <v>0.02</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ROUND(J14*M22,0)</f>
        <v>25184</v>
      </c>
      <c r="K22" s="1797" t="s">
        <v>1443</v>
      </c>
      <c r="L22" s="347" t="s">
        <v>1415</v>
      </c>
      <c r="M22" s="374">
        <f ca="1">INDIRECT("'数据-取费表'!Ak"&amp;$G$1)</f>
        <v>1.4999999999999999E-2</v>
      </c>
    </row>
    <row r="23" spans="1:37" s="1857" customFormat="1" ht="18" customHeight="1">
      <c r="A23" s="1201" t="s">
        <v>1030</v>
      </c>
      <c r="B23" s="347" t="s">
        <v>1444</v>
      </c>
      <c r="C23" s="24">
        <f ca="1">IF('数据-取费表'!B22&lt;=1,ROUND(C19*F24*F23/2,0)+ROUND(C20*F24*F23/2,0),ROUND(C19*(POWER((1+F24),F23/2)-1),0)+ROUND(C20*(POWER((1+F24),F23/2)-1),0))</f>
        <v>61448</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ROUND(J13*M23,0)</f>
        <v>0</v>
      </c>
      <c r="K23" s="1797" t="s">
        <v>1447</v>
      </c>
      <c r="L23" s="347" t="s">
        <v>1448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ROUND(J5*M24,0)</f>
        <v>0</v>
      </c>
      <c r="K24" s="1342" t="s">
        <v>1452</v>
      </c>
      <c r="L24" s="1340" t="s">
        <v>1448</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1453</v>
      </c>
      <c r="B25" s="347" t="s">
        <v>1454</v>
      </c>
      <c r="C25" s="24"/>
      <c r="D25" s="140" t="s">
        <v>1455</v>
      </c>
      <c r="E25" s="1817"/>
      <c r="F25" s="26"/>
      <c r="G25" s="1850"/>
      <c r="H25" s="1329" t="s">
        <v>1027</v>
      </c>
      <c r="I25" s="1344" t="s">
        <v>1456</v>
      </c>
      <c r="J25" s="355">
        <f ca="1">J5-J16</f>
        <v>-39287</v>
      </c>
      <c r="K25" s="1345" t="s">
        <v>1457</v>
      </c>
      <c r="L25" s="1346"/>
      <c r="M25" s="1347"/>
    </row>
    <row r="26" spans="1:37" ht="18" customHeight="1">
      <c r="A26" s="1201" t="s">
        <v>1030</v>
      </c>
      <c r="B26" s="347" t="s">
        <v>1458</v>
      </c>
      <c r="C26" s="24">
        <f ca="1">ROUND((C19+C20)*F26,0)</f>
        <v>194047</v>
      </c>
      <c r="D26" s="369" t="s">
        <v>1459</v>
      </c>
      <c r="E26" s="358" t="s">
        <v>1460</v>
      </c>
      <c r="F26" s="357">
        <f ca="1">INDIRECT("'数据-取费表'!q"&amp;$G$1)</f>
        <v>0.15</v>
      </c>
      <c r="G26" s="1850"/>
      <c r="H26" s="344" t="s">
        <v>1028</v>
      </c>
      <c r="I26" s="345" t="s">
        <v>1461</v>
      </c>
      <c r="J26" s="346">
        <f ca="1">IF(J5&lt;&gt;0,ROUND(J25*(1-((1+M28)/(1+M26))^M27)/(M26-M28),0),0)</f>
        <v>0</v>
      </c>
      <c r="K26" s="370" t="s">
        <v>1462</v>
      </c>
      <c r="L26" s="347" t="s">
        <v>1463</v>
      </c>
      <c r="M26" s="357">
        <f ca="1">INDIRECT("'数据-取费表'!I"&amp;$G$1)</f>
        <v>5.5E-2</v>
      </c>
    </row>
    <row r="27" spans="1:37" ht="18" customHeight="1">
      <c r="A27" s="1201" t="s">
        <v>1032</v>
      </c>
      <c r="B27" s="347" t="s">
        <v>1464</v>
      </c>
      <c r="C27" s="24">
        <f ca="1">ROUND(F21*F26,4)</f>
        <v>3.0000000000000001E-3</v>
      </c>
      <c r="D27" s="369" t="s">
        <v>1465</v>
      </c>
      <c r="E27" s="365"/>
      <c r="F27" s="366"/>
      <c r="G27" s="1850"/>
      <c r="H27" s="349"/>
      <c r="I27" s="350"/>
      <c r="J27" s="351"/>
      <c r="K27" s="378" t="s">
        <v>1466</v>
      </c>
      <c r="L27" s="347" t="s">
        <v>1467</v>
      </c>
      <c r="M27" s="379">
        <f ca="1">INDIRECT("'数据-取费表'!ag"&amp;$G$1)</f>
        <v>0</v>
      </c>
    </row>
    <row r="28" spans="1:37" s="1857" customFormat="1" ht="18" customHeight="1">
      <c r="A28" s="1201" t="s">
        <v>1033</v>
      </c>
      <c r="B28" s="347" t="s">
        <v>1468</v>
      </c>
      <c r="C28" s="24">
        <f>ROUND(F28/(1+'数据-取费表'!C42),4)</f>
        <v>5.33E-2</v>
      </c>
      <c r="D28" s="369" t="s">
        <v>1469</v>
      </c>
      <c r="E28" s="347" t="s">
        <v>1415</v>
      </c>
      <c r="F28" s="367">
        <f>'数据-取费表'!B41</f>
        <v>5.6000000000000001E-2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1678921</v>
      </c>
      <c r="D29" s="1342"/>
      <c r="E29" s="1340"/>
      <c r="F29" s="1343"/>
      <c r="G29" s="1853"/>
      <c r="H29" s="380" t="s">
        <v>1029</v>
      </c>
      <c r="I29" s="381" t="s">
        <v>1472</v>
      </c>
      <c r="J29" s="382">
        <f ca="1">ROUND(J26/(1+F40)^F41,0)</f>
        <v>0</v>
      </c>
      <c r="K29" s="383" t="s">
        <v>1473</v>
      </c>
      <c r="L29" s="384"/>
      <c r="M29" s="385">
        <f ca="1">INDIRECT("'数据-取费表'!k"&amp;$G$1)</f>
        <v>333.1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151655</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ROUND(IF(项目基本情况!B11="自然人",C6*F31/(1+'数据-取费表'!C42),C32+C33+C34),0)</f>
        <v>117385</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IF(项目基本情况!B11="自然人","——",ROUND(C6*F32/(1+'数据-取费表'!C42),0))</f>
        <v>37350</v>
      </c>
      <c r="D32" s="1797" t="s">
        <v>1427</v>
      </c>
      <c r="E32" s="347" t="s">
        <v>1415</v>
      </c>
      <c r="F32" s="377">
        <f>'数据-取费表'!B41</f>
        <v>5.6000000000000001E-2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80035</v>
      </c>
      <c r="D33" s="1827" t="s">
        <v>3141</v>
      </c>
      <c r="E33" s="347" t="s">
        <v>1415</v>
      </c>
      <c r="F33" s="367">
        <f>IF(D33="按票据","——",IF(D33="按租金收入计税",'数据-取费表'!B51,'数据-取费表'!B50))</f>
        <v>0.12</v>
      </c>
      <c r="G33" s="1850"/>
      <c r="H33" s="1858"/>
      <c r="I33" s="1859"/>
      <c r="J33" s="1860"/>
      <c r="K33" s="1861"/>
      <c r="L33" s="1858"/>
      <c r="M33" s="1858"/>
    </row>
    <row r="34" spans="1:18" ht="18" customHeight="1">
      <c r="A34" s="1291" t="s">
        <v>1383</v>
      </c>
      <c r="B34" s="164" t="s">
        <v>1434</v>
      </c>
      <c r="C34" s="25">
        <f ca="1">IF(项目基本情况!B11="自然人","——",ROUND(F34*F35,))</f>
        <v>0</v>
      </c>
      <c r="D34" s="370" t="s">
        <v>1435</v>
      </c>
      <c r="E34" s="347" t="s">
        <v>1436</v>
      </c>
      <c r="F34" s="371">
        <f>'数据-取费表'!B52</f>
        <v>12</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ROUND(C29*F36,0)</f>
        <v>25184</v>
      </c>
      <c r="D36" s="1797" t="s">
        <v>1475</v>
      </c>
      <c r="E36" s="347" t="s">
        <v>1415</v>
      </c>
      <c r="F36" s="374">
        <f ca="1">INDIRECT("'数据-取费表'!Ak"&amp;$G$1)</f>
        <v>1.4999999999999999E-2</v>
      </c>
      <c r="G36" s="1850"/>
      <c r="H36" s="1858"/>
      <c r="I36" s="1859"/>
      <c r="J36" s="1860"/>
      <c r="K36" s="751"/>
      <c r="L36" s="1858"/>
      <c r="M36" s="1858"/>
    </row>
    <row r="37" spans="1:18" ht="18" customHeight="1">
      <c r="A37" s="1201" t="s">
        <v>1071</v>
      </c>
      <c r="B37" s="347" t="s">
        <v>1446</v>
      </c>
      <c r="C37" s="24">
        <f ca="1">ROUND(C13*F37,0)</f>
        <v>2065</v>
      </c>
      <c r="D37" s="1797" t="s">
        <v>1447</v>
      </c>
      <c r="E37" s="347" t="s">
        <v>1448</v>
      </c>
      <c r="F37" s="376">
        <f ca="1">INDIRECT("'数据-取费表'!Al"&amp;$G$1)</f>
        <v>1.5E-3</v>
      </c>
      <c r="G37" s="1850"/>
      <c r="H37" s="1858"/>
      <c r="I37" s="1859"/>
      <c r="J37" s="1860"/>
      <c r="K37" s="751"/>
      <c r="L37" s="1858"/>
      <c r="M37" s="1858"/>
    </row>
    <row r="38" spans="1:18" ht="18" customHeight="1" thickBot="1">
      <c r="A38" s="1339" t="s">
        <v>1387</v>
      </c>
      <c r="B38" s="1340" t="s">
        <v>1432</v>
      </c>
      <c r="C38" s="1341">
        <f ca="1">ROUND(C5*F38,1)</f>
        <v>7020.6</v>
      </c>
      <c r="D38" s="1342" t="s">
        <v>1452</v>
      </c>
      <c r="E38" s="1340" t="s">
        <v>1448</v>
      </c>
      <c r="F38" s="1336">
        <f ca="1">INDIRECT("'数据-取费表'!Am"&amp;$G$1)</f>
        <v>0.01</v>
      </c>
      <c r="G38" s="1850"/>
      <c r="H38" s="1858"/>
      <c r="I38" s="1859"/>
      <c r="J38" s="1860"/>
      <c r="K38" s="1864"/>
      <c r="L38" s="1858"/>
      <c r="M38" s="1858"/>
    </row>
    <row r="39" spans="1:18" ht="24.6" customHeight="1" thickTop="1">
      <c r="A39" s="1329" t="s">
        <v>1027</v>
      </c>
      <c r="B39" s="1344" t="s">
        <v>1476</v>
      </c>
      <c r="C39" s="355">
        <f ca="1">C5-C30</f>
        <v>550405</v>
      </c>
      <c r="D39" s="1345" t="s">
        <v>1477</v>
      </c>
      <c r="E39" s="1346"/>
      <c r="F39" s="1347"/>
      <c r="G39" s="1850"/>
      <c r="H39" s="1858"/>
      <c r="I39" s="1859"/>
      <c r="J39" s="1860"/>
      <c r="K39" s="1864"/>
      <c r="L39" s="1858"/>
      <c r="M39" s="1858"/>
    </row>
    <row r="40" spans="1:18" ht="18" customHeight="1">
      <c r="A40" s="344" t="s">
        <v>1028</v>
      </c>
      <c r="B40" s="345" t="s">
        <v>1478</v>
      </c>
      <c r="C40" s="346">
        <f ca="1">ROUND(C39*(1-((1+F42)/(1+F40))^F41)/(F40-F42),0)</f>
        <v>11677875</v>
      </c>
      <c r="D40" s="370" t="s">
        <v>1462</v>
      </c>
      <c r="E40" s="347" t="s">
        <v>1463</v>
      </c>
      <c r="F40" s="357">
        <f ca="1">INDIRECT("'数据-取费表'!I"&amp;$G$1)</f>
        <v>5.5E-2</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35.08</v>
      </c>
      <c r="G41" s="1850"/>
      <c r="H41" s="732"/>
      <c r="I41" s="1859"/>
      <c r="J41" s="1860"/>
      <c r="K41" s="751"/>
      <c r="L41" s="732"/>
      <c r="M41" s="732"/>
    </row>
    <row r="42" spans="1:18" ht="18" customHeight="1">
      <c r="A42" s="353"/>
      <c r="B42" s="354"/>
      <c r="C42" s="355"/>
      <c r="D42" s="373"/>
      <c r="E42" s="347" t="s">
        <v>1470</v>
      </c>
      <c r="F42" s="357">
        <f ca="1">INDIRECT("'数据-取费表'!v"&amp;$G$1)</f>
        <v>2.5000000000000001E-2</v>
      </c>
      <c r="G42" s="1850"/>
      <c r="H42" s="732"/>
      <c r="I42" s="1859"/>
      <c r="J42" s="1860"/>
      <c r="K42" s="751"/>
      <c r="L42" s="732"/>
      <c r="M42" s="732"/>
    </row>
    <row r="43" spans="1:18" ht="18" customHeight="1" thickBot="1">
      <c r="A43" s="380" t="s">
        <v>1029</v>
      </c>
      <c r="B43" s="381" t="s">
        <v>1480</v>
      </c>
      <c r="C43" s="382">
        <f ca="1">ROUND(C40/F43,0)</f>
        <v>35058</v>
      </c>
      <c r="D43" s="383" t="s">
        <v>1481</v>
      </c>
      <c r="E43" s="384" t="s">
        <v>1482</v>
      </c>
      <c r="F43" s="385">
        <f ca="1">INDIRECT("'数据-取费表'!k"&amp;$G$1)</f>
        <v>333.1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-15248208</v>
      </c>
      <c r="D45" s="1938" t="s">
        <v>1597</v>
      </c>
      <c r="E45" s="1865"/>
      <c r="F45" s="1865"/>
      <c r="O45" s="1868" t="s">
        <v>1512</v>
      </c>
      <c r="P45" s="1838"/>
      <c r="Q45" s="1838"/>
      <c r="R45" s="1838"/>
    </row>
    <row r="46" spans="1:18" s="1841" customFormat="1" ht="13.5" thickBot="1">
      <c r="A46" s="1869" t="s">
        <v>1513</v>
      </c>
      <c r="C46" s="1870">
        <f ca="1">ROUND(C45/10000,0)</f>
        <v>-1525</v>
      </c>
      <c r="D46" s="1871" t="str">
        <f>C2</f>
        <v>万元</v>
      </c>
      <c r="I46" s="1872" t="s">
        <v>1514</v>
      </c>
      <c r="J46" s="1873"/>
      <c r="K46" s="1874"/>
      <c r="L46" s="1875" t="str">
        <f ca="1">IF(M47="住宅",0,IF(L48&gt;J51,L60,J60))</f>
        <v>0</v>
      </c>
      <c r="O46" s="1876" t="s">
        <v>1515</v>
      </c>
      <c r="P46" s="1877" t="s">
        <v>1516</v>
      </c>
      <c r="Q46" s="1878" t="s">
        <v>1517</v>
      </c>
      <c r="R46" s="1878" t="s">
        <v>1518</v>
      </c>
    </row>
    <row r="47" spans="1:18" s="1841" customFormat="1" ht="13.5" thickBot="1">
      <c r="A47" s="1165" t="s">
        <v>1390</v>
      </c>
      <c r="B47" s="1197" t="s">
        <v>1391</v>
      </c>
      <c r="C47" s="1197" t="s">
        <v>1392</v>
      </c>
      <c r="D47" s="1197" t="s">
        <v>1393</v>
      </c>
      <c r="E47" s="1279" t="s">
        <v>1394</v>
      </c>
      <c r="F47" s="1280"/>
      <c r="G47" s="792"/>
      <c r="I47" s="1879" t="s">
        <v>1519</v>
      </c>
      <c r="J47" s="1880" t="s">
        <v>3111</v>
      </c>
      <c r="K47" s="1881" t="s">
        <v>1520</v>
      </c>
      <c r="L47" s="1882">
        <f ca="1">INDIRECT("'数据-取费表'!d"&amp;$G$1)</f>
        <v>50</v>
      </c>
      <c r="M47" s="1837" t="str">
        <f>IF(ISNUMBER(FIND("住宅",C1)),"住宅","非住宅")</f>
        <v>非住宅</v>
      </c>
      <c r="O47" s="1883" t="s">
        <v>1036</v>
      </c>
      <c r="P47" s="1884" t="s">
        <v>1521</v>
      </c>
      <c r="Q47" s="1885">
        <f ca="1">C40+J29</f>
        <v>11677875</v>
      </c>
      <c r="R47" s="1885" t="s">
        <v>1522</v>
      </c>
    </row>
    <row r="48" spans="1:18" s="1841" customFormat="1" ht="28.5" thickBot="1">
      <c r="A48" s="1360" t="s">
        <v>1131</v>
      </c>
      <c r="B48" s="345" t="s">
        <v>1395</v>
      </c>
      <c r="C48" s="1816">
        <f ca="1">C49+C53+C55</f>
        <v>0</v>
      </c>
      <c r="D48" s="1362"/>
      <c r="E48" s="1363"/>
      <c r="F48" s="1181"/>
      <c r="G48" s="792"/>
      <c r="H48" s="793"/>
      <c r="I48" s="1886" t="s">
        <v>1523</v>
      </c>
      <c r="J48" s="1887" t="s">
        <v>3143</v>
      </c>
      <c r="K48" s="1888" t="s">
        <v>1524</v>
      </c>
      <c r="L48" s="1889">
        <f ca="1">INDIRECT("'数据-取费表'!f"&amp;$G$1)</f>
        <v>35.08</v>
      </c>
      <c r="O48" s="1883" t="s">
        <v>1037</v>
      </c>
      <c r="P48" s="1884" t="s">
        <v>1525</v>
      </c>
      <c r="Q48" s="1885" t="str">
        <f ca="1">J60</f>
        <v>0</v>
      </c>
      <c r="R48" s="1885" t="s">
        <v>1526</v>
      </c>
    </row>
    <row r="49" spans="1:18" s="1841" customFormat="1" ht="13.5" thickBot="1">
      <c r="A49" s="1194" t="s">
        <v>1132</v>
      </c>
      <c r="B49" s="1828" t="s">
        <v>1483</v>
      </c>
      <c r="C49" s="1364">
        <f ca="1">ROUND(F49*F51*F50*(1-F52),0)</f>
        <v>0</v>
      </c>
      <c r="D49" s="1276" t="s">
        <v>1398</v>
      </c>
      <c r="E49" s="1829" t="s">
        <v>1484</v>
      </c>
      <c r="F49" s="1281"/>
      <c r="G49" s="1890"/>
      <c r="H49" s="793"/>
      <c r="I49" s="1886" t="s">
        <v>1527</v>
      </c>
      <c r="J49" s="1891">
        <f>'数据-取费表'!N18</f>
        <v>2009</v>
      </c>
      <c r="K49" s="1888" t="s">
        <v>1528</v>
      </c>
      <c r="L49" s="1892"/>
      <c r="O49" s="1893" t="s">
        <v>1038</v>
      </c>
      <c r="P49" s="1884" t="s">
        <v>1529</v>
      </c>
      <c r="Q49" s="1885">
        <f ca="1">C29</f>
        <v>1678921</v>
      </c>
      <c r="R49" s="1885" t="s">
        <v>1522</v>
      </c>
    </row>
    <row r="50" spans="1:18" s="1841" customFormat="1" ht="13.5" thickBot="1">
      <c r="A50" s="1195"/>
      <c r="B50" s="1198"/>
      <c r="C50" s="1199"/>
      <c r="D50" s="1172"/>
      <c r="E50" s="1277" t="s">
        <v>1400</v>
      </c>
      <c r="F50" s="1278">
        <f ca="1">F7</f>
        <v>333.1</v>
      </c>
      <c r="H50" s="793"/>
      <c r="I50" s="1886" t="s">
        <v>1530</v>
      </c>
      <c r="J50" s="1894">
        <f>SUMPRODUCT((I63:I65=J47)*(J62:L62=J48)*(J63:L65))</f>
        <v>60</v>
      </c>
      <c r="K50" s="1888" t="s">
        <v>1531</v>
      </c>
      <c r="L50" s="1892"/>
      <c r="M50" s="1895"/>
      <c r="O50" s="1893" t="s">
        <v>1039</v>
      </c>
      <c r="P50" s="1884" t="s">
        <v>1532</v>
      </c>
      <c r="Q50" s="1896" t="e">
        <f ca="1">J58</f>
        <v>#VALUE!</v>
      </c>
      <c r="R50" s="1885"/>
    </row>
    <row r="51" spans="1:18" s="1841" customFormat="1" ht="13.5" thickBot="1">
      <c r="A51" s="1196"/>
      <c r="B51" s="1198"/>
      <c r="C51" s="1199"/>
      <c r="D51" s="1172"/>
      <c r="E51" s="1200" t="s">
        <v>1401</v>
      </c>
      <c r="F51" s="348">
        <f ca="1">F8</f>
        <v>365</v>
      </c>
      <c r="I51" s="1897" t="s">
        <v>1533</v>
      </c>
      <c r="J51" s="1898">
        <f>IF(J49="",J50,J49+J50-YEAR('数据-取费表'!B2))</f>
        <v>48</v>
      </c>
      <c r="K51" s="1899" t="s">
        <v>1534</v>
      </c>
      <c r="L51" s="1900">
        <f ca="1">ROUND(-PV(INDIRECT("'数据-取费表'!h"&amp;$G$1),L48,(C39-C13*C76),0),0)</f>
        <v>7102439</v>
      </c>
      <c r="M51" s="1901"/>
      <c r="O51" s="1893" t="s">
        <v>1040</v>
      </c>
      <c r="P51" s="1884" t="s">
        <v>1535</v>
      </c>
      <c r="Q51" s="1896">
        <f>J52</f>
        <v>0.09</v>
      </c>
      <c r="R51" s="1885"/>
    </row>
    <row r="52" spans="1:18" s="1841" customFormat="1" ht="13.5" thickBot="1">
      <c r="A52" s="1196"/>
      <c r="B52" s="1198"/>
      <c r="C52" s="1199"/>
      <c r="D52" s="1172"/>
      <c r="E52" s="1200" t="s">
        <v>1402</v>
      </c>
      <c r="F52" s="1275"/>
      <c r="I52" s="1902" t="s">
        <v>1536</v>
      </c>
      <c r="J52" s="1903">
        <v>0.09</v>
      </c>
      <c r="K52" s="1902" t="s">
        <v>1537</v>
      </c>
      <c r="L52" s="1903"/>
      <c r="O52" s="1893" t="s">
        <v>1041</v>
      </c>
      <c r="P52" s="1884" t="s">
        <v>1538</v>
      </c>
      <c r="Q52" s="1885">
        <f ca="1">J53</f>
        <v>35.08</v>
      </c>
      <c r="R52" s="1885" t="s">
        <v>1539</v>
      </c>
    </row>
    <row r="53" spans="1:18" s="1841" customFormat="1" ht="30.75" customHeight="1" thickBot="1">
      <c r="A53" s="1361" t="s">
        <v>1133</v>
      </c>
      <c r="B53" s="369" t="s">
        <v>1403</v>
      </c>
      <c r="C53" s="361">
        <f ca="1">ROUND(IF(F53="押一",C49/12*F11,IF(F53="押二",C49/12*2*F11,IF(F53="押三",C49/12*3*F11,C54*F11))),0)</f>
        <v>0</v>
      </c>
      <c r="D53" s="1823" t="s">
        <v>3027</v>
      </c>
      <c r="E53" s="358" t="s">
        <v>1404</v>
      </c>
      <c r="F53" s="1366"/>
      <c r="I53" s="1904" t="s">
        <v>1540</v>
      </c>
      <c r="J53" s="2949">
        <f ca="1">IF(M47="住宅",IF(D1="——",MAX(J51,L48),MAX(J51,L48-'数据-取费表'!B24)),IF(D1="——",MIN(J51,L48),MIN(J51,L48-'数据-取费表'!B24)))</f>
        <v>35.08</v>
      </c>
      <c r="K53" s="3247" t="s">
        <v>1541</v>
      </c>
      <c r="L53" s="3248"/>
      <c r="O53" s="1883" t="s">
        <v>1042</v>
      </c>
      <c r="P53" s="1884" t="s">
        <v>1542</v>
      </c>
      <c r="Q53" s="1885">
        <f ca="1">Q47+Q48</f>
        <v>11677875</v>
      </c>
      <c r="R53" s="1885" t="s">
        <v>1043</v>
      </c>
    </row>
    <row r="54" spans="1:18" s="1841" customFormat="1" ht="13.5" thickBot="1">
      <c r="A54" s="1194"/>
      <c r="B54" s="1939" t="s">
        <v>1596</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t="e">
        <f ca="1">ROUND(IF(J47="钢混",J57/J50,1-(1-2%)*(J50-J57)/J50),3)</f>
        <v>#VALUE!</v>
      </c>
      <c r="K55" s="1910" t="s">
        <v>1545</v>
      </c>
      <c r="L55" s="1911"/>
      <c r="O55" s="1876" t="s">
        <v>1515</v>
      </c>
      <c r="P55" s="1877" t="s">
        <v>1516</v>
      </c>
      <c r="Q55" s="1878" t="s">
        <v>1517</v>
      </c>
      <c r="R55" s="1878" t="s">
        <v>1518</v>
      </c>
    </row>
    <row r="56" spans="1:18" s="1841" customFormat="1" ht="36" customHeight="1" thickTop="1" thickBot="1">
      <c r="A56" s="1176">
        <v>2</v>
      </c>
      <c r="B56" s="1177" t="s">
        <v>1407</v>
      </c>
      <c r="C56" s="276">
        <f ca="1">C13</f>
        <v>1376715</v>
      </c>
      <c r="D56" s="1912"/>
      <c r="E56" s="1913"/>
      <c r="F56" s="1905"/>
      <c r="I56" s="1914" t="s">
        <v>1547</v>
      </c>
      <c r="J56" s="1915" t="s">
        <v>3065</v>
      </c>
      <c r="K56" s="1886" t="s">
        <v>1548</v>
      </c>
      <c r="L56" s="1889" t="str">
        <f ca="1">IF(L48&lt;J51,"——",L48-J51)</f>
        <v>——</v>
      </c>
      <c r="O56" s="1883" t="s">
        <v>1036</v>
      </c>
      <c r="P56" s="1884" t="s">
        <v>1521</v>
      </c>
      <c r="Q56" s="1885">
        <f ca="1">C40+J29</f>
        <v>11677875</v>
      </c>
      <c r="R56" s="1885" t="s">
        <v>1522</v>
      </c>
    </row>
    <row r="57" spans="1:18" s="1841" customFormat="1" ht="24.75" thickBot="1">
      <c r="A57" s="1916"/>
      <c r="B57" s="1169" t="s">
        <v>1471</v>
      </c>
      <c r="C57" s="282">
        <f ca="1">C29</f>
        <v>1678921</v>
      </c>
      <c r="D57" s="1917"/>
      <c r="E57" s="1918"/>
      <c r="F57" s="1919"/>
      <c r="I57" s="1920" t="s">
        <v>1549</v>
      </c>
      <c r="J57" s="1921" t="str">
        <f ca="1">IF(OR(M47="住宅",J51&lt;L48,J56="是"),"——",J51-L48)</f>
        <v>——</v>
      </c>
      <c r="K57" s="1886" t="s">
        <v>1598</v>
      </c>
      <c r="L57" s="1889" t="str">
        <f ca="1">IF(L48&lt;J51,"——",IF(L55="比较法",L49,IF(L55="基准地价",L50,L51)))</f>
        <v>——</v>
      </c>
      <c r="O57" s="1883" t="s">
        <v>1037</v>
      </c>
      <c r="P57" s="1884" t="s">
        <v>1599</v>
      </c>
      <c r="Q57" s="1885">
        <f ca="1">L60</f>
        <v>0</v>
      </c>
      <c r="R57" s="1885" t="s">
        <v>1600</v>
      </c>
    </row>
    <row r="58" spans="1:18" s="1841" customFormat="1" ht="24.75" thickBot="1">
      <c r="A58" s="360" t="s">
        <v>1026</v>
      </c>
      <c r="B58" s="1177" t="s">
        <v>1417</v>
      </c>
      <c r="C58" s="361">
        <f ca="1">ROUND(C59+C64+C65+C66,0)</f>
        <v>168278</v>
      </c>
      <c r="D58" s="1179" t="s">
        <v>1418</v>
      </c>
      <c r="E58" s="1180"/>
      <c r="F58" s="1181"/>
      <c r="I58" s="1920" t="s">
        <v>1553</v>
      </c>
      <c r="J58" s="1922" t="e">
        <f ca="1">IF(J55&lt;0.4,0.4,J55)</f>
        <v>#VALUE!</v>
      </c>
      <c r="K58" s="1899" t="s">
        <v>1601</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ROUND(IF(项目基本情况!B11="自然人",C48*F59,C60+C61+C62),0)</f>
        <v>141029</v>
      </c>
      <c r="D59" s="1182" t="s">
        <v>1423</v>
      </c>
      <c r="E59" s="1183" t="s">
        <v>1424</v>
      </c>
      <c r="F59" s="368" t="str">
        <f ca="1">IF(项目基本情况!B11="企业","",IF(INDIRECT("'数据-取费表'!c"&amp;$G$1)="住宅",5%,IF(F49*F50*F51/12/(1+'数据-取费表'!C42)&gt;20000,12%,7%)))</f>
        <v/>
      </c>
      <c r="I59" s="1920" t="s">
        <v>1556</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IF(项目基本情况!B11="自然人","——",ROUND(C48*F60/(1+'数据-取费表'!C42),0))</f>
        <v>0</v>
      </c>
      <c r="D60" s="1183" t="s">
        <v>1427</v>
      </c>
      <c r="E60" s="1169" t="s">
        <v>1415</v>
      </c>
      <c r="F60" s="377">
        <f t="shared" ref="F60:F66" si="0">F32</f>
        <v>5.6000000000000001E-2</v>
      </c>
      <c r="I60" s="1923" t="s">
        <v>1558</v>
      </c>
      <c r="J60" s="1924" t="str">
        <f ca="1">IF(OR(M47="住宅",J51&lt;L48,J56="是"),"0",ROUND(J59/(1+J52)^J53,0))</f>
        <v>0</v>
      </c>
      <c r="K60" s="1925" t="s">
        <v>1559</v>
      </c>
      <c r="L60" s="1924">
        <f ca="1">IF(OR(M47="住宅",L48&lt;J51),0,ROUND(L57*(L58/L59-1),0))</f>
        <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IF(项目基本情况!B11="自然人","——",IF(D61="按租金收入计税",ROUND(C48*F61,0),IF(D61="按房产原值计税",ROUND(C57*F61*0.7,0),INDIRECT("'数据-取费表'!Aj"&amp;$G$1))))</f>
        <v>141029</v>
      </c>
      <c r="D61" s="1827" t="s">
        <v>1431</v>
      </c>
      <c r="E61" s="1169" t="s">
        <v>1487</v>
      </c>
      <c r="F61" s="367">
        <f t="shared" si="0"/>
        <v>0.12</v>
      </c>
      <c r="I61" s="1926"/>
      <c r="J61" s="1926"/>
      <c r="K61" s="1926"/>
      <c r="L61" s="1926"/>
      <c r="O61" s="1893" t="s">
        <v>1041</v>
      </c>
      <c r="P61" s="1884" t="str">
        <f>K59</f>
        <v>建筑物剩余耐用年限下的土地年期修正系数Kn</v>
      </c>
      <c r="Q61" s="1885" t="e">
        <f ca="1">L59</f>
        <v>#DIV/0!</v>
      </c>
      <c r="R61" s="1885" t="s">
        <v>1562</v>
      </c>
    </row>
    <row r="62" spans="1:18" s="1841" customFormat="1" ht="13.5" thickBot="1">
      <c r="A62" s="1201" t="s">
        <v>1488</v>
      </c>
      <c r="B62" s="1168" t="s">
        <v>1489</v>
      </c>
      <c r="C62" s="25">
        <f ca="1">IF(项目基本情况!B11="自然人","——",ROUND(F62*F63,0))</f>
        <v>0</v>
      </c>
      <c r="D62" s="1184" t="s">
        <v>1490</v>
      </c>
      <c r="E62" s="1169" t="s">
        <v>1491</v>
      </c>
      <c r="F62" s="371">
        <f t="shared" si="0"/>
        <v>12</v>
      </c>
      <c r="I62" s="1927" t="s">
        <v>1563</v>
      </c>
      <c r="J62" s="1928" t="s">
        <v>1564</v>
      </c>
      <c r="K62" s="1928" t="s">
        <v>1565</v>
      </c>
      <c r="L62" s="1928" t="s">
        <v>1566</v>
      </c>
      <c r="M62" s="1929" t="s">
        <v>1567</v>
      </c>
      <c r="O62" s="1883" t="s">
        <v>1042</v>
      </c>
      <c r="P62" s="1884" t="s">
        <v>1568</v>
      </c>
      <c r="Q62" s="1885">
        <f ca="1">Q56+Q57</f>
        <v>11677875</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ROUND(C57*F64,0)</f>
        <v>25184</v>
      </c>
      <c r="D64" s="1183" t="s">
        <v>1495</v>
      </c>
      <c r="E64" s="1169" t="s">
        <v>1487</v>
      </c>
      <c r="F64" s="374">
        <f t="shared" ca="1" si="0"/>
        <v>1.4999999999999999E-2</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ROUND(C56*F65,0)</f>
        <v>2065</v>
      </c>
      <c r="D65" s="1183" t="s">
        <v>1447</v>
      </c>
      <c r="E65" s="1169" t="s">
        <v>1448</v>
      </c>
      <c r="F65" s="376">
        <f t="shared" ca="1" si="0"/>
        <v>1.5E-3</v>
      </c>
      <c r="I65" s="1927" t="s">
        <v>1572</v>
      </c>
      <c r="J65" s="1928">
        <v>40</v>
      </c>
      <c r="K65" s="1928">
        <v>30</v>
      </c>
      <c r="L65" s="1928">
        <v>50</v>
      </c>
      <c r="M65" s="1930">
        <v>0.02</v>
      </c>
      <c r="O65" s="1883" t="s">
        <v>1036</v>
      </c>
      <c r="P65" s="1884" t="s">
        <v>1573</v>
      </c>
      <c r="Q65" s="1885">
        <f ca="1">C40+J29</f>
        <v>11677875</v>
      </c>
      <c r="R65" s="1885" t="s">
        <v>1522</v>
      </c>
    </row>
    <row r="66" spans="1:18" s="1841" customFormat="1" ht="16.5" thickBot="1">
      <c r="A66" s="1201" t="s">
        <v>1497</v>
      </c>
      <c r="B66" s="1169" t="s">
        <v>1432</v>
      </c>
      <c r="C66" s="24">
        <f ca="1">ROUND(C48*F66,0)</f>
        <v>0</v>
      </c>
      <c r="D66" s="1183" t="s">
        <v>1498</v>
      </c>
      <c r="E66" s="1169" t="s">
        <v>1415</v>
      </c>
      <c r="F66" s="357">
        <f t="shared" ca="1" si="0"/>
        <v>0.01</v>
      </c>
      <c r="O66" s="1883" t="s">
        <v>1037</v>
      </c>
      <c r="P66" s="1884" t="s">
        <v>1551</v>
      </c>
      <c r="Q66" s="1885">
        <f ca="1">L60</f>
        <v>0</v>
      </c>
      <c r="R66" s="1885" t="s">
        <v>1574</v>
      </c>
    </row>
    <row r="67" spans="1:18" s="1841" customFormat="1" ht="16.5" thickBot="1">
      <c r="A67" s="1176" t="s">
        <v>1027</v>
      </c>
      <c r="B67" s="1186" t="s">
        <v>1456</v>
      </c>
      <c r="C67" s="361">
        <f ca="1">C48-C58</f>
        <v>-168278</v>
      </c>
      <c r="D67" s="1182" t="s">
        <v>1457</v>
      </c>
      <c r="E67" s="1187"/>
      <c r="F67" s="1188"/>
      <c r="O67" s="1893" t="s">
        <v>1038</v>
      </c>
      <c r="P67" s="1884" t="s">
        <v>1555</v>
      </c>
      <c r="Q67" s="1931">
        <f ca="1">L51</f>
        <v>7102439</v>
      </c>
      <c r="R67" s="1885" t="s">
        <v>1575</v>
      </c>
    </row>
    <row r="68" spans="1:18" s="1841" customFormat="1" ht="16.5" thickBot="1">
      <c r="A68" s="1166" t="s">
        <v>1028</v>
      </c>
      <c r="B68" s="1167" t="s">
        <v>1478</v>
      </c>
      <c r="C68" s="346">
        <f ca="1">ROUND(C67*(1-((1+F70)/(1+F68))^F69)/(F68-F70),0)</f>
        <v>-3570333</v>
      </c>
      <c r="D68" s="1184" t="s">
        <v>1462</v>
      </c>
      <c r="E68" s="1169" t="s">
        <v>1463</v>
      </c>
      <c r="F68" s="357">
        <f ca="1">F40</f>
        <v>5.5E-2</v>
      </c>
      <c r="O68" s="1893" t="s">
        <v>1039</v>
      </c>
      <c r="P68" s="1932" t="s">
        <v>1576</v>
      </c>
      <c r="Q68" s="1885">
        <f ca="1">ROUND(Q69-Q70*Q71,0)</f>
        <v>433384</v>
      </c>
      <c r="R68" s="1885" t="s">
        <v>1047</v>
      </c>
    </row>
    <row r="69" spans="1:18" s="1841" customFormat="1" ht="13.5" thickBot="1">
      <c r="A69" s="1170"/>
      <c r="B69" s="1171"/>
      <c r="C69" s="351"/>
      <c r="D69" s="1189" t="s">
        <v>1466</v>
      </c>
      <c r="E69" s="1169" t="s">
        <v>1467</v>
      </c>
      <c r="F69" s="379">
        <f ca="1">F41</f>
        <v>35.08</v>
      </c>
      <c r="O69" s="1893" t="s">
        <v>1044</v>
      </c>
      <c r="P69" s="1932" t="s">
        <v>1577</v>
      </c>
      <c r="Q69" s="1885">
        <f ca="1">C39</f>
        <v>550405</v>
      </c>
      <c r="R69" s="1885" t="s">
        <v>1522</v>
      </c>
    </row>
    <row r="70" spans="1:18" s="1841" customFormat="1" ht="13.5" thickBot="1">
      <c r="A70" s="1173"/>
      <c r="B70" s="1174"/>
      <c r="C70" s="355"/>
      <c r="D70" s="1185"/>
      <c r="E70" s="1169" t="s">
        <v>1470</v>
      </c>
      <c r="F70" s="1275">
        <f ca="1">F42</f>
        <v>2.5000000000000001E-2</v>
      </c>
      <c r="O70" s="1893" t="s">
        <v>1045</v>
      </c>
      <c r="P70" s="1932" t="s">
        <v>1578</v>
      </c>
      <c r="Q70" s="1885">
        <f ca="1">C13</f>
        <v>1376715</v>
      </c>
      <c r="R70" s="1885" t="s">
        <v>1522</v>
      </c>
    </row>
    <row r="71" spans="1:18" s="1841" customFormat="1" ht="13.5" thickBot="1">
      <c r="A71" s="1190" t="s">
        <v>1029</v>
      </c>
      <c r="B71" s="1191" t="s">
        <v>1480</v>
      </c>
      <c r="C71" s="382">
        <f ca="1">ROUND(C68/F71,0)</f>
        <v>-10719</v>
      </c>
      <c r="D71" s="1192" t="s">
        <v>1481</v>
      </c>
      <c r="E71" s="1193" t="s">
        <v>1482</v>
      </c>
      <c r="F71" s="385">
        <f ca="1">F43</f>
        <v>333.1</v>
      </c>
      <c r="O71" s="1893" t="s">
        <v>1046</v>
      </c>
      <c r="P71" s="1932" t="s">
        <v>1579</v>
      </c>
      <c r="Q71" s="1896">
        <f ca="1">C76</f>
        <v>8.5000000000000006E-2</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建筑物剩余耐用年限下的土地年期修正系数Kn</v>
      </c>
      <c r="Q74" s="1885" t="e">
        <f ca="1">L59</f>
        <v>#DIV/0!</v>
      </c>
      <c r="R74" s="1885" t="s">
        <v>1562</v>
      </c>
    </row>
    <row r="75" spans="1:18" ht="13.5" thickBot="1">
      <c r="A75" s="1841"/>
      <c r="B75" s="386" t="s">
        <v>1499</v>
      </c>
      <c r="C75" s="387">
        <f ca="1">ROUND(C13*C76,0)</f>
        <v>117021</v>
      </c>
      <c r="D75" s="1841"/>
      <c r="E75" s="1841"/>
      <c r="F75" s="1841"/>
      <c r="K75" s="1867"/>
      <c r="L75" s="1841"/>
      <c r="O75" s="1883" t="s">
        <v>1042</v>
      </c>
      <c r="P75" s="1884" t="s">
        <v>1542</v>
      </c>
      <c r="Q75" s="1885">
        <f ca="1">Q65+Q66</f>
        <v>11677875</v>
      </c>
      <c r="R75" s="1885" t="s">
        <v>1043</v>
      </c>
    </row>
    <row r="76" spans="1:18">
      <c r="B76" s="388" t="s">
        <v>1500</v>
      </c>
      <c r="C76" s="389">
        <f ca="1">INDIRECT("'数据-取费表'!j"&amp;$G$1)</f>
        <v>8.5000000000000006E-2</v>
      </c>
      <c r="I76" s="1841"/>
      <c r="J76" s="1841"/>
      <c r="K76" s="1867"/>
      <c r="L76" s="1841"/>
    </row>
    <row r="77" spans="1:18">
      <c r="B77" s="390" t="s">
        <v>1501</v>
      </c>
      <c r="C77" s="391"/>
      <c r="I77" s="1841"/>
      <c r="J77" s="1841"/>
      <c r="K77" s="1867"/>
      <c r="L77" s="1841"/>
    </row>
    <row r="78" spans="1:18">
      <c r="B78" s="314" t="s">
        <v>1502</v>
      </c>
      <c r="C78" s="392"/>
    </row>
    <row r="79" spans="1:18">
      <c r="B79" s="386" t="s">
        <v>1503</v>
      </c>
      <c r="C79" s="318">
        <f ca="1">1-C80</f>
        <v>0.78700000000000003</v>
      </c>
    </row>
    <row r="80" spans="1:18">
      <c r="B80" s="386" t="s">
        <v>1504</v>
      </c>
      <c r="C80" s="318">
        <f ca="1">ROUND(C75/C39,3)</f>
        <v>0.21299999999999999</v>
      </c>
    </row>
    <row r="81" spans="2:3">
      <c r="B81" s="314" t="s">
        <v>1505</v>
      </c>
      <c r="C81" s="282"/>
    </row>
    <row r="82" spans="2:3">
      <c r="B82" s="317" t="s">
        <v>1506</v>
      </c>
      <c r="C82" s="319">
        <f ca="1">1-C83</f>
        <v>0.88200000000000001</v>
      </c>
    </row>
    <row r="83" spans="2:3">
      <c r="B83" s="317" t="s">
        <v>1507</v>
      </c>
      <c r="C83" s="318">
        <f ca="1">ROUND(C13/C40,3)</f>
        <v>0.11799999999999999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2514</v>
      </c>
      <c r="B1" s="2561"/>
      <c r="C1" s="2561"/>
      <c r="D1" s="2561"/>
      <c r="E1" s="2562"/>
    </row>
    <row r="2" spans="1:6" ht="15.75">
      <c r="A2" s="2563" t="s">
        <v>2315</v>
      </c>
      <c r="B2" s="2564">
        <f ca="1">SUMIF(B6:B13,"&lt;&gt;#ref!",B6:B13)</f>
        <v>1168</v>
      </c>
      <c r="C2" s="2565" t="s">
        <v>2507</v>
      </c>
      <c r="D2" s="2566" t="s">
        <v>2508</v>
      </c>
      <c r="E2" s="2567">
        <f>SUM(E6:E13)</f>
        <v>333.1</v>
      </c>
    </row>
    <row r="3" spans="1:6" ht="15.75">
      <c r="A3" s="2563" t="s">
        <v>1389</v>
      </c>
      <c r="B3" s="2564">
        <f ca="1">ROUND(B2*10000/E2,0)</f>
        <v>35065</v>
      </c>
      <c r="C3" s="2565" t="s">
        <v>2515</v>
      </c>
      <c r="D3" s="2568"/>
      <c r="E3" s="2569"/>
    </row>
    <row r="4" spans="1:6" ht="15.75">
      <c r="A4" s="2570"/>
      <c r="B4" s="2568"/>
      <c r="C4" s="2568"/>
      <c r="D4" s="2568"/>
      <c r="E4" s="2569"/>
    </row>
    <row r="5" spans="1:6" ht="15">
      <c r="A5" s="2571" t="s">
        <v>2509</v>
      </c>
      <c r="B5" s="3252" t="s">
        <v>2510</v>
      </c>
      <c r="C5" s="3252"/>
      <c r="D5" s="2572"/>
      <c r="E5" s="2573" t="s">
        <v>2511</v>
      </c>
      <c r="F5" s="2574" t="s">
        <v>2512</v>
      </c>
    </row>
    <row r="6" spans="1:6">
      <c r="A6" s="2575" t="str">
        <f>'数据-取费表'!AN6</f>
        <v>收益法 (元)</v>
      </c>
      <c r="B6" s="2574">
        <f ca="1">IF(F6="是",'数据-取费表'!AO6,0)</f>
        <v>1168</v>
      </c>
      <c r="C6" s="2565" t="s">
        <v>2507</v>
      </c>
      <c r="D6" s="2568"/>
      <c r="E6" s="2576">
        <f>IF(OR(A6=0,F6="否"),0,'数据-取费表'!K6+'数据-取费表'!S6)</f>
        <v>333.1</v>
      </c>
      <c r="F6" s="2577" t="s">
        <v>2513</v>
      </c>
    </row>
    <row r="7" spans="1:6">
      <c r="A7" s="2575">
        <f>'数据-取费表'!AN7</f>
        <v>0</v>
      </c>
      <c r="B7" s="2574" t="e">
        <f ca="1">IF(F7="是",'数据-取费表'!AO7,0)</f>
        <v>#REF!</v>
      </c>
      <c r="C7" s="2565" t="s">
        <v>2507</v>
      </c>
      <c r="D7" s="2568"/>
      <c r="E7" s="2576">
        <f>IF(OR(A7=0,F7="否"),0,'数据-取费表'!K7+'数据-取费表'!S7)</f>
        <v>0</v>
      </c>
      <c r="F7" s="2577" t="s">
        <v>2513</v>
      </c>
    </row>
    <row r="8" spans="1:6">
      <c r="A8" s="2575">
        <f>'数据-取费表'!AN8</f>
        <v>0</v>
      </c>
      <c r="B8" s="2574" t="e">
        <f ca="1">IF(F8="是",'数据-取费表'!AO8,0)</f>
        <v>#REF!</v>
      </c>
      <c r="C8" s="2565" t="s">
        <v>2507</v>
      </c>
      <c r="D8" s="2568"/>
      <c r="E8" s="2576">
        <f>IF(OR(A8=0,F8="否"),0,'数据-取费表'!K8+'数据-取费表'!S8)</f>
        <v>0</v>
      </c>
      <c r="F8" s="2577" t="s">
        <v>2513</v>
      </c>
    </row>
    <row r="9" spans="1:6">
      <c r="A9" s="2575">
        <f>'数据-取费表'!AN9</f>
        <v>0</v>
      </c>
      <c r="B9" s="2574" t="e">
        <f ca="1">IF(F9="是",'数据-取费表'!AO9,0)</f>
        <v>#REF!</v>
      </c>
      <c r="C9" s="2565" t="s">
        <v>2507</v>
      </c>
      <c r="D9" s="2568"/>
      <c r="E9" s="2576">
        <f>IF(OR(A9=0,F9="否"),0,'数据-取费表'!K9+'数据-取费表'!S9)</f>
        <v>0</v>
      </c>
      <c r="F9" s="2577" t="s">
        <v>2513</v>
      </c>
    </row>
    <row r="10" spans="1:6">
      <c r="A10" s="2575">
        <f>'数据-取费表'!AN10</f>
        <v>0</v>
      </c>
      <c r="B10" s="2574" t="e">
        <f ca="1">IF(F10="是",'数据-取费表'!AO10,0)</f>
        <v>#REF!</v>
      </c>
      <c r="C10" s="2565" t="s">
        <v>2507</v>
      </c>
      <c r="D10" s="2568"/>
      <c r="E10" s="2576">
        <f>IF(OR(A10=0,F10="否"),0,'数据-取费表'!K10+'数据-取费表'!S10)</f>
        <v>0</v>
      </c>
      <c r="F10" s="2577" t="s">
        <v>2513</v>
      </c>
    </row>
    <row r="11" spans="1:6">
      <c r="A11" s="2575">
        <f>'数据-取费表'!AN11</f>
        <v>0</v>
      </c>
      <c r="B11" s="2574" t="e">
        <f ca="1">IF(F11="是",'数据-取费表'!AO11,0)</f>
        <v>#REF!</v>
      </c>
      <c r="C11" s="2565" t="s">
        <v>2507</v>
      </c>
      <c r="D11" s="2568"/>
      <c r="E11" s="2576">
        <f>IF(OR(A11=0,F11="否"),0,'数据-取费表'!K11+'数据-取费表'!S11)</f>
        <v>0</v>
      </c>
      <c r="F11" s="2577" t="s">
        <v>2513</v>
      </c>
    </row>
    <row r="12" spans="1:6">
      <c r="A12" s="2575">
        <f>'数据-取费表'!AN12</f>
        <v>0</v>
      </c>
      <c r="B12" s="2574" t="e">
        <f ca="1">IF(F12="是",'数据-取费表'!AO12,0)</f>
        <v>#REF!</v>
      </c>
      <c r="C12" s="2565" t="s">
        <v>2507</v>
      </c>
      <c r="D12" s="2568"/>
      <c r="E12" s="2576">
        <f>IF(OR(A12=0,F12="否"),0,'数据-取费表'!K12+'数据-取费表'!S12)</f>
        <v>0</v>
      </c>
      <c r="F12" s="2577" t="s">
        <v>2513</v>
      </c>
    </row>
    <row r="13" spans="1:6" ht="15" thickBot="1">
      <c r="A13" s="2578">
        <f>'数据-取费表'!AN13</f>
        <v>0</v>
      </c>
      <c r="B13" s="2574" t="e">
        <f ca="1">IF(F13="是",'数据-取费表'!AO13,0)</f>
        <v>#REF!</v>
      </c>
      <c r="C13" s="2579" t="s">
        <v>2507</v>
      </c>
      <c r="D13" s="2580"/>
      <c r="E13" s="2576">
        <f>IF(OR(A13=0,F13="否"),0,'数据-取费表'!K13+'数据-取费表'!S13)</f>
        <v>0</v>
      </c>
      <c r="F13" s="257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9" t="s">
        <v>1072</v>
      </c>
      <c r="B1" s="3270"/>
      <c r="C1" s="3271"/>
      <c r="D1" s="3272">
        <f>SUM(I10,I15,I20,I21,I23)</f>
        <v>0</v>
      </c>
      <c r="E1" s="3272"/>
      <c r="F1" s="3272"/>
      <c r="G1" s="3272"/>
      <c r="H1" s="3272"/>
      <c r="I1" s="3273"/>
    </row>
    <row r="2" spans="1:9">
      <c r="A2" s="3259" t="s">
        <v>1073</v>
      </c>
      <c r="B2" s="3260" t="s">
        <v>1074</v>
      </c>
      <c r="C2" s="3260"/>
      <c r="D2" s="1301" t="s">
        <v>1075</v>
      </c>
      <c r="E2" s="1301" t="s">
        <v>1076</v>
      </c>
      <c r="F2" s="1301" t="s">
        <v>1077</v>
      </c>
      <c r="G2" s="1301" t="s">
        <v>1078</v>
      </c>
      <c r="H2" s="1301" t="s">
        <v>1079</v>
      </c>
      <c r="I2" s="1302" t="s">
        <v>1080</v>
      </c>
    </row>
    <row r="3" spans="1:9">
      <c r="A3" s="3259"/>
      <c r="B3" s="3260" t="s">
        <v>1081</v>
      </c>
      <c r="C3" s="3260"/>
      <c r="D3" s="1303"/>
      <c r="E3" s="1301"/>
      <c r="F3" s="1304"/>
      <c r="G3" s="1304"/>
      <c r="H3" s="1305"/>
      <c r="I3" s="1306">
        <f>ROUND(D3*E3*F3*G3*H3/10000,0)</f>
        <v>0</v>
      </c>
    </row>
    <row r="4" spans="1:9">
      <c r="A4" s="3259"/>
      <c r="B4" s="3260" t="s">
        <v>1082</v>
      </c>
      <c r="C4" s="3260"/>
      <c r="D4" s="1303"/>
      <c r="E4" s="1301"/>
      <c r="F4" s="1304"/>
      <c r="G4" s="1304"/>
      <c r="H4" s="1305"/>
      <c r="I4" s="1306">
        <f t="shared" ref="I4:I9" si="0">ROUND(D4*E4*F4*G4*H4/10000,0)</f>
        <v>0</v>
      </c>
    </row>
    <row r="5" spans="1:9">
      <c r="A5" s="3259"/>
      <c r="B5" s="3260" t="s">
        <v>1083</v>
      </c>
      <c r="C5" s="3260"/>
      <c r="D5" s="1303"/>
      <c r="E5" s="1301"/>
      <c r="F5" s="1304"/>
      <c r="G5" s="1304"/>
      <c r="H5" s="1305"/>
      <c r="I5" s="1306">
        <f t="shared" si="0"/>
        <v>0</v>
      </c>
    </row>
    <row r="6" spans="1:9">
      <c r="A6" s="3259"/>
      <c r="B6" s="3260" t="s">
        <v>1084</v>
      </c>
      <c r="C6" s="3260"/>
      <c r="D6" s="1303"/>
      <c r="E6" s="1301"/>
      <c r="F6" s="1304"/>
      <c r="G6" s="1304"/>
      <c r="H6" s="1305"/>
      <c r="I6" s="1306">
        <f t="shared" si="0"/>
        <v>0</v>
      </c>
    </row>
    <row r="7" spans="1:9">
      <c r="A7" s="3259"/>
      <c r="B7" s="3260" t="s">
        <v>1085</v>
      </c>
      <c r="C7" s="3260"/>
      <c r="D7" s="1303"/>
      <c r="E7" s="1301"/>
      <c r="F7" s="1304"/>
      <c r="G7" s="1304"/>
      <c r="H7" s="1305"/>
      <c r="I7" s="1306">
        <f t="shared" si="0"/>
        <v>0</v>
      </c>
    </row>
    <row r="8" spans="1:9">
      <c r="A8" s="3259"/>
      <c r="B8" s="3260" t="s">
        <v>1086</v>
      </c>
      <c r="C8" s="3260"/>
      <c r="D8" s="1303"/>
      <c r="E8" s="1301"/>
      <c r="F8" s="1304"/>
      <c r="G8" s="1304"/>
      <c r="H8" s="1305"/>
      <c r="I8" s="1306">
        <f t="shared" si="0"/>
        <v>0</v>
      </c>
    </row>
    <row r="9" spans="1:9">
      <c r="A9" s="3259"/>
      <c r="B9" s="3260" t="s">
        <v>1087</v>
      </c>
      <c r="C9" s="3260"/>
      <c r="D9" s="1303"/>
      <c r="E9" s="1301"/>
      <c r="F9" s="1304"/>
      <c r="G9" s="1304"/>
      <c r="H9" s="1305"/>
      <c r="I9" s="1306">
        <f t="shared" si="0"/>
        <v>0</v>
      </c>
    </row>
    <row r="10" spans="1:9">
      <c r="A10" s="3259"/>
      <c r="B10" s="3261" t="s">
        <v>1088</v>
      </c>
      <c r="C10" s="3261"/>
      <c r="D10" s="1307"/>
      <c r="E10" s="1307" t="e">
        <f>ROUND(D1*10000/D10/H9,0)</f>
        <v>#DIV/0!</v>
      </c>
      <c r="F10" s="1308"/>
      <c r="G10" s="1308"/>
      <c r="H10" s="1309"/>
      <c r="I10" s="1310">
        <f>SUM(I3:I9)</f>
        <v>0</v>
      </c>
    </row>
    <row r="11" spans="1:9" ht="14.25">
      <c r="A11" s="3259" t="s">
        <v>1089</v>
      </c>
      <c r="B11" s="3260" t="s">
        <v>1090</v>
      </c>
      <c r="C11" s="3260"/>
      <c r="D11" s="1303" t="s">
        <v>1091</v>
      </c>
      <c r="E11" s="1303" t="s">
        <v>1092</v>
      </c>
      <c r="F11" s="1304" t="s">
        <v>1093</v>
      </c>
      <c r="G11" s="1304" t="s">
        <v>1079</v>
      </c>
      <c r="H11" s="1311" t="s">
        <v>1094</v>
      </c>
      <c r="I11" s="1302" t="s">
        <v>1080</v>
      </c>
    </row>
    <row r="12" spans="1:9">
      <c r="A12" s="3259"/>
      <c r="B12" s="3260" t="s">
        <v>1095</v>
      </c>
      <c r="C12" s="3260"/>
      <c r="D12" s="1303"/>
      <c r="E12" s="1303"/>
      <c r="F12" s="1304"/>
      <c r="G12" s="1305"/>
      <c r="H12" s="1312"/>
      <c r="I12" s="1302">
        <f>ROUND(D12*E12*F12*G12/10000,0)</f>
        <v>0</v>
      </c>
    </row>
    <row r="13" spans="1:9">
      <c r="A13" s="3259"/>
      <c r="B13" s="3260" t="s">
        <v>1096</v>
      </c>
      <c r="C13" s="3260"/>
      <c r="D13" s="1303"/>
      <c r="E13" s="1303"/>
      <c r="F13" s="1304"/>
      <c r="G13" s="1305"/>
      <c r="H13" s="1312"/>
      <c r="I13" s="1302">
        <f>ROUND(D13*E13*F13*G13/10000,0)</f>
        <v>0</v>
      </c>
    </row>
    <row r="14" spans="1:9">
      <c r="A14" s="3259"/>
      <c r="B14" s="3260" t="s">
        <v>1097</v>
      </c>
      <c r="C14" s="3260"/>
      <c r="D14" s="1303"/>
      <c r="E14" s="1303"/>
      <c r="F14" s="1304"/>
      <c r="G14" s="1305"/>
      <c r="H14" s="1312"/>
      <c r="I14" s="1302">
        <f>ROUND(D14*E14*F14*G14/10000,0)</f>
        <v>0</v>
      </c>
    </row>
    <row r="15" spans="1:9">
      <c r="A15" s="3259"/>
      <c r="B15" s="3261" t="s">
        <v>1088</v>
      </c>
      <c r="C15" s="3261"/>
      <c r="D15" s="1307"/>
      <c r="E15" s="1307">
        <f>SUM(E12:E14)</f>
        <v>0</v>
      </c>
      <c r="F15" s="1308"/>
      <c r="G15" s="1305"/>
      <c r="H15" s="1312"/>
      <c r="I15" s="1313">
        <f>SUM(I12:I14)</f>
        <v>0</v>
      </c>
    </row>
    <row r="16" spans="1:9" ht="24">
      <c r="A16" s="3259" t="s">
        <v>1098</v>
      </c>
      <c r="B16" s="3260" t="s">
        <v>1099</v>
      </c>
      <c r="C16" s="3260"/>
      <c r="D16" s="1303" t="s">
        <v>1075</v>
      </c>
      <c r="E16" s="1314" t="s">
        <v>1100</v>
      </c>
      <c r="F16" s="1304" t="s">
        <v>1101</v>
      </c>
      <c r="G16" s="1305" t="s">
        <v>1079</v>
      </c>
      <c r="H16" s="1311" t="s">
        <v>1094</v>
      </c>
      <c r="I16" s="1302" t="s">
        <v>1080</v>
      </c>
    </row>
    <row r="17" spans="1:9" ht="14.25">
      <c r="A17" s="3259"/>
      <c r="B17" s="3260" t="s">
        <v>1102</v>
      </c>
      <c r="C17" s="3260"/>
      <c r="D17" s="1303"/>
      <c r="E17" s="1303"/>
      <c r="F17" s="1304"/>
      <c r="G17" s="1305"/>
      <c r="H17" s="1315"/>
      <c r="I17" s="1316">
        <f>ROUND(D17*E17*F17*G17/10000,0)</f>
        <v>0</v>
      </c>
    </row>
    <row r="18" spans="1:9" ht="14.25">
      <c r="A18" s="3259"/>
      <c r="B18" s="3260" t="s">
        <v>1103</v>
      </c>
      <c r="C18" s="3260"/>
      <c r="D18" s="1303"/>
      <c r="E18" s="1303"/>
      <c r="F18" s="1304"/>
      <c r="G18" s="1305"/>
      <c r="H18" s="1315"/>
      <c r="I18" s="1316">
        <f>ROUND(D18*E18*F18*G18/10000,0)</f>
        <v>0</v>
      </c>
    </row>
    <row r="19" spans="1:9" ht="14.25">
      <c r="A19" s="3259"/>
      <c r="B19" s="3260" t="s">
        <v>1104</v>
      </c>
      <c r="C19" s="3260"/>
      <c r="D19" s="1303"/>
      <c r="E19" s="1303"/>
      <c r="F19" s="1304"/>
      <c r="G19" s="1305"/>
      <c r="H19" s="1315"/>
      <c r="I19" s="1316">
        <f>ROUND(D19*E19*F19*G19/10000,0)</f>
        <v>0</v>
      </c>
    </row>
    <row r="20" spans="1:9">
      <c r="A20" s="3259"/>
      <c r="B20" s="3261" t="s">
        <v>1088</v>
      </c>
      <c r="C20" s="3261"/>
      <c r="D20" s="1307">
        <f>SUM(D17:D19)</f>
        <v>0</v>
      </c>
      <c r="E20" s="1307"/>
      <c r="F20" s="1308"/>
      <c r="G20" s="1305"/>
      <c r="H20" s="1312"/>
      <c r="I20" s="1313">
        <f>SUM(I17:I19)</f>
        <v>0</v>
      </c>
    </row>
    <row r="21" spans="1:9">
      <c r="A21" s="3259" t="s">
        <v>1105</v>
      </c>
      <c r="B21" s="3262"/>
      <c r="C21" s="3262"/>
      <c r="D21" s="3262"/>
      <c r="E21" s="3262"/>
      <c r="F21" s="3262"/>
      <c r="G21" s="3262"/>
      <c r="H21" s="1764">
        <v>0.1</v>
      </c>
      <c r="I21" s="1310">
        <f>ROUND(I10*H21,0)</f>
        <v>0</v>
      </c>
    </row>
    <row r="22" spans="1:9" ht="14.25">
      <c r="A22" s="3263" t="s">
        <v>1106</v>
      </c>
      <c r="B22" s="3264"/>
      <c r="C22" s="3265"/>
      <c r="D22" s="1317" t="s">
        <v>1107</v>
      </c>
      <c r="E22" s="1317" t="s">
        <v>1108</v>
      </c>
      <c r="F22" s="1318" t="s">
        <v>1109</v>
      </c>
      <c r="G22" s="1318" t="s">
        <v>1110</v>
      </c>
      <c r="H22" s="1311" t="s">
        <v>1111</v>
      </c>
      <c r="I22" s="1302" t="s">
        <v>1112</v>
      </c>
    </row>
    <row r="23" spans="1:9" ht="14.25" thickBot="1">
      <c r="A23" s="3266"/>
      <c r="B23" s="3267"/>
      <c r="C23" s="3268"/>
      <c r="D23" s="1319"/>
      <c r="E23" s="1319"/>
      <c r="F23" s="1319"/>
      <c r="G23" s="1320"/>
      <c r="H23" s="1321"/>
      <c r="I23" s="1322">
        <f>ROUND(E23*D23*F23*(1-G23)/10000,0)</f>
        <v>0</v>
      </c>
    </row>
    <row r="26" spans="1:9">
      <c r="A26" s="1323" t="s">
        <v>1113</v>
      </c>
      <c r="B26" s="1323"/>
      <c r="C26" s="1323"/>
      <c r="D26" s="1323"/>
      <c r="E26" s="3256">
        <f>C27-C30-C31-C32</f>
        <v>0</v>
      </c>
      <c r="F26" s="3256"/>
      <c r="G26" s="3256"/>
      <c r="H26" s="1736" t="s">
        <v>1335</v>
      </c>
    </row>
    <row r="27" spans="1:9">
      <c r="A27" s="1324">
        <v>1</v>
      </c>
      <c r="B27" s="1325" t="s">
        <v>1114</v>
      </c>
      <c r="C27" s="1325">
        <f>C28+C29</f>
        <v>0</v>
      </c>
      <c r="D27" s="1325"/>
      <c r="E27" s="3257"/>
      <c r="F27" s="3257"/>
      <c r="G27" s="3257"/>
    </row>
    <row r="28" spans="1:9">
      <c r="A28" s="1326" t="s">
        <v>1115</v>
      </c>
      <c r="B28" s="1325" t="s">
        <v>1116</v>
      </c>
      <c r="C28" s="1325"/>
      <c r="D28" s="1325"/>
      <c r="E28" s="3257"/>
      <c r="F28" s="3257"/>
      <c r="G28" s="325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8"/>
      <c r="F32" s="3258"/>
      <c r="G32" s="3258"/>
    </row>
    <row r="33" spans="1:7" hidden="1">
      <c r="A33" s="3253" t="s">
        <v>1125</v>
      </c>
      <c r="B33" s="3254"/>
      <c r="C33" s="3254"/>
      <c r="D33" s="3255"/>
      <c r="E33" s="3256"/>
      <c r="F33" s="3256"/>
      <c r="G33" s="3256"/>
    </row>
    <row r="34" spans="1:7" hidden="1">
      <c r="A34" s="1328">
        <v>1</v>
      </c>
      <c r="B34" s="1325" t="s">
        <v>1126</v>
      </c>
      <c r="C34" s="1325"/>
      <c r="D34" s="1325"/>
      <c r="E34" s="3257"/>
      <c r="F34" s="3257"/>
      <c r="G34" s="3257"/>
    </row>
    <row r="35" spans="1:7" hidden="1">
      <c r="A35" s="1328">
        <v>2</v>
      </c>
      <c r="B35" s="1325" t="s">
        <v>1127</v>
      </c>
      <c r="C35" s="1325"/>
      <c r="D35" s="1325"/>
      <c r="E35" s="3257"/>
      <c r="F35" s="3257"/>
      <c r="G35" s="3257"/>
    </row>
    <row r="36" spans="1:7" hidden="1">
      <c r="A36" s="1328">
        <v>3</v>
      </c>
      <c r="B36" s="1325" t="s">
        <v>1128</v>
      </c>
      <c r="C36" s="1325"/>
      <c r="D36" s="1325"/>
      <c r="E36" s="3257"/>
      <c r="F36" s="3257"/>
      <c r="G36" s="3257"/>
    </row>
    <row r="37" spans="1:7" hidden="1">
      <c r="A37" s="1328">
        <v>4</v>
      </c>
      <c r="B37" s="1325" t="s">
        <v>1129</v>
      </c>
      <c r="C37" s="1325"/>
      <c r="D37" s="1325"/>
      <c r="E37" s="3257"/>
      <c r="F37" s="3257"/>
      <c r="G37" s="3257"/>
    </row>
    <row r="38" spans="1:7" hidden="1">
      <c r="A38" s="3253" t="s">
        <v>1130</v>
      </c>
      <c r="B38" s="3254"/>
      <c r="C38" s="3254"/>
      <c r="D38" s="3255"/>
      <c r="E38" s="3256"/>
      <c r="F38" s="3256"/>
      <c r="G38" s="32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1" t="s">
        <v>2517</v>
      </c>
      <c r="C1" s="1634" t="s">
        <v>2518</v>
      </c>
      <c r="D1" s="1621"/>
      <c r="E1" s="2582"/>
      <c r="F1" s="2583" t="s">
        <v>2519</v>
      </c>
      <c r="G1" s="1631" t="s">
        <v>2520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5"/>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1389</v>
      </c>
      <c r="B3" s="399" t="e">
        <f ca="1">IF(C2="——",C49,ROUND(B2*10000/D3,0))</f>
        <v>#DIV/0!</v>
      </c>
      <c r="C3" s="400" t="s">
        <v>2522</v>
      </c>
      <c r="D3" s="399">
        <f>IF(D1="",'数据-汇总表'!E3,SUMIF('数据-汇总表'!$C19:$C33,D1,'数据-汇总表'!$E19:$E33))</f>
        <v>333.1</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27" t="s">
        <v>2524</v>
      </c>
      <c r="D4" s="3228"/>
      <c r="E4" s="3229" t="s">
        <v>2525</v>
      </c>
      <c r="F4" s="3230"/>
      <c r="G4" s="3227" t="s">
        <v>2526</v>
      </c>
      <c r="H4" s="3228"/>
      <c r="I4" s="3227" t="s">
        <v>2527</v>
      </c>
      <c r="J4" s="3228"/>
      <c r="K4" s="2595" t="s">
        <v>2528</v>
      </c>
      <c r="L4" s="1130"/>
      <c r="M4" s="1131"/>
      <c r="N4" s="1131"/>
      <c r="O4" s="1131"/>
      <c r="P4" s="3278" t="s">
        <v>2529</v>
      </c>
      <c r="Q4" s="3279"/>
      <c r="R4" s="3282" t="s">
        <v>2525</v>
      </c>
      <c r="S4" s="3283"/>
      <c r="T4" s="3282" t="s">
        <v>2526</v>
      </c>
      <c r="U4" s="3283"/>
      <c r="V4" s="3213" t="s">
        <v>2527</v>
      </c>
      <c r="W4" s="3213"/>
      <c r="X4" s="1812"/>
      <c r="Y4" s="3282" t="s">
        <v>2529</v>
      </c>
      <c r="Z4" s="3283"/>
      <c r="AA4" s="3277" t="s">
        <v>2525</v>
      </c>
      <c r="AB4" s="3277" t="s">
        <v>2526</v>
      </c>
      <c r="AC4" s="3277" t="s">
        <v>2527</v>
      </c>
    </row>
    <row r="5" spans="1:29" ht="15">
      <c r="A5" s="404"/>
      <c r="B5" s="405"/>
      <c r="C5" s="3285" t="s">
        <v>2530</v>
      </c>
      <c r="D5" s="3238"/>
      <c r="E5" s="3288" t="s">
        <v>2531</v>
      </c>
      <c r="F5" s="3240"/>
      <c r="G5" s="3285" t="s">
        <v>2532</v>
      </c>
      <c r="H5" s="3238"/>
      <c r="I5" s="3285" t="s">
        <v>2533</v>
      </c>
      <c r="J5" s="3238"/>
      <c r="K5" s="2596"/>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84" t="s">
        <v>2534</v>
      </c>
      <c r="D6" s="3246"/>
      <c r="E6" s="3286" t="s">
        <v>2534</v>
      </c>
      <c r="F6" s="3287"/>
      <c r="G6" s="3284" t="s">
        <v>2534</v>
      </c>
      <c r="H6" s="3246"/>
      <c r="I6" s="3284" t="s">
        <v>2534</v>
      </c>
      <c r="J6" s="3246"/>
      <c r="K6" s="2596"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44552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11" t="s">
        <v>2537</v>
      </c>
      <c r="Q7" s="3223"/>
      <c r="R7" s="770" t="s">
        <v>23</v>
      </c>
      <c r="S7" s="771">
        <f t="shared" ref="S7:S15" si="0">F7</f>
        <v>0</v>
      </c>
      <c r="T7" s="770" t="s">
        <v>23</v>
      </c>
      <c r="U7" s="771">
        <f t="shared" ref="U7:U15" si="1">H7</f>
        <v>0</v>
      </c>
      <c r="V7" s="770" t="s">
        <v>23</v>
      </c>
      <c r="W7" s="771">
        <f t="shared" ref="W7:W15" si="2">J7</f>
        <v>0</v>
      </c>
      <c r="X7" s="772"/>
      <c r="Y7" s="3211" t="s">
        <v>2537</v>
      </c>
      <c r="Z7" s="3210"/>
      <c r="AA7" s="773" t="e">
        <f>D7/F7</f>
        <v>#DIV/0!</v>
      </c>
      <c r="AB7" s="773" t="e">
        <f>D7/H7</f>
        <v>#DIV/0!</v>
      </c>
      <c r="AC7" s="773" t="e">
        <f>D7/J7</f>
        <v>#DIV/0!</v>
      </c>
    </row>
    <row r="8" spans="1:29" s="117" customFormat="1" ht="15.75" thickBot="1">
      <c r="A8" s="408" t="s">
        <v>2538</v>
      </c>
      <c r="B8" s="409"/>
      <c r="C8" s="414" t="s">
        <v>2539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11" t="s">
        <v>2540</v>
      </c>
      <c r="Q8" s="3210"/>
      <c r="R8" s="770" t="s">
        <v>23</v>
      </c>
      <c r="S8" s="771">
        <f t="shared" si="0"/>
        <v>0</v>
      </c>
      <c r="T8" s="770" t="s">
        <v>23</v>
      </c>
      <c r="U8" s="771">
        <f t="shared" si="1"/>
        <v>0</v>
      </c>
      <c r="V8" s="770" t="s">
        <v>23</v>
      </c>
      <c r="W8" s="771">
        <f t="shared" si="2"/>
        <v>0</v>
      </c>
      <c r="X8" s="772"/>
      <c r="Y8" s="3211" t="s">
        <v>2540</v>
      </c>
      <c r="Z8" s="3210"/>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4"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4"/>
      <c r="Q11" s="1794" t="str">
        <f t="shared" si="6"/>
        <v>容积率</v>
      </c>
      <c r="R11" s="770" t="s">
        <v>21</v>
      </c>
      <c r="S11" s="771" t="e">
        <f t="shared" si="0"/>
        <v>#N/A</v>
      </c>
      <c r="T11" s="770" t="s">
        <v>21</v>
      </c>
      <c r="U11" s="771" t="e">
        <f t="shared" si="1"/>
        <v>#N/A</v>
      </c>
      <c r="V11" s="770" t="s">
        <v>21</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4"/>
      <c r="Q12" s="1794">
        <f t="shared" si="6"/>
        <v>111</v>
      </c>
      <c r="R12" s="770" t="s">
        <v>21</v>
      </c>
      <c r="S12" s="771">
        <f t="shared" si="0"/>
        <v>100</v>
      </c>
      <c r="T12" s="770" t="s">
        <v>21</v>
      </c>
      <c r="U12" s="771">
        <f t="shared" si="1"/>
        <v>100</v>
      </c>
      <c r="V12" s="770" t="s">
        <v>21</v>
      </c>
      <c r="W12" s="771">
        <f t="shared" si="2"/>
        <v>100</v>
      </c>
      <c r="X12" s="772"/>
      <c r="Y12" s="304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4"/>
      <c r="Q13" s="1794">
        <f t="shared" si="6"/>
        <v>111</v>
      </c>
      <c r="R13" s="770" t="s">
        <v>21</v>
      </c>
      <c r="S13" s="771">
        <f t="shared" si="0"/>
        <v>100</v>
      </c>
      <c r="T13" s="770" t="s">
        <v>21</v>
      </c>
      <c r="U13" s="771">
        <f t="shared" si="1"/>
        <v>100</v>
      </c>
      <c r="V13" s="770" t="s">
        <v>21</v>
      </c>
      <c r="W13" s="771">
        <f t="shared" si="2"/>
        <v>100</v>
      </c>
      <c r="X13" s="772"/>
      <c r="Y13" s="304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4"/>
      <c r="Q14" s="1794">
        <f t="shared" si="6"/>
        <v>111</v>
      </c>
      <c r="R14" s="770" t="s">
        <v>21</v>
      </c>
      <c r="S14" s="771">
        <f t="shared" si="0"/>
        <v>100</v>
      </c>
      <c r="T14" s="770" t="s">
        <v>21</v>
      </c>
      <c r="U14" s="771">
        <f t="shared" si="1"/>
        <v>100</v>
      </c>
      <c r="V14" s="770" t="s">
        <v>21</v>
      </c>
      <c r="W14" s="771">
        <f t="shared" si="2"/>
        <v>100</v>
      </c>
      <c r="X14" s="772"/>
      <c r="Y14" s="3049"/>
      <c r="Z14" s="55">
        <f t="shared" si="7"/>
        <v>111</v>
      </c>
      <c r="AA14" s="773">
        <f t="shared" si="3"/>
        <v>1</v>
      </c>
      <c r="AB14" s="773">
        <f t="shared" si="4"/>
        <v>1</v>
      </c>
      <c r="AC14" s="773">
        <f t="shared" si="5"/>
        <v>1</v>
      </c>
    </row>
    <row r="15" spans="1:29" ht="15">
      <c r="A15" s="440" t="s">
        <v>2547</v>
      </c>
      <c r="B15" s="69" t="s">
        <v>2076</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0" t="s">
        <v>2548</v>
      </c>
      <c r="Q15" s="1809" t="str">
        <f t="shared" si="6"/>
        <v>居住社区成熟度</v>
      </c>
      <c r="R15" s="774" t="s">
        <v>21</v>
      </c>
      <c r="S15" s="775">
        <f t="shared" si="0"/>
        <v>100</v>
      </c>
      <c r="T15" s="774" t="s">
        <v>21</v>
      </c>
      <c r="U15" s="775">
        <f t="shared" si="1"/>
        <v>100</v>
      </c>
      <c r="V15" s="774" t="s">
        <v>21</v>
      </c>
      <c r="W15" s="775">
        <f t="shared" si="2"/>
        <v>100</v>
      </c>
      <c r="X15" s="1812"/>
      <c r="Y15" s="3202" t="s">
        <v>2548</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01"/>
      <c r="Q16" s="1809"/>
      <c r="R16" s="774"/>
      <c r="S16" s="775"/>
      <c r="T16" s="774"/>
      <c r="U16" s="775"/>
      <c r="V16" s="774"/>
      <c r="W16" s="775"/>
      <c r="X16" s="1812"/>
      <c r="Y16" s="3203"/>
      <c r="Z16" s="1813"/>
      <c r="AA16" s="1810">
        <v>1</v>
      </c>
      <c r="AB16" s="1810">
        <v>1</v>
      </c>
      <c r="AC16" s="1810">
        <v>1</v>
      </c>
    </row>
    <row r="17" spans="1:29" ht="15">
      <c r="A17" s="428"/>
      <c r="B17" s="451" t="s">
        <v>2085</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1"/>
      <c r="Q17" s="1809" t="str">
        <f>B17</f>
        <v>交通便捷度</v>
      </c>
      <c r="R17" s="774" t="s">
        <v>21</v>
      </c>
      <c r="S17" s="775">
        <f>F17</f>
        <v>100</v>
      </c>
      <c r="T17" s="774" t="s">
        <v>21</v>
      </c>
      <c r="U17" s="775">
        <f>H17</f>
        <v>100</v>
      </c>
      <c r="V17" s="774" t="s">
        <v>21</v>
      </c>
      <c r="W17" s="775">
        <f>J17</f>
        <v>100</v>
      </c>
      <c r="X17" s="1812"/>
      <c r="Y17" s="3203"/>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01"/>
      <c r="Q18" s="1809"/>
      <c r="R18" s="774"/>
      <c r="S18" s="775"/>
      <c r="T18" s="774"/>
      <c r="U18" s="775"/>
      <c r="V18" s="774"/>
      <c r="W18" s="775"/>
      <c r="X18" s="1812"/>
      <c r="Y18" s="3203"/>
      <c r="Z18" s="1813"/>
      <c r="AA18" s="1810">
        <v>1</v>
      </c>
      <c r="AB18" s="1810">
        <v>1</v>
      </c>
      <c r="AC18" s="1810">
        <v>1</v>
      </c>
    </row>
    <row r="19" spans="1:29" ht="15">
      <c r="A19" s="428"/>
      <c r="B19" s="451" t="s">
        <v>2083</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1"/>
      <c r="Q19" s="1809" t="str">
        <f>B19</f>
        <v>公共配套设施</v>
      </c>
      <c r="R19" s="774" t="s">
        <v>21</v>
      </c>
      <c r="S19" s="775">
        <f>F19</f>
        <v>100</v>
      </c>
      <c r="T19" s="774" t="s">
        <v>21</v>
      </c>
      <c r="U19" s="775">
        <f>H19</f>
        <v>100</v>
      </c>
      <c r="V19" s="774" t="s">
        <v>21</v>
      </c>
      <c r="W19" s="775">
        <f>J19</f>
        <v>100</v>
      </c>
      <c r="X19" s="1812"/>
      <c r="Y19" s="3203"/>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01"/>
      <c r="Q20" s="1809"/>
      <c r="R20" s="774"/>
      <c r="S20" s="775"/>
      <c r="T20" s="774"/>
      <c r="U20" s="775"/>
      <c r="V20" s="774"/>
      <c r="W20" s="775"/>
      <c r="X20" s="1812"/>
      <c r="Y20" s="3203"/>
      <c r="Z20" s="1813"/>
      <c r="AA20" s="1810">
        <v>1</v>
      </c>
      <c r="AB20" s="1810">
        <v>1</v>
      </c>
      <c r="AC20" s="1810">
        <v>1</v>
      </c>
    </row>
    <row r="21" spans="1:29" ht="15">
      <c r="A21" s="428"/>
      <c r="B21" s="1384" t="s">
        <v>2086</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1"/>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01"/>
      <c r="Q22" s="1809"/>
      <c r="R22" s="774"/>
      <c r="S22" s="775"/>
      <c r="T22" s="774"/>
      <c r="U22" s="775"/>
      <c r="V22" s="774"/>
      <c r="W22" s="775"/>
      <c r="X22" s="1812"/>
      <c r="Y22" s="3203"/>
      <c r="Z22" s="1813"/>
      <c r="AA22" s="1810">
        <v>1</v>
      </c>
      <c r="AB22" s="1810">
        <v>1</v>
      </c>
      <c r="AC22" s="1810">
        <v>1</v>
      </c>
    </row>
    <row r="23" spans="1:29" ht="15">
      <c r="A23" s="428"/>
      <c r="B23" s="451" t="s">
        <v>2090</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1"/>
      <c r="Q23" s="1809" t="str">
        <f>B23</f>
        <v>自然及人文环境</v>
      </c>
      <c r="R23" s="774" t="s">
        <v>21</v>
      </c>
      <c r="S23" s="775">
        <f>F23</f>
        <v>100</v>
      </c>
      <c r="T23" s="774" t="s">
        <v>21</v>
      </c>
      <c r="U23" s="775">
        <f>H23</f>
        <v>100</v>
      </c>
      <c r="V23" s="774" t="s">
        <v>21</v>
      </c>
      <c r="W23" s="775">
        <f>J23</f>
        <v>100</v>
      </c>
      <c r="X23" s="1812"/>
      <c r="Y23" s="3203"/>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01"/>
      <c r="Q24" s="1809"/>
      <c r="R24" s="774"/>
      <c r="S24" s="775"/>
      <c r="T24" s="774"/>
      <c r="U24" s="775"/>
      <c r="V24" s="774"/>
      <c r="W24" s="775"/>
      <c r="X24" s="1812"/>
      <c r="Y24" s="3203"/>
      <c r="Z24" s="1813"/>
      <c r="AA24" s="1810">
        <v>1</v>
      </c>
      <c r="AB24" s="1810">
        <v>1</v>
      </c>
      <c r="AC24" s="1810">
        <v>1</v>
      </c>
    </row>
    <row r="25" spans="1:29" ht="15">
      <c r="A25" s="428"/>
      <c r="B25" s="422"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0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3"/>
      <c r="Z25" s="1813" t="str">
        <f>Q25</f>
        <v>楼层-1</v>
      </c>
      <c r="AA25" s="1810">
        <f t="shared" ref="AA25:AA46" si="15">D25/F25</f>
        <v>1</v>
      </c>
      <c r="AB25" s="1810">
        <f t="shared" ref="AB25:AB46" si="16">D25/H25</f>
        <v>1</v>
      </c>
      <c r="AC25" s="1810">
        <f t="shared" ref="AC25:AC46" si="17">D25/J25</f>
        <v>1</v>
      </c>
    </row>
    <row r="26" spans="1:29" ht="15">
      <c r="A26" s="428"/>
      <c r="B26" s="422"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01"/>
      <c r="Q26" s="1809" t="str">
        <f t="shared" si="11"/>
        <v>朝向</v>
      </c>
      <c r="R26" s="774" t="s">
        <v>21</v>
      </c>
      <c r="S26" s="775">
        <f t="shared" si="12"/>
        <v>100</v>
      </c>
      <c r="T26" s="774" t="s">
        <v>21</v>
      </c>
      <c r="U26" s="775">
        <f t="shared" si="13"/>
        <v>100</v>
      </c>
      <c r="V26" s="774" t="s">
        <v>21</v>
      </c>
      <c r="W26" s="775">
        <f t="shared" si="14"/>
        <v>100</v>
      </c>
      <c r="X26" s="1812"/>
      <c r="Y26" s="3203"/>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01"/>
      <c r="Q27" s="1794">
        <f t="shared" si="11"/>
        <v>111</v>
      </c>
      <c r="R27" s="770" t="s">
        <v>21</v>
      </c>
      <c r="S27" s="771">
        <f t="shared" si="12"/>
        <v>100</v>
      </c>
      <c r="T27" s="770" t="s">
        <v>21</v>
      </c>
      <c r="U27" s="771">
        <f t="shared" si="13"/>
        <v>100</v>
      </c>
      <c r="V27" s="770" t="s">
        <v>21</v>
      </c>
      <c r="W27" s="771">
        <f t="shared" si="14"/>
        <v>100</v>
      </c>
      <c r="X27" s="772"/>
      <c r="Y27" s="3203"/>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01"/>
      <c r="Q28" s="1809">
        <f t="shared" si="11"/>
        <v>111</v>
      </c>
      <c r="R28" s="774" t="s">
        <v>21</v>
      </c>
      <c r="S28" s="775">
        <f t="shared" si="12"/>
        <v>100</v>
      </c>
      <c r="T28" s="774" t="s">
        <v>21</v>
      </c>
      <c r="U28" s="775">
        <f t="shared" si="13"/>
        <v>100</v>
      </c>
      <c r="V28" s="774" t="s">
        <v>21</v>
      </c>
      <c r="W28" s="775">
        <f t="shared" si="14"/>
        <v>100</v>
      </c>
      <c r="X28" s="1812"/>
      <c r="Y28" s="3203"/>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01"/>
      <c r="Q29" s="1809">
        <f t="shared" si="11"/>
        <v>111</v>
      </c>
      <c r="R29" s="774" t="s">
        <v>21</v>
      </c>
      <c r="S29" s="775">
        <f t="shared" si="12"/>
        <v>100</v>
      </c>
      <c r="T29" s="774" t="s">
        <v>21</v>
      </c>
      <c r="U29" s="775">
        <f t="shared" si="13"/>
        <v>100</v>
      </c>
      <c r="V29" s="774" t="s">
        <v>21</v>
      </c>
      <c r="W29" s="775">
        <f t="shared" si="14"/>
        <v>100</v>
      </c>
      <c r="X29" s="1812"/>
      <c r="Y29" s="3203"/>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01"/>
      <c r="Q30" s="1809">
        <f t="shared" si="11"/>
        <v>111</v>
      </c>
      <c r="R30" s="774" t="s">
        <v>21</v>
      </c>
      <c r="S30" s="775">
        <f t="shared" si="12"/>
        <v>100</v>
      </c>
      <c r="T30" s="774" t="s">
        <v>21</v>
      </c>
      <c r="U30" s="775">
        <f t="shared" si="13"/>
        <v>100</v>
      </c>
      <c r="V30" s="774" t="s">
        <v>21</v>
      </c>
      <c r="W30" s="775">
        <f t="shared" si="14"/>
        <v>100</v>
      </c>
      <c r="X30" s="1812"/>
      <c r="Y30" s="3203"/>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01"/>
      <c r="Q31" s="1809">
        <f t="shared" si="11"/>
        <v>111</v>
      </c>
      <c r="R31" s="774" t="s">
        <v>21</v>
      </c>
      <c r="S31" s="775">
        <f t="shared" si="12"/>
        <v>100</v>
      </c>
      <c r="T31" s="774" t="s">
        <v>21</v>
      </c>
      <c r="U31" s="775">
        <f t="shared" si="13"/>
        <v>100</v>
      </c>
      <c r="V31" s="774" t="s">
        <v>21</v>
      </c>
      <c r="W31" s="775">
        <f t="shared" si="14"/>
        <v>100</v>
      </c>
      <c r="X31" s="1812"/>
      <c r="Y31" s="3203"/>
      <c r="Z31" s="1813">
        <f t="shared" si="18"/>
        <v>111</v>
      </c>
      <c r="AA31" s="1810">
        <f t="shared" si="15"/>
        <v>1</v>
      </c>
      <c r="AB31" s="1810">
        <f t="shared" si="16"/>
        <v>1</v>
      </c>
      <c r="AC31" s="1810">
        <f t="shared" si="17"/>
        <v>1</v>
      </c>
    </row>
    <row r="32" spans="1:29" ht="15">
      <c r="A32" s="440" t="s">
        <v>2551</v>
      </c>
      <c r="B32" s="71" t="s">
        <v>2552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04" t="s">
        <v>2553</v>
      </c>
      <c r="Q32" s="1809" t="str">
        <f t="shared" si="11"/>
        <v>建筑类型</v>
      </c>
      <c r="R32" s="774" t="s">
        <v>21</v>
      </c>
      <c r="S32" s="775">
        <f t="shared" si="12"/>
        <v>100</v>
      </c>
      <c r="T32" s="774" t="s">
        <v>21</v>
      </c>
      <c r="U32" s="775">
        <f t="shared" si="13"/>
        <v>100</v>
      </c>
      <c r="V32" s="774" t="s">
        <v>21</v>
      </c>
      <c r="W32" s="775">
        <f t="shared" si="14"/>
        <v>100</v>
      </c>
      <c r="X32" s="1812"/>
      <c r="Y32" s="3207" t="s">
        <v>2553</v>
      </c>
      <c r="Z32" s="1813" t="str">
        <f t="shared" si="18"/>
        <v>建筑类型</v>
      </c>
      <c r="AA32" s="1810">
        <f t="shared" si="15"/>
        <v>1</v>
      </c>
      <c r="AB32" s="1810">
        <f t="shared" si="16"/>
        <v>1</v>
      </c>
      <c r="AC32" s="1810">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0" t="e">
        <f t="shared" si="15"/>
        <v>#N/A</v>
      </c>
      <c r="AB33" s="1810" t="e">
        <f t="shared" si="16"/>
        <v>#N/A</v>
      </c>
      <c r="AC33" s="1810" t="e">
        <f t="shared" si="17"/>
        <v>#N/A</v>
      </c>
    </row>
    <row r="34" spans="1:29" ht="15">
      <c r="A34" s="472"/>
      <c r="B34" s="422" t="s">
        <v>2555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05"/>
      <c r="Q34" s="1809" t="str">
        <f t="shared" si="11"/>
        <v>建筑结构</v>
      </c>
      <c r="R34" s="774" t="s">
        <v>21</v>
      </c>
      <c r="S34" s="775">
        <f t="shared" si="12"/>
        <v>100</v>
      </c>
      <c r="T34" s="774" t="s">
        <v>21</v>
      </c>
      <c r="U34" s="775">
        <f t="shared" si="13"/>
        <v>100</v>
      </c>
      <c r="V34" s="774" t="s">
        <v>21</v>
      </c>
      <c r="W34" s="775">
        <f t="shared" si="14"/>
        <v>100</v>
      </c>
      <c r="X34" s="1812"/>
      <c r="Y34" s="3207"/>
      <c r="Z34" s="1813" t="str">
        <f t="shared" si="18"/>
        <v>建筑结构</v>
      </c>
      <c r="AA34" s="1810">
        <f t="shared" si="15"/>
        <v>1</v>
      </c>
      <c r="AB34" s="1810">
        <f t="shared" si="16"/>
        <v>1</v>
      </c>
      <c r="AC34" s="1810">
        <f t="shared" si="17"/>
        <v>1</v>
      </c>
    </row>
    <row r="35" spans="1:29" ht="15">
      <c r="A35" s="472"/>
      <c r="B35" s="422" t="s">
        <v>2556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05"/>
      <c r="Q35" s="1809" t="str">
        <f t="shared" si="11"/>
        <v>建筑品质</v>
      </c>
      <c r="R35" s="774" t="s">
        <v>21</v>
      </c>
      <c r="S35" s="775">
        <f t="shared" si="12"/>
        <v>100</v>
      </c>
      <c r="T35" s="774" t="s">
        <v>21</v>
      </c>
      <c r="U35" s="775">
        <f t="shared" si="13"/>
        <v>100</v>
      </c>
      <c r="V35" s="774" t="s">
        <v>21</v>
      </c>
      <c r="W35" s="775">
        <f t="shared" si="14"/>
        <v>100</v>
      </c>
      <c r="X35" s="1812"/>
      <c r="Y35" s="3207"/>
      <c r="Z35" s="1813" t="str">
        <f t="shared" si="18"/>
        <v>建筑品质</v>
      </c>
      <c r="AA35" s="1810">
        <f t="shared" si="15"/>
        <v>1</v>
      </c>
      <c r="AB35" s="1810">
        <f t="shared" si="16"/>
        <v>1</v>
      </c>
      <c r="AC35" s="1810">
        <f t="shared" si="17"/>
        <v>1</v>
      </c>
    </row>
    <row r="36" spans="1:29" ht="15">
      <c r="A36" s="472"/>
      <c r="B36" s="422" t="s">
        <v>2557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05"/>
      <c r="Q36" s="1809" t="str">
        <f t="shared" si="11"/>
        <v>公共部分装修</v>
      </c>
      <c r="R36" s="774" t="s">
        <v>21</v>
      </c>
      <c r="S36" s="775">
        <f t="shared" si="12"/>
        <v>100</v>
      </c>
      <c r="T36" s="774" t="s">
        <v>21</v>
      </c>
      <c r="U36" s="775">
        <f t="shared" si="13"/>
        <v>100</v>
      </c>
      <c r="V36" s="774" t="s">
        <v>21</v>
      </c>
      <c r="W36" s="775">
        <f t="shared" si="14"/>
        <v>100</v>
      </c>
      <c r="X36" s="1812"/>
      <c r="Y36" s="3207"/>
      <c r="Z36" s="1813" t="str">
        <f t="shared" si="18"/>
        <v>公共部分装修</v>
      </c>
      <c r="AA36" s="1810">
        <f t="shared" si="15"/>
        <v>1</v>
      </c>
      <c r="AB36" s="1810">
        <f t="shared" si="16"/>
        <v>1</v>
      </c>
      <c r="AC36" s="1810">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5"/>
      <c r="Q37" s="1794"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2559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05" t="s">
        <v>2553</v>
      </c>
      <c r="Q38" s="1809" t="str">
        <f t="shared" si="11"/>
        <v>物业管理</v>
      </c>
      <c r="R38" s="774" t="s">
        <v>21</v>
      </c>
      <c r="S38" s="775">
        <f t="shared" si="12"/>
        <v>100</v>
      </c>
      <c r="T38" s="774" t="s">
        <v>21</v>
      </c>
      <c r="U38" s="775">
        <f t="shared" si="13"/>
        <v>100</v>
      </c>
      <c r="V38" s="774" t="s">
        <v>21</v>
      </c>
      <c r="W38" s="775">
        <f t="shared" si="14"/>
        <v>100</v>
      </c>
      <c r="X38" s="1812"/>
      <c r="Y38" s="3207" t="s">
        <v>2553</v>
      </c>
      <c r="Z38" s="1813" t="str">
        <f t="shared" si="18"/>
        <v>物业管理</v>
      </c>
      <c r="AA38" s="1810">
        <f t="shared" si="15"/>
        <v>1</v>
      </c>
      <c r="AB38" s="1810">
        <f t="shared" si="16"/>
        <v>1</v>
      </c>
      <c r="AC38" s="1810">
        <f t="shared" si="17"/>
        <v>1</v>
      </c>
    </row>
    <row r="39" spans="1:29" ht="15">
      <c r="A39" s="472"/>
      <c r="B39" s="422" t="s">
        <v>2560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05"/>
      <c r="Q39" s="1809" t="str">
        <f t="shared" si="11"/>
        <v>市政基础设施</v>
      </c>
      <c r="R39" s="774" t="s">
        <v>21</v>
      </c>
      <c r="S39" s="775">
        <f t="shared" si="12"/>
        <v>100</v>
      </c>
      <c r="T39" s="774" t="s">
        <v>21</v>
      </c>
      <c r="U39" s="775">
        <f t="shared" si="13"/>
        <v>100</v>
      </c>
      <c r="V39" s="774" t="s">
        <v>21</v>
      </c>
      <c r="W39" s="775">
        <f t="shared" si="14"/>
        <v>100</v>
      </c>
      <c r="X39" s="1812"/>
      <c r="Y39" s="3207"/>
      <c r="Z39" s="1813" t="str">
        <f t="shared" si="18"/>
        <v>市政基础设施</v>
      </c>
      <c r="AA39" s="1810">
        <f t="shared" si="15"/>
        <v>1</v>
      </c>
      <c r="AB39" s="1810">
        <f t="shared" si="16"/>
        <v>1</v>
      </c>
      <c r="AC39" s="1810">
        <f t="shared" si="17"/>
        <v>1</v>
      </c>
    </row>
    <row r="40" spans="1:29" ht="15">
      <c r="A40" s="472"/>
      <c r="B40" s="422" t="s">
        <v>2561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05"/>
      <c r="Q40" s="1809" t="str">
        <f t="shared" si="11"/>
        <v>房型</v>
      </c>
      <c r="R40" s="774" t="s">
        <v>21</v>
      </c>
      <c r="S40" s="775">
        <f t="shared" si="12"/>
        <v>100</v>
      </c>
      <c r="T40" s="774" t="s">
        <v>21</v>
      </c>
      <c r="U40" s="775">
        <f t="shared" si="13"/>
        <v>100</v>
      </c>
      <c r="V40" s="774" t="s">
        <v>21</v>
      </c>
      <c r="W40" s="775">
        <f t="shared" si="14"/>
        <v>100</v>
      </c>
      <c r="X40" s="1812"/>
      <c r="Y40" s="3207"/>
      <c r="Z40" s="1813" t="str">
        <f t="shared" si="18"/>
        <v>房型</v>
      </c>
      <c r="AA40" s="1810">
        <f t="shared" si="15"/>
        <v>1</v>
      </c>
      <c r="AB40" s="1810">
        <f t="shared" si="16"/>
        <v>1</v>
      </c>
      <c r="AC40" s="1810">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0">
        <f t="shared" si="15"/>
        <v>1</v>
      </c>
      <c r="AB41" s="1810">
        <f t="shared" si="16"/>
        <v>1</v>
      </c>
      <c r="AC41" s="1810">
        <f t="shared" si="17"/>
        <v>1</v>
      </c>
    </row>
    <row r="42" spans="1:29" ht="15">
      <c r="A42" s="472"/>
      <c r="B42" s="422" t="s">
        <v>2563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05"/>
      <c r="Q42" s="1809" t="str">
        <f t="shared" si="11"/>
        <v>内部装修</v>
      </c>
      <c r="R42" s="774" t="s">
        <v>21</v>
      </c>
      <c r="S42" s="775">
        <f t="shared" si="12"/>
        <v>100</v>
      </c>
      <c r="T42" s="774" t="s">
        <v>21</v>
      </c>
      <c r="U42" s="775">
        <f t="shared" si="13"/>
        <v>100</v>
      </c>
      <c r="V42" s="774" t="s">
        <v>21</v>
      </c>
      <c r="W42" s="775">
        <f t="shared" si="14"/>
        <v>100</v>
      </c>
      <c r="X42" s="1812"/>
      <c r="Y42" s="3207"/>
      <c r="Z42" s="1813" t="str">
        <f t="shared" si="18"/>
        <v>内部装修</v>
      </c>
      <c r="AA42" s="1810">
        <f t="shared" si="15"/>
        <v>1</v>
      </c>
      <c r="AB42" s="1810">
        <f t="shared" si="16"/>
        <v>1</v>
      </c>
      <c r="AC42" s="1810">
        <f t="shared" si="17"/>
        <v>1</v>
      </c>
    </row>
    <row r="43" spans="1:29" ht="15">
      <c r="A43" s="472"/>
      <c r="B43" s="422"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05"/>
      <c r="Q43" s="1809" t="str">
        <f t="shared" si="11"/>
        <v>内部装修维护情况</v>
      </c>
      <c r="R43" s="774" t="s">
        <v>21</v>
      </c>
      <c r="S43" s="775">
        <f t="shared" si="12"/>
        <v>100</v>
      </c>
      <c r="T43" s="774" t="s">
        <v>21</v>
      </c>
      <c r="U43" s="775">
        <f t="shared" si="13"/>
        <v>100</v>
      </c>
      <c r="V43" s="774" t="s">
        <v>21</v>
      </c>
      <c r="W43" s="775">
        <f t="shared" si="14"/>
        <v>100</v>
      </c>
      <c r="X43" s="1812"/>
      <c r="Y43" s="3207"/>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05"/>
      <c r="Q44" s="1794">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05"/>
      <c r="Q45" s="1809">
        <f t="shared" si="11"/>
        <v>111</v>
      </c>
      <c r="R45" s="774" t="s">
        <v>21</v>
      </c>
      <c r="S45" s="775">
        <f t="shared" si="12"/>
        <v>100</v>
      </c>
      <c r="T45" s="774" t="s">
        <v>21</v>
      </c>
      <c r="U45" s="775">
        <f t="shared" si="13"/>
        <v>100</v>
      </c>
      <c r="V45" s="774" t="s">
        <v>21</v>
      </c>
      <c r="W45" s="775">
        <f t="shared" si="14"/>
        <v>100</v>
      </c>
      <c r="X45" s="1812"/>
      <c r="Y45" s="3207"/>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06"/>
      <c r="Q46" s="1809">
        <f t="shared" si="11"/>
        <v>111</v>
      </c>
      <c r="R46" s="774" t="s">
        <v>20</v>
      </c>
      <c r="S46" s="775">
        <f t="shared" si="12"/>
        <v>100</v>
      </c>
      <c r="T46" s="774" t="s">
        <v>20</v>
      </c>
      <c r="U46" s="775">
        <f t="shared" si="13"/>
        <v>100</v>
      </c>
      <c r="V46" s="774" t="s">
        <v>20</v>
      </c>
      <c r="W46" s="775">
        <f t="shared" si="14"/>
        <v>100</v>
      </c>
      <c r="X46" s="1812"/>
      <c r="Y46" s="3208"/>
      <c r="Z46" s="1813">
        <f t="shared" si="18"/>
        <v>111</v>
      </c>
      <c r="AA46" s="1810">
        <f t="shared" si="15"/>
        <v>1</v>
      </c>
      <c r="AB46" s="1810">
        <f t="shared" si="16"/>
        <v>1</v>
      </c>
      <c r="AC46" s="1810">
        <f t="shared" si="17"/>
        <v>1</v>
      </c>
    </row>
    <row r="47" spans="1:29" ht="15">
      <c r="A47" s="479" t="s">
        <v>2565</v>
      </c>
      <c r="B47" s="480"/>
      <c r="C47" s="1407" t="s">
        <v>19</v>
      </c>
      <c r="D47" s="1408"/>
      <c r="E47" s="1409"/>
      <c r="F47" s="1410"/>
      <c r="G47" s="1411"/>
      <c r="H47" s="1412"/>
      <c r="I47" s="1409"/>
      <c r="J47" s="1412"/>
      <c r="K47" s="2620"/>
      <c r="L47" s="1143"/>
      <c r="M47" s="1144"/>
      <c r="N47" s="1131"/>
      <c r="O47" s="1144"/>
      <c r="P47" s="3195" t="str">
        <f>A47</f>
        <v>成交单价（元/平方米）</v>
      </c>
      <c r="Q47" s="3195"/>
      <c r="R47" s="3196">
        <f>E47</f>
        <v>0</v>
      </c>
      <c r="S47" s="3196"/>
      <c r="T47" s="3196">
        <f>G47</f>
        <v>0</v>
      </c>
      <c r="U47" s="3196"/>
      <c r="V47" s="3196">
        <f>I47</f>
        <v>0</v>
      </c>
      <c r="W47" s="3196"/>
      <c r="X47" s="759"/>
      <c r="Y47" s="781"/>
      <c r="Z47" s="759"/>
      <c r="AA47" s="759"/>
      <c r="AB47" s="759"/>
      <c r="AC47" s="759"/>
    </row>
    <row r="48" spans="1:29" ht="15.75" thickBot="1">
      <c r="A48" s="486" t="s">
        <v>2566</v>
      </c>
      <c r="B48" s="487"/>
      <c r="C48" s="1413" t="e">
        <f>R49</f>
        <v>#DIV/0!</v>
      </c>
      <c r="D48" s="1414"/>
      <c r="E48" s="1415" t="e">
        <f>R48</f>
        <v>#DIV/0!</v>
      </c>
      <c r="F48" s="1415"/>
      <c r="G48" s="1413" t="e">
        <f>T48</f>
        <v>#DIV/0!</v>
      </c>
      <c r="H48" s="1414"/>
      <c r="I48" s="1415" t="e">
        <f>V48</f>
        <v>#DIV/0!</v>
      </c>
      <c r="J48" s="1414"/>
      <c r="K48" s="2621"/>
      <c r="L48" s="1143"/>
      <c r="M48" s="1144"/>
      <c r="N48" s="1144"/>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2567</v>
      </c>
      <c r="B49" s="493"/>
      <c r="C49" s="1416" t="e">
        <f>R49</f>
        <v>#DIV/0!</v>
      </c>
      <c r="D49" s="1417"/>
      <c r="E49" s="1417"/>
      <c r="F49" s="1417"/>
      <c r="G49" s="1417"/>
      <c r="H49" s="1417"/>
      <c r="I49" s="1417"/>
      <c r="J49" s="1417"/>
      <c r="K49" s="2622"/>
      <c r="L49" s="1143"/>
      <c r="M49" s="1144"/>
      <c r="N49" s="1144"/>
      <c r="O49" s="1144"/>
      <c r="P49" s="3274" t="str">
        <f>A49</f>
        <v>估价对象XX用房的比较价值（楼面单价，元/平方米）</v>
      </c>
      <c r="Q49" s="3275"/>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2571</v>
      </c>
      <c r="B57" s="759"/>
      <c r="C57" s="764"/>
      <c r="D57" s="764"/>
      <c r="E57" s="764"/>
      <c r="F57" s="765"/>
      <c r="G57" s="765"/>
      <c r="H57" s="764"/>
      <c r="I57" s="764"/>
      <c r="J57" s="764"/>
      <c r="K57" s="1160"/>
      <c r="L57" s="1161"/>
      <c r="M57" s="1159"/>
      <c r="N57" s="1159"/>
      <c r="O57" s="1159"/>
      <c r="P57" s="2625"/>
      <c r="Q57" s="504"/>
    </row>
    <row r="58" spans="1:29" s="508" customFormat="1" ht="15">
      <c r="A58" s="505" t="s">
        <v>2572</v>
      </c>
      <c r="B58" s="506"/>
      <c r="C58" s="1576" t="str">
        <f>YEAR(C7)&amp;"-"&amp;MONTH(C7)</f>
        <v>2021-12</v>
      </c>
      <c r="D58" s="1575">
        <f>EDATE(C58,-1)</f>
        <v>44501</v>
      </c>
      <c r="E58" s="1575">
        <f>EDATE(D58,-1)</f>
        <v>44470</v>
      </c>
      <c r="F58" s="1575">
        <f t="shared" ref="F58:O58" si="19">EDATE(E58,-1)</f>
        <v>44440</v>
      </c>
      <c r="G58" s="1575">
        <f t="shared" si="19"/>
        <v>44409</v>
      </c>
      <c r="H58" s="1575">
        <f t="shared" si="19"/>
        <v>44378</v>
      </c>
      <c r="I58" s="1575">
        <f t="shared" si="19"/>
        <v>44348</v>
      </c>
      <c r="J58" s="1575">
        <f t="shared" si="19"/>
        <v>44317</v>
      </c>
      <c r="K58" s="1575">
        <f t="shared" si="19"/>
        <v>44287</v>
      </c>
      <c r="L58" s="1575">
        <f t="shared" si="19"/>
        <v>44256</v>
      </c>
      <c r="M58" s="1575">
        <f t="shared" si="19"/>
        <v>44228</v>
      </c>
      <c r="N58" s="1575">
        <f t="shared" si="19"/>
        <v>44197</v>
      </c>
      <c r="O58" s="1575">
        <f t="shared" si="19"/>
        <v>44166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2573</v>
      </c>
      <c r="B60" s="516"/>
      <c r="C60" s="517"/>
      <c r="D60" s="518"/>
      <c r="E60" s="518"/>
      <c r="F60" s="518"/>
      <c r="G60" s="518"/>
      <c r="H60" s="518"/>
      <c r="I60" s="518"/>
      <c r="J60" s="518"/>
      <c r="K60" s="518"/>
      <c r="L60" s="518"/>
      <c r="M60" s="519"/>
      <c r="N60" s="518"/>
      <c r="O60" s="519"/>
      <c r="P60" s="2627"/>
      <c r="Q60" s="504"/>
    </row>
    <row r="61" spans="1:29" s="117" customFormat="1" ht="15">
      <c r="A61" s="521" t="s">
        <v>2574</v>
      </c>
      <c r="B61" s="510"/>
      <c r="C61" s="522" t="s">
        <v>2575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2576</v>
      </c>
      <c r="B63" s="528" t="s">
        <v>2542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2086</v>
      </c>
      <c r="C82" s="539" t="s">
        <v>2592</v>
      </c>
      <c r="D82" s="539" t="s">
        <v>2593</v>
      </c>
      <c r="E82" s="539" t="s">
        <v>2594</v>
      </c>
      <c r="F82" s="539" t="s">
        <v>2595</v>
      </c>
      <c r="G82" s="539" t="s">
        <v>2596</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2599</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2551</v>
      </c>
      <c r="B100" s="528" t="s">
        <v>2600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2603</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2604</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2607</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2562</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2610</v>
      </c>
    </row>
    <row r="137" spans="1:17" ht="15">
      <c r="B137" s="2637" t="s">
        <v>2611</v>
      </c>
      <c r="C137" s="2638"/>
      <c r="D137" s="2638"/>
      <c r="E137" s="2638"/>
      <c r="F137" s="2638"/>
      <c r="G137" s="2639"/>
      <c r="H137" s="2640"/>
      <c r="I137" s="2641" t="s">
        <v>2612</v>
      </c>
      <c r="J137" s="2638"/>
      <c r="K137" s="2642"/>
    </row>
    <row r="138" spans="1:17" ht="15">
      <c r="B138" s="2643"/>
      <c r="C138" s="146" t="s">
        <v>2613</v>
      </c>
      <c r="D138" s="146" t="s">
        <v>2614</v>
      </c>
      <c r="E138" s="2644" t="s">
        <v>2615</v>
      </c>
      <c r="F138" s="2645" t="s">
        <v>2616</v>
      </c>
      <c r="G138" s="146" t="s">
        <v>2614</v>
      </c>
      <c r="H138" s="147" t="s">
        <v>2615</v>
      </c>
      <c r="I138" s="2646"/>
      <c r="J138" s="146" t="s">
        <v>2617</v>
      </c>
      <c r="K138" s="147" t="s">
        <v>2618</v>
      </c>
    </row>
    <row r="139" spans="1:17" ht="15">
      <c r="B139" s="1084">
        <v>6</v>
      </c>
      <c r="C139" s="1085">
        <v>96</v>
      </c>
      <c r="D139" s="2647" t="s">
        <v>2619</v>
      </c>
      <c r="E139" s="1086">
        <v>100</v>
      </c>
      <c r="F139" s="1087">
        <v>102.5</v>
      </c>
      <c r="G139" s="2647" t="s">
        <v>2619</v>
      </c>
      <c r="H139" s="1088">
        <v>105</v>
      </c>
      <c r="I139" s="2648" t="s">
        <v>2620</v>
      </c>
      <c r="J139" s="1085">
        <v>20</v>
      </c>
      <c r="K139" s="1089">
        <f>C145/(J139-2)</f>
        <v>4.0555555555555553E-3</v>
      </c>
    </row>
    <row r="140" spans="1:17" ht="15">
      <c r="B140" s="1090">
        <v>5</v>
      </c>
      <c r="C140" s="1091">
        <v>100</v>
      </c>
      <c r="D140" s="1091"/>
      <c r="E140" s="1092"/>
      <c r="F140" s="1093">
        <v>102</v>
      </c>
      <c r="G140" s="1091"/>
      <c r="H140" s="1094"/>
      <c r="I140" s="2649" t="s">
        <v>2621</v>
      </c>
      <c r="J140" s="315">
        <f>ROUNDUP((J139-1)/2,0)</f>
        <v>10</v>
      </c>
      <c r="K140" s="1095">
        <v>100</v>
      </c>
    </row>
    <row r="141" spans="1:17" ht="15">
      <c r="B141" s="1090">
        <v>4</v>
      </c>
      <c r="C141" s="1091">
        <v>102</v>
      </c>
      <c r="D141" s="1091"/>
      <c r="E141" s="1092"/>
      <c r="F141" s="1093">
        <v>101.5</v>
      </c>
      <c r="G141" s="1091"/>
      <c r="H141" s="1094"/>
      <c r="I141" s="2649" t="s">
        <v>2622</v>
      </c>
      <c r="J141" s="315">
        <v>1</v>
      </c>
      <c r="K141" s="1096">
        <f>ROUND(100+(J141-J140)*K139*100,1)</f>
        <v>96.4</v>
      </c>
    </row>
    <row r="142" spans="1:17" ht="15">
      <c r="B142" s="1090">
        <v>3</v>
      </c>
      <c r="C142" s="1091">
        <v>103</v>
      </c>
      <c r="D142" s="1091"/>
      <c r="E142" s="1092"/>
      <c r="F142" s="1093">
        <v>101</v>
      </c>
      <c r="G142" s="1091"/>
      <c r="H142" s="1094"/>
      <c r="I142" s="2649" t="s">
        <v>2623</v>
      </c>
      <c r="J142" s="315">
        <f>J139</f>
        <v>20</v>
      </c>
      <c r="K142" s="1097">
        <v>95</v>
      </c>
    </row>
    <row r="143" spans="1:17" ht="15">
      <c r="B143" s="1090">
        <v>2</v>
      </c>
      <c r="C143" s="1091">
        <v>100</v>
      </c>
      <c r="D143" s="1091"/>
      <c r="E143" s="1092"/>
      <c r="F143" s="1093">
        <v>100.5</v>
      </c>
      <c r="G143" s="1091"/>
      <c r="H143" s="1094"/>
      <c r="I143" s="2649" t="s">
        <v>2624</v>
      </c>
      <c r="J143" s="1091">
        <v>15</v>
      </c>
      <c r="K143" s="1096">
        <f>ROUND(100+(J143-J140)*K139*100,1)</f>
        <v>102</v>
      </c>
    </row>
    <row r="144" spans="1:17" ht="15">
      <c r="B144" s="1090">
        <v>1</v>
      </c>
      <c r="C144" s="1091">
        <v>98</v>
      </c>
      <c r="D144" s="2650" t="s">
        <v>2625</v>
      </c>
      <c r="E144" s="1092">
        <v>102</v>
      </c>
      <c r="F144" s="1098">
        <v>100</v>
      </c>
      <c r="G144" s="2650" t="s">
        <v>2625</v>
      </c>
      <c r="H144" s="1094">
        <v>105</v>
      </c>
      <c r="I144" s="2649" t="s">
        <v>2624</v>
      </c>
      <c r="J144" s="1091">
        <v>18</v>
      </c>
      <c r="K144" s="1096">
        <f>ROUND(100+(J144-J140)*K139*100,1)</f>
        <v>103.2</v>
      </c>
    </row>
    <row r="145" spans="2:11" ht="15.75" thickBot="1">
      <c r="B145" s="2651" t="s">
        <v>2626</v>
      </c>
      <c r="C145" s="1099">
        <f>ROUND(MAX(C139:C144)/MIN(C139:C144)-1,3)</f>
        <v>7.2999999999999995E-2</v>
      </c>
      <c r="D145" s="1100"/>
      <c r="E145" s="1100"/>
      <c r="F145" s="2652" t="s">
        <v>2627</v>
      </c>
      <c r="G145" s="2653"/>
      <c r="H145" s="2654"/>
      <c r="I145" s="2655" t="s">
        <v>2624</v>
      </c>
      <c r="J145" s="1101">
        <v>8</v>
      </c>
      <c r="K145" s="1102">
        <f>ROUND(100+(J145-J140)*K139*100,1)</f>
        <v>99.2</v>
      </c>
    </row>
    <row r="147" spans="2:11">
      <c r="B147" s="2636" t="s">
        <v>2628</v>
      </c>
    </row>
    <row r="148" spans="2:11">
      <c r="B148" s="2636"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1" t="s">
        <v>2630</v>
      </c>
      <c r="C1" s="1634" t="s">
        <v>2518</v>
      </c>
      <c r="D1" s="1621"/>
      <c r="E1" s="2656"/>
      <c r="F1" s="2583"/>
      <c r="G1" s="1631" t="s">
        <v>2631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2315</v>
      </c>
      <c r="B2" s="1418" t="e">
        <f ca="1">IF(C2="——",ROUND(C49*D3/10000,0),ROUND(C49*D3/10000,0)-D2)</f>
        <v>#DIV/0!</v>
      </c>
      <c r="C2" s="2585"/>
      <c r="D2" s="1365" t="e">
        <f ca="1">SUMIF(INDIRECT("'"&amp;F2&amp;"'"&amp;"!A:A"),"承租人权益价值",INDIRECT("'"&amp;F2&amp;"'"&amp;"!c:c"))</f>
        <v>#REF!</v>
      </c>
      <c r="E2" s="2586" t="s">
        <v>2316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2317</v>
      </c>
      <c r="B3" s="609" t="e">
        <f ca="1">IF(C2="——",C49,ROUND(B2*10000/D3,0))</f>
        <v>#DIV/0!</v>
      </c>
      <c r="C3" s="400" t="s">
        <v>2632</v>
      </c>
      <c r="D3" s="399">
        <f>IF(D1="",'数据-汇总表'!E3,SUMIF('数据-汇总表'!$C19:$C33,D1,'数据-汇总表'!$E19:$E33))</f>
        <v>333.1</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13"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13"/>
      <c r="AC5" s="3221"/>
    </row>
    <row r="6" spans="1:29"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13"/>
      <c r="AC6" s="3222"/>
    </row>
    <row r="7" spans="1:29" s="117" customFormat="1" ht="15.75" thickBot="1">
      <c r="A7" s="408" t="s">
        <v>2536</v>
      </c>
      <c r="B7" s="409"/>
      <c r="C7" s="410">
        <f>'数据-取费表'!B2</f>
        <v>44552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2537</v>
      </c>
      <c r="Q7" s="3223"/>
      <c r="R7" s="770" t="s">
        <v>17</v>
      </c>
      <c r="S7" s="771">
        <f t="shared" ref="S7:S15" si="0">F7</f>
        <v>0</v>
      </c>
      <c r="T7" s="770" t="s">
        <v>17</v>
      </c>
      <c r="U7" s="771">
        <f t="shared" ref="U7:U15" si="1">H7</f>
        <v>0</v>
      </c>
      <c r="V7" s="770" t="s">
        <v>17</v>
      </c>
      <c r="W7" s="771">
        <f t="shared" ref="W7:W15" si="2">J7</f>
        <v>0</v>
      </c>
      <c r="X7" s="772"/>
      <c r="Y7" s="3211" t="s">
        <v>2537</v>
      </c>
      <c r="Z7" s="3210"/>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4"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4"/>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4"/>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2547</v>
      </c>
      <c r="B15" s="69" t="s">
        <v>2641</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0" t="s">
        <v>2548</v>
      </c>
      <c r="Q15" s="1809" t="str">
        <f t="shared" si="6"/>
        <v>商业繁华度</v>
      </c>
      <c r="R15" s="774" t="s">
        <v>17</v>
      </c>
      <c r="S15" s="775">
        <f t="shared" si="0"/>
        <v>100</v>
      </c>
      <c r="T15" s="774" t="s">
        <v>17</v>
      </c>
      <c r="U15" s="775">
        <f t="shared" si="1"/>
        <v>100</v>
      </c>
      <c r="V15" s="774" t="s">
        <v>17</v>
      </c>
      <c r="W15" s="775">
        <f t="shared" si="2"/>
        <v>100</v>
      </c>
      <c r="X15" s="1812"/>
      <c r="Y15" s="3202" t="s">
        <v>2548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01"/>
      <c r="Q16" s="1809"/>
      <c r="R16" s="774"/>
      <c r="S16" s="775"/>
      <c r="T16" s="774"/>
      <c r="U16" s="775"/>
      <c r="V16" s="774"/>
      <c r="W16" s="775"/>
      <c r="X16" s="1812"/>
      <c r="Y16" s="3203"/>
      <c r="Z16" s="1813"/>
      <c r="AA16" s="1810">
        <v>1</v>
      </c>
      <c r="AB16" s="1810">
        <v>1</v>
      </c>
      <c r="AC16" s="1810">
        <v>1</v>
      </c>
    </row>
    <row r="17" spans="1:29" ht="15">
      <c r="A17" s="428"/>
      <c r="B17" s="451" t="s">
        <v>2085</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1"/>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01"/>
      <c r="Q18" s="1809"/>
      <c r="R18" s="774"/>
      <c r="S18" s="775"/>
      <c r="T18" s="774"/>
      <c r="U18" s="775"/>
      <c r="V18" s="774"/>
      <c r="W18" s="775"/>
      <c r="X18" s="1812"/>
      <c r="Y18" s="3203"/>
      <c r="Z18" s="1813"/>
      <c r="AA18" s="1810">
        <v>1</v>
      </c>
      <c r="AB18" s="1810">
        <v>1</v>
      </c>
      <c r="AC18" s="1810">
        <v>1</v>
      </c>
    </row>
    <row r="19" spans="1:29" ht="15">
      <c r="A19" s="428"/>
      <c r="B19" s="451" t="s">
        <v>2642</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1"/>
      <c r="Q19" s="1809" t="str">
        <f>B19</f>
        <v>公共配套设施</v>
      </c>
      <c r="R19" s="774" t="s">
        <v>17</v>
      </c>
      <c r="S19" s="775">
        <f>F19</f>
        <v>100</v>
      </c>
      <c r="T19" s="774" t="s">
        <v>17</v>
      </c>
      <c r="U19" s="775">
        <f>H19</f>
        <v>100</v>
      </c>
      <c r="V19" s="774" t="s">
        <v>17</v>
      </c>
      <c r="W19" s="775">
        <f>J19</f>
        <v>100</v>
      </c>
      <c r="X19" s="1812"/>
      <c r="Y19" s="320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01"/>
      <c r="Q20" s="1809"/>
      <c r="R20" s="774"/>
      <c r="S20" s="775"/>
      <c r="T20" s="774"/>
      <c r="U20" s="775"/>
      <c r="V20" s="774"/>
      <c r="W20" s="775"/>
      <c r="X20" s="1812"/>
      <c r="Y20" s="3203"/>
      <c r="Z20" s="1813"/>
      <c r="AA20" s="1810">
        <v>1</v>
      </c>
      <c r="AB20" s="1810">
        <v>1</v>
      </c>
      <c r="AC20" s="1810">
        <v>1</v>
      </c>
    </row>
    <row r="21" spans="1:29" ht="15">
      <c r="A21" s="428"/>
      <c r="B21" s="1384" t="s">
        <v>2643</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1"/>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01"/>
      <c r="Q22" s="1809"/>
      <c r="R22" s="774"/>
      <c r="S22" s="775"/>
      <c r="T22" s="774"/>
      <c r="U22" s="775"/>
      <c r="V22" s="774"/>
      <c r="W22" s="775"/>
      <c r="X22" s="1812"/>
      <c r="Y22" s="3203"/>
      <c r="Z22" s="1813"/>
      <c r="AA22" s="1810">
        <v>1</v>
      </c>
      <c r="AB22" s="1810">
        <v>1</v>
      </c>
      <c r="AC22" s="1810">
        <v>1</v>
      </c>
    </row>
    <row r="23" spans="1:29" ht="15">
      <c r="A23" s="428"/>
      <c r="B23" s="451" t="s">
        <v>2090</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1"/>
      <c r="Q23" s="1809" t="str">
        <f>B23</f>
        <v>自然及人文环境</v>
      </c>
      <c r="R23" s="774" t="s">
        <v>17</v>
      </c>
      <c r="S23" s="775">
        <f>F23</f>
        <v>100</v>
      </c>
      <c r="T23" s="774" t="s">
        <v>17</v>
      </c>
      <c r="U23" s="775">
        <f>H23</f>
        <v>100</v>
      </c>
      <c r="V23" s="774" t="s">
        <v>17</v>
      </c>
      <c r="W23" s="775">
        <f>J23</f>
        <v>100</v>
      </c>
      <c r="X23" s="1812"/>
      <c r="Y23" s="3203"/>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01"/>
      <c r="Q24" s="1809"/>
      <c r="R24" s="774"/>
      <c r="S24" s="775"/>
      <c r="T24" s="774"/>
      <c r="U24" s="775"/>
      <c r="V24" s="774"/>
      <c r="W24" s="775"/>
      <c r="X24" s="1812"/>
      <c r="Y24" s="3203"/>
      <c r="Z24" s="1813"/>
      <c r="AA24" s="1810">
        <v>1</v>
      </c>
      <c r="AB24" s="1810">
        <v>1</v>
      </c>
      <c r="AC24" s="1810">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1"/>
      <c r="Q25" s="1809" t="str">
        <f t="shared" ref="Q25:Q46" si="11">B25</f>
        <v>临街状况</v>
      </c>
      <c r="R25" s="774" t="s">
        <v>17</v>
      </c>
      <c r="S25" s="775">
        <f>F25</f>
        <v>100</v>
      </c>
      <c r="T25" s="774" t="s">
        <v>17</v>
      </c>
      <c r="U25" s="775">
        <f>H25</f>
        <v>100</v>
      </c>
      <c r="V25" s="774" t="s">
        <v>17</v>
      </c>
      <c r="W25" s="775">
        <f>J25</f>
        <v>100</v>
      </c>
      <c r="X25" s="1812"/>
      <c r="Y25" s="3203"/>
      <c r="Z25" s="1813" t="str">
        <f>Q25</f>
        <v>临街状况</v>
      </c>
      <c r="AA25" s="1810">
        <f t="shared" si="3"/>
        <v>1</v>
      </c>
      <c r="AB25" s="1810">
        <f t="shared" si="4"/>
        <v>1</v>
      </c>
      <c r="AC25" s="1810">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1"/>
      <c r="Q26" s="1809" t="str">
        <f t="shared" si="11"/>
        <v>平面位置/可视性</v>
      </c>
      <c r="R26" s="774" t="s">
        <v>17</v>
      </c>
      <c r="S26" s="775">
        <f>F26</f>
        <v>100</v>
      </c>
      <c r="T26" s="774" t="s">
        <v>17</v>
      </c>
      <c r="U26" s="775">
        <f>H26</f>
        <v>100</v>
      </c>
      <c r="V26" s="774" t="s">
        <v>17</v>
      </c>
      <c r="W26" s="775">
        <f>J26</f>
        <v>100</v>
      </c>
      <c r="X26" s="1812"/>
      <c r="Y26" s="3203"/>
      <c r="Z26" s="1813" t="str">
        <f>Q26</f>
        <v>平面位置/可视性</v>
      </c>
      <c r="AA26" s="1810">
        <f t="shared" si="3"/>
        <v>1</v>
      </c>
      <c r="AB26" s="1810">
        <f t="shared" si="4"/>
        <v>1</v>
      </c>
      <c r="AC26" s="1810">
        <f t="shared" si="5"/>
        <v>1</v>
      </c>
    </row>
    <row r="27" spans="1:29" s="117" customFormat="1" ht="15">
      <c r="A27" s="431"/>
      <c r="B27" s="451" t="s">
        <v>2646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01"/>
      <c r="Q27" s="1794" t="str">
        <f t="shared" si="11"/>
        <v>人流量</v>
      </c>
      <c r="R27" s="770" t="s">
        <v>17</v>
      </c>
      <c r="S27" s="771">
        <f>F27</f>
        <v>100</v>
      </c>
      <c r="T27" s="770" t="s">
        <v>17</v>
      </c>
      <c r="U27" s="771">
        <f>H27</f>
        <v>100</v>
      </c>
      <c r="V27" s="770" t="s">
        <v>17</v>
      </c>
      <c r="W27" s="771">
        <f>J27</f>
        <v>100</v>
      </c>
      <c r="X27" s="772"/>
      <c r="Y27" s="3203"/>
      <c r="Z27" s="55" t="str">
        <f>Q27</f>
        <v>人流量</v>
      </c>
      <c r="AA27" s="1810">
        <f>D27/F27</f>
        <v>1</v>
      </c>
      <c r="AB27" s="1810">
        <f>D27/H27</f>
        <v>1</v>
      </c>
      <c r="AC27" s="1810">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3"/>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1"/>
      <c r="Q29" s="1809">
        <f t="shared" si="11"/>
        <v>111</v>
      </c>
      <c r="R29" s="774" t="s">
        <v>17</v>
      </c>
      <c r="S29" s="775">
        <f t="shared" si="12"/>
        <v>100</v>
      </c>
      <c r="T29" s="774" t="s">
        <v>17</v>
      </c>
      <c r="U29" s="775">
        <f t="shared" si="13"/>
        <v>100</v>
      </c>
      <c r="V29" s="774" t="s">
        <v>17</v>
      </c>
      <c r="W29" s="775">
        <f t="shared" si="14"/>
        <v>100</v>
      </c>
      <c r="X29" s="1812"/>
      <c r="Y29" s="3203"/>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1"/>
      <c r="Q30" s="1809">
        <f t="shared" si="11"/>
        <v>111</v>
      </c>
      <c r="R30" s="774" t="s">
        <v>17</v>
      </c>
      <c r="S30" s="775">
        <f t="shared" si="12"/>
        <v>100</v>
      </c>
      <c r="T30" s="774" t="s">
        <v>17</v>
      </c>
      <c r="U30" s="775">
        <f t="shared" si="13"/>
        <v>100</v>
      </c>
      <c r="V30" s="774" t="s">
        <v>17</v>
      </c>
      <c r="W30" s="775">
        <f t="shared" si="14"/>
        <v>100</v>
      </c>
      <c r="X30" s="1812"/>
      <c r="Y30" s="3203"/>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1"/>
      <c r="Q31" s="1809">
        <f t="shared" si="11"/>
        <v>111</v>
      </c>
      <c r="R31" s="774" t="s">
        <v>17</v>
      </c>
      <c r="S31" s="775">
        <f t="shared" si="12"/>
        <v>100</v>
      </c>
      <c r="T31" s="774" t="s">
        <v>17</v>
      </c>
      <c r="U31" s="775">
        <f t="shared" si="13"/>
        <v>100</v>
      </c>
      <c r="V31" s="774" t="s">
        <v>17</v>
      </c>
      <c r="W31" s="775">
        <f t="shared" si="14"/>
        <v>100</v>
      </c>
      <c r="X31" s="1812"/>
      <c r="Y31" s="3203"/>
      <c r="Z31" s="1813">
        <f t="shared" si="15"/>
        <v>111</v>
      </c>
      <c r="AA31" s="1810">
        <f t="shared" si="3"/>
        <v>1</v>
      </c>
      <c r="AB31" s="1810">
        <f t="shared" si="4"/>
        <v>1</v>
      </c>
      <c r="AC31" s="1810">
        <f t="shared" si="5"/>
        <v>1</v>
      </c>
    </row>
    <row r="32" spans="1:29" ht="15">
      <c r="A32" s="440" t="s">
        <v>2551</v>
      </c>
      <c r="B32" s="71" t="s">
        <v>2648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04" t="s">
        <v>2553</v>
      </c>
      <c r="Q32" s="1809" t="str">
        <f t="shared" si="11"/>
        <v>商业类型</v>
      </c>
      <c r="R32" s="774" t="s">
        <v>17</v>
      </c>
      <c r="S32" s="775">
        <f t="shared" si="12"/>
        <v>100</v>
      </c>
      <c r="T32" s="774" t="s">
        <v>17</v>
      </c>
      <c r="U32" s="775">
        <f t="shared" si="13"/>
        <v>100</v>
      </c>
      <c r="V32" s="774" t="s">
        <v>17</v>
      </c>
      <c r="W32" s="775">
        <f t="shared" si="14"/>
        <v>100</v>
      </c>
      <c r="X32" s="1812"/>
      <c r="Y32" s="3207" t="s">
        <v>2553</v>
      </c>
      <c r="Z32" s="1813" t="str">
        <f t="shared" si="15"/>
        <v>商业类型</v>
      </c>
      <c r="AA32" s="1810">
        <f t="shared" si="3"/>
        <v>1</v>
      </c>
      <c r="AB32" s="1810">
        <f t="shared" si="4"/>
        <v>1</v>
      </c>
      <c r="AC32" s="1810">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0" t="e">
        <f t="shared" si="3"/>
        <v>#N/A</v>
      </c>
      <c r="AB33" s="1810" t="e">
        <f t="shared" si="4"/>
        <v>#N/A</v>
      </c>
      <c r="AC33" s="1810"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05"/>
      <c r="Q34" s="1809" t="str">
        <f t="shared" si="11"/>
        <v>建筑结构</v>
      </c>
      <c r="R34" s="774" t="s">
        <v>17</v>
      </c>
      <c r="S34" s="775">
        <f t="shared" si="12"/>
        <v>100</v>
      </c>
      <c r="T34" s="774" t="s">
        <v>17</v>
      </c>
      <c r="U34" s="775">
        <f t="shared" si="13"/>
        <v>100</v>
      </c>
      <c r="V34" s="774" t="s">
        <v>17</v>
      </c>
      <c r="W34" s="775">
        <f t="shared" si="14"/>
        <v>100</v>
      </c>
      <c r="X34" s="1812"/>
      <c r="Y34" s="3207"/>
      <c r="Z34" s="1813" t="str">
        <f t="shared" si="15"/>
        <v>建筑结构</v>
      </c>
      <c r="AA34" s="1810">
        <f t="shared" si="3"/>
        <v>1</v>
      </c>
      <c r="AB34" s="1810">
        <f t="shared" si="4"/>
        <v>1</v>
      </c>
      <c r="AC34" s="1810">
        <f t="shared" si="5"/>
        <v>1</v>
      </c>
    </row>
    <row r="35" spans="1:29" ht="15">
      <c r="A35" s="472"/>
      <c r="B35" s="422" t="s">
        <v>2649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05"/>
      <c r="Q35" s="1809" t="str">
        <f t="shared" si="11"/>
        <v>公共部分装修</v>
      </c>
      <c r="R35" s="774" t="s">
        <v>17</v>
      </c>
      <c r="S35" s="775">
        <f t="shared" si="12"/>
        <v>100</v>
      </c>
      <c r="T35" s="774" t="s">
        <v>17</v>
      </c>
      <c r="U35" s="775">
        <f t="shared" si="13"/>
        <v>100</v>
      </c>
      <c r="V35" s="774" t="s">
        <v>17</v>
      </c>
      <c r="W35" s="775">
        <f t="shared" si="14"/>
        <v>100</v>
      </c>
      <c r="X35" s="1812"/>
      <c r="Y35" s="3207"/>
      <c r="Z35" s="1813" t="str">
        <f t="shared" si="15"/>
        <v>公共部分装修</v>
      </c>
      <c r="AA35" s="1810">
        <f t="shared" si="3"/>
        <v>1</v>
      </c>
      <c r="AB35" s="1810">
        <f t="shared" si="4"/>
        <v>1</v>
      </c>
      <c r="AC35" s="1810">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5"/>
      <c r="Q36" s="1809" t="str">
        <f t="shared" si="11"/>
        <v>成新度</v>
      </c>
      <c r="R36" s="774" t="s">
        <v>17</v>
      </c>
      <c r="S36" s="775" t="e">
        <f t="shared" si="12"/>
        <v>#N/A</v>
      </c>
      <c r="T36" s="774" t="s">
        <v>17</v>
      </c>
      <c r="U36" s="775" t="e">
        <f t="shared" si="13"/>
        <v>#N/A</v>
      </c>
      <c r="V36" s="774" t="s">
        <v>17</v>
      </c>
      <c r="W36" s="775" t="e">
        <f t="shared" si="14"/>
        <v>#N/A</v>
      </c>
      <c r="X36" s="1812"/>
      <c r="Y36" s="3207"/>
      <c r="Z36" s="1813" t="str">
        <f t="shared" si="15"/>
        <v>成新度</v>
      </c>
      <c r="AA36" s="1810" t="e">
        <f t="shared" si="3"/>
        <v>#N/A</v>
      </c>
      <c r="AB36" s="1810" t="e">
        <f t="shared" si="4"/>
        <v>#N/A</v>
      </c>
      <c r="AC36" s="1810" t="e">
        <f t="shared" si="5"/>
        <v>#N/A</v>
      </c>
    </row>
    <row r="37" spans="1:29" s="117" customFormat="1" ht="15">
      <c r="A37" s="473"/>
      <c r="B37" s="422" t="s">
        <v>2651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05"/>
      <c r="Q37" s="1794"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2652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05" t="s">
        <v>2553</v>
      </c>
      <c r="Q38" s="1809" t="str">
        <f t="shared" si="11"/>
        <v>业态</v>
      </c>
      <c r="R38" s="774" t="s">
        <v>17</v>
      </c>
      <c r="S38" s="775">
        <f t="shared" si="12"/>
        <v>100</v>
      </c>
      <c r="T38" s="774" t="s">
        <v>17</v>
      </c>
      <c r="U38" s="775">
        <f t="shared" si="13"/>
        <v>100</v>
      </c>
      <c r="V38" s="774" t="s">
        <v>17</v>
      </c>
      <c r="W38" s="775">
        <f t="shared" si="14"/>
        <v>100</v>
      </c>
      <c r="X38" s="1812"/>
      <c r="Y38" s="3207" t="s">
        <v>2553</v>
      </c>
      <c r="Z38" s="1813" t="str">
        <f t="shared" si="15"/>
        <v>业态</v>
      </c>
      <c r="AA38" s="1810">
        <f t="shared" si="3"/>
        <v>1</v>
      </c>
      <c r="AB38" s="1810">
        <f t="shared" si="4"/>
        <v>1</v>
      </c>
      <c r="AC38" s="1810">
        <f t="shared" si="5"/>
        <v>1</v>
      </c>
    </row>
    <row r="39" spans="1:29" ht="15">
      <c r="A39" s="472"/>
      <c r="B39" s="422" t="s">
        <v>2653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05"/>
      <c r="Q39" s="1809" t="str">
        <f t="shared" si="11"/>
        <v>层高</v>
      </c>
      <c r="R39" s="774" t="s">
        <v>17</v>
      </c>
      <c r="S39" s="775">
        <f t="shared" si="12"/>
        <v>100</v>
      </c>
      <c r="T39" s="774" t="s">
        <v>17</v>
      </c>
      <c r="U39" s="775">
        <f t="shared" si="13"/>
        <v>100</v>
      </c>
      <c r="V39" s="774" t="s">
        <v>17</v>
      </c>
      <c r="W39" s="775">
        <f t="shared" si="14"/>
        <v>100</v>
      </c>
      <c r="X39" s="1812"/>
      <c r="Y39" s="3207"/>
      <c r="Z39" s="1813" t="str">
        <f t="shared" si="15"/>
        <v>层高</v>
      </c>
      <c r="AA39" s="1810">
        <f t="shared" si="3"/>
        <v>1</v>
      </c>
      <c r="AB39" s="1810">
        <f t="shared" si="4"/>
        <v>1</v>
      </c>
      <c r="AC39" s="1810">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5"/>
      <c r="Q40" s="1809" t="str">
        <f t="shared" si="11"/>
        <v>单套建筑面积</v>
      </c>
      <c r="R40" s="774" t="s">
        <v>17</v>
      </c>
      <c r="S40" s="775">
        <f t="shared" si="12"/>
        <v>100</v>
      </c>
      <c r="T40" s="774" t="s">
        <v>17</v>
      </c>
      <c r="U40" s="775">
        <f t="shared" si="13"/>
        <v>100</v>
      </c>
      <c r="V40" s="774" t="s">
        <v>17</v>
      </c>
      <c r="W40" s="775">
        <f t="shared" si="14"/>
        <v>100</v>
      </c>
      <c r="X40" s="1812"/>
      <c r="Y40" s="3207"/>
      <c r="Z40" s="1813" t="str">
        <f t="shared" si="15"/>
        <v>单套建筑面积</v>
      </c>
      <c r="AA40" s="1810">
        <f t="shared" si="3"/>
        <v>1</v>
      </c>
      <c r="AB40" s="1810">
        <f t="shared" si="4"/>
        <v>1</v>
      </c>
      <c r="AC40" s="1810">
        <f t="shared" si="5"/>
        <v>1</v>
      </c>
    </row>
    <row r="41" spans="1:29" s="471" customFormat="1" ht="15">
      <c r="A41" s="468"/>
      <c r="B41" s="1811"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0">
        <f t="shared" si="3"/>
        <v>1</v>
      </c>
      <c r="AB41" s="1810">
        <f t="shared" si="4"/>
        <v>1</v>
      </c>
      <c r="AC41" s="1810">
        <f t="shared" si="5"/>
        <v>1</v>
      </c>
    </row>
    <row r="42" spans="1:29" ht="15">
      <c r="A42" s="472"/>
      <c r="B42" s="422" t="s">
        <v>2656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05"/>
      <c r="Q42" s="1809" t="str">
        <f t="shared" si="11"/>
        <v>内部装修</v>
      </c>
      <c r="R42" s="774" t="s">
        <v>17</v>
      </c>
      <c r="S42" s="775">
        <f t="shared" si="12"/>
        <v>100</v>
      </c>
      <c r="T42" s="774" t="s">
        <v>17</v>
      </c>
      <c r="U42" s="775">
        <f t="shared" si="13"/>
        <v>100</v>
      </c>
      <c r="V42" s="774" t="s">
        <v>17</v>
      </c>
      <c r="W42" s="775">
        <f t="shared" si="14"/>
        <v>100</v>
      </c>
      <c r="X42" s="1812"/>
      <c r="Y42" s="3207"/>
      <c r="Z42" s="1813" t="str">
        <f t="shared" si="15"/>
        <v>内部装修</v>
      </c>
      <c r="AA42" s="1810">
        <f t="shared" si="3"/>
        <v>1</v>
      </c>
      <c r="AB42" s="1810">
        <f t="shared" si="4"/>
        <v>1</v>
      </c>
      <c r="AC42" s="1810">
        <f t="shared" si="5"/>
        <v>1</v>
      </c>
    </row>
    <row r="43" spans="1:29" ht="15">
      <c r="A43" s="472"/>
      <c r="B43" s="422" t="s">
        <v>2564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05"/>
      <c r="Q43" s="1809" t="str">
        <f t="shared" si="11"/>
        <v>内部装修维护情况</v>
      </c>
      <c r="R43" s="774" t="s">
        <v>17</v>
      </c>
      <c r="S43" s="775">
        <f t="shared" si="12"/>
        <v>100</v>
      </c>
      <c r="T43" s="774" t="s">
        <v>17</v>
      </c>
      <c r="U43" s="775">
        <f t="shared" si="13"/>
        <v>100</v>
      </c>
      <c r="V43" s="774" t="s">
        <v>17</v>
      </c>
      <c r="W43" s="775">
        <f t="shared" si="14"/>
        <v>100</v>
      </c>
      <c r="X43" s="1812"/>
      <c r="Y43" s="320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5"/>
      <c r="Q44" s="1794">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5"/>
      <c r="Q45" s="1809">
        <f t="shared" si="11"/>
        <v>111</v>
      </c>
      <c r="R45" s="774" t="s">
        <v>17</v>
      </c>
      <c r="S45" s="775">
        <f t="shared" si="12"/>
        <v>100</v>
      </c>
      <c r="T45" s="774" t="s">
        <v>17</v>
      </c>
      <c r="U45" s="775">
        <f t="shared" si="13"/>
        <v>100</v>
      </c>
      <c r="V45" s="774" t="s">
        <v>17</v>
      </c>
      <c r="W45" s="775">
        <f t="shared" si="14"/>
        <v>100</v>
      </c>
      <c r="X45" s="1812"/>
      <c r="Y45" s="3207"/>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6"/>
      <c r="Q46" s="1809">
        <f t="shared" si="11"/>
        <v>111</v>
      </c>
      <c r="R46" s="774" t="s">
        <v>17</v>
      </c>
      <c r="S46" s="775">
        <f t="shared" si="12"/>
        <v>100</v>
      </c>
      <c r="T46" s="774" t="s">
        <v>17</v>
      </c>
      <c r="U46" s="775">
        <f t="shared" si="13"/>
        <v>100</v>
      </c>
      <c r="V46" s="774" t="s">
        <v>17</v>
      </c>
      <c r="W46" s="775">
        <f t="shared" si="14"/>
        <v>100</v>
      </c>
      <c r="X46" s="1812"/>
      <c r="Y46" s="3208"/>
      <c r="Z46" s="1813">
        <f t="shared" si="15"/>
        <v>111</v>
      </c>
      <c r="AA46" s="1810">
        <f t="shared" si="3"/>
        <v>1</v>
      </c>
      <c r="AB46" s="1810">
        <f t="shared" si="4"/>
        <v>1</v>
      </c>
      <c r="AC46" s="1810">
        <f t="shared" si="5"/>
        <v>1</v>
      </c>
    </row>
    <row r="47" spans="1:29" ht="15">
      <c r="A47" s="479" t="s">
        <v>2565</v>
      </c>
      <c r="B47" s="480"/>
      <c r="C47" s="1407" t="s">
        <v>1</v>
      </c>
      <c r="D47" s="1408"/>
      <c r="E47" s="1409"/>
      <c r="F47" s="1410"/>
      <c r="G47" s="1411"/>
      <c r="H47" s="1412"/>
      <c r="I47" s="1409"/>
      <c r="J47" s="1412"/>
      <c r="K47" s="783"/>
      <c r="L47" s="1143"/>
      <c r="M47" s="1144"/>
      <c r="N47" s="1131"/>
      <c r="O47" s="1144"/>
      <c r="P47" s="3195" t="str">
        <f>A47</f>
        <v>成交单价（元/平方米）</v>
      </c>
      <c r="Q47" s="3195"/>
      <c r="R47" s="3213">
        <f>E47</f>
        <v>0</v>
      </c>
      <c r="S47" s="3213"/>
      <c r="T47" s="3213">
        <f>G47</f>
        <v>0</v>
      </c>
      <c r="U47" s="3213"/>
      <c r="V47" s="3213">
        <f>I47</f>
        <v>0</v>
      </c>
      <c r="W47" s="3213"/>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3"/>
      <c r="M48" s="1144"/>
      <c r="N48" s="1131"/>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3"/>
      <c r="M49" s="1144"/>
      <c r="N49" s="1131"/>
      <c r="O49" s="1144"/>
      <c r="P49" s="3274" t="str">
        <f>A49</f>
        <v>估价对象XX用房的比较价值（楼面单价，元/平方米）</v>
      </c>
      <c r="Q49" s="3275"/>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2536</v>
      </c>
      <c r="B58" s="506"/>
      <c r="C58" s="1574" t="str">
        <f>YEAR(C7)&amp;"-"&amp;MONTH(C7)</f>
        <v>2021-12</v>
      </c>
      <c r="D58" s="1575">
        <f>EDATE(C58,-1)</f>
        <v>44501</v>
      </c>
      <c r="E58" s="1575">
        <f t="shared" ref="E58:N58" si="16">EDATE(D58,-1)</f>
        <v>44470</v>
      </c>
      <c r="F58" s="1575">
        <f t="shared" si="16"/>
        <v>44440</v>
      </c>
      <c r="G58" s="1575">
        <f t="shared" si="16"/>
        <v>44409</v>
      </c>
      <c r="H58" s="1575">
        <f t="shared" si="16"/>
        <v>44378</v>
      </c>
      <c r="I58" s="1575">
        <f t="shared" si="16"/>
        <v>44348</v>
      </c>
      <c r="J58" s="1575">
        <f t="shared" si="16"/>
        <v>44317</v>
      </c>
      <c r="K58" s="1575">
        <f t="shared" si="16"/>
        <v>44287</v>
      </c>
      <c r="L58" s="1575">
        <f t="shared" si="16"/>
        <v>44256</v>
      </c>
      <c r="M58" s="1575">
        <f t="shared" si="16"/>
        <v>44228</v>
      </c>
      <c r="N58" s="1575">
        <f t="shared" si="16"/>
        <v>44197</v>
      </c>
      <c r="O58" s="1575">
        <f>EDATE(N58,-1)</f>
        <v>44166</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2573</v>
      </c>
      <c r="B60" s="516"/>
      <c r="C60" s="517"/>
      <c r="D60" s="518"/>
      <c r="E60" s="518"/>
      <c r="F60" s="518"/>
      <c r="G60" s="518"/>
      <c r="H60" s="518"/>
      <c r="I60" s="518"/>
      <c r="J60" s="518"/>
      <c r="K60" s="518"/>
      <c r="L60" s="518"/>
      <c r="M60" s="519"/>
      <c r="N60" s="518"/>
      <c r="O60" s="519"/>
      <c r="P60" s="2627"/>
      <c r="Q60" s="504"/>
    </row>
    <row r="61" spans="1:29" s="117" customFormat="1" ht="15">
      <c r="A61" s="521" t="s">
        <v>2538</v>
      </c>
      <c r="B61" s="510"/>
      <c r="C61" s="522" t="s">
        <v>2640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2576</v>
      </c>
      <c r="B63" s="528" t="s">
        <v>2542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2551</v>
      </c>
      <c r="B100" s="528" t="s">
        <v>2669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2604</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2606</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2672</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2673</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8" t="s">
        <v>2690</v>
      </c>
      <c r="C1" s="1620" t="s">
        <v>2518</v>
      </c>
      <c r="D1" s="1621"/>
      <c r="E1" s="1630"/>
      <c r="F1" s="258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5"/>
      <c r="D2" s="1124" t="e">
        <f ca="1">SUMIF(INDIRECT("'"&amp;F2&amp;"'"&amp;"!A:A"),"承租人权益价值",INDIRECT("'"&amp;F2&amp;"'"&amp;"!c:c"))</f>
        <v>#REF!</v>
      </c>
      <c r="E2" s="2586" t="s">
        <v>2316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333.1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44552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2537</v>
      </c>
      <c r="Q7" s="3223"/>
      <c r="R7" s="770" t="s">
        <v>17</v>
      </c>
      <c r="S7" s="771">
        <f t="shared" ref="S7:S15" si="0">F7</f>
        <v>0</v>
      </c>
      <c r="T7" s="770" t="s">
        <v>17</v>
      </c>
      <c r="U7" s="771">
        <f t="shared" ref="U7:U15" si="1">H7</f>
        <v>0</v>
      </c>
      <c r="V7" s="770" t="s">
        <v>17</v>
      </c>
      <c r="W7" s="771">
        <f t="shared" ref="W7:W15" si="2">J7</f>
        <v>0</v>
      </c>
      <c r="X7" s="772"/>
      <c r="Y7" s="3211" t="s">
        <v>2537</v>
      </c>
      <c r="Z7" s="3210"/>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5"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5"/>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5"/>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5"/>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5"/>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2547</v>
      </c>
      <c r="B15" s="69" t="s">
        <v>2691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2" t="s">
        <v>2548</v>
      </c>
      <c r="Q15" s="1809" t="str">
        <f t="shared" si="6"/>
        <v>产业集聚程度</v>
      </c>
      <c r="R15" s="774" t="s">
        <v>17</v>
      </c>
      <c r="S15" s="775">
        <f t="shared" si="0"/>
        <v>100</v>
      </c>
      <c r="T15" s="774" t="s">
        <v>17</v>
      </c>
      <c r="U15" s="775">
        <f t="shared" si="1"/>
        <v>100</v>
      </c>
      <c r="V15" s="774" t="s">
        <v>17</v>
      </c>
      <c r="W15" s="775">
        <f t="shared" si="2"/>
        <v>100</v>
      </c>
      <c r="X15" s="1812"/>
      <c r="Y15" s="3202" t="s">
        <v>2548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3"/>
      <c r="Q16" s="1809"/>
      <c r="R16" s="774"/>
      <c r="S16" s="775"/>
      <c r="T16" s="774"/>
      <c r="U16" s="775"/>
      <c r="V16" s="774"/>
      <c r="W16" s="775"/>
      <c r="X16" s="1812"/>
      <c r="Y16" s="3203"/>
      <c r="Z16" s="1813"/>
      <c r="AA16" s="1810">
        <v>1</v>
      </c>
      <c r="AB16" s="1810">
        <v>1</v>
      </c>
      <c r="AC16" s="1810">
        <v>1</v>
      </c>
    </row>
    <row r="17" spans="1:29" ht="85.5">
      <c r="A17" s="428"/>
      <c r="B17" s="451" t="s">
        <v>2085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3"/>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03"/>
      <c r="Q18" s="1809"/>
      <c r="R18" s="774"/>
      <c r="S18" s="775"/>
      <c r="T18" s="774"/>
      <c r="U18" s="775"/>
      <c r="V18" s="774"/>
      <c r="W18" s="775"/>
      <c r="X18" s="1812"/>
      <c r="Y18" s="3203"/>
      <c r="Z18" s="1813"/>
      <c r="AA18" s="1810">
        <v>1</v>
      </c>
      <c r="AB18" s="1810">
        <v>1</v>
      </c>
      <c r="AC18" s="1810">
        <v>1</v>
      </c>
    </row>
    <row r="19" spans="1:29" ht="42.75">
      <c r="A19" s="428"/>
      <c r="B19" s="451" t="s">
        <v>2676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3"/>
      <c r="Q19" s="1809" t="str">
        <f>B19</f>
        <v>公共配套设施</v>
      </c>
      <c r="R19" s="774" t="s">
        <v>17</v>
      </c>
      <c r="S19" s="775">
        <f>F19</f>
        <v>100</v>
      </c>
      <c r="T19" s="774" t="s">
        <v>17</v>
      </c>
      <c r="U19" s="775">
        <f>H19</f>
        <v>100</v>
      </c>
      <c r="V19" s="774" t="s">
        <v>17</v>
      </c>
      <c r="W19" s="775">
        <f>J19</f>
        <v>100</v>
      </c>
      <c r="X19" s="1812"/>
      <c r="Y19" s="320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03"/>
      <c r="Q20" s="1809"/>
      <c r="R20" s="774"/>
      <c r="S20" s="775"/>
      <c r="T20" s="774"/>
      <c r="U20" s="775"/>
      <c r="V20" s="774"/>
      <c r="W20" s="775"/>
      <c r="X20" s="1812"/>
      <c r="Y20" s="3203"/>
      <c r="Z20" s="1813"/>
      <c r="AA20" s="1810">
        <v>1</v>
      </c>
      <c r="AB20" s="1810">
        <v>1</v>
      </c>
      <c r="AC20" s="1810">
        <v>1</v>
      </c>
    </row>
    <row r="21" spans="1:29" ht="28.5">
      <c r="A21" s="428"/>
      <c r="B21" s="1384" t="s">
        <v>2677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3"/>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03"/>
      <c r="Q22" s="1809"/>
      <c r="R22" s="774"/>
      <c r="S22" s="775"/>
      <c r="T22" s="774"/>
      <c r="U22" s="775"/>
      <c r="V22" s="774"/>
      <c r="W22" s="775"/>
      <c r="X22" s="1812"/>
      <c r="Y22" s="3203"/>
      <c r="Z22" s="1813"/>
      <c r="AA22" s="1810">
        <v>1</v>
      </c>
      <c r="AB22" s="1810">
        <v>1</v>
      </c>
      <c r="AC22" s="1810">
        <v>1</v>
      </c>
    </row>
    <row r="23" spans="1:29" ht="71.25">
      <c r="A23" s="428"/>
      <c r="B23" s="451" t="s">
        <v>2678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3"/>
      <c r="Q23" s="1809" t="str">
        <f>B23</f>
        <v>环境质量</v>
      </c>
      <c r="R23" s="774" t="s">
        <v>17</v>
      </c>
      <c r="S23" s="775">
        <f>F23</f>
        <v>100</v>
      </c>
      <c r="T23" s="774" t="s">
        <v>17</v>
      </c>
      <c r="U23" s="775">
        <f>H23</f>
        <v>100</v>
      </c>
      <c r="V23" s="774" t="s">
        <v>17</v>
      </c>
      <c r="W23" s="775">
        <f>J23</f>
        <v>100</v>
      </c>
      <c r="X23" s="1812"/>
      <c r="Y23" s="3203"/>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03"/>
      <c r="Q24" s="1809"/>
      <c r="R24" s="774"/>
      <c r="S24" s="775"/>
      <c r="T24" s="774"/>
      <c r="U24" s="775"/>
      <c r="V24" s="774"/>
      <c r="W24" s="775"/>
      <c r="X24" s="1812"/>
      <c r="Y24" s="320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3"/>
      <c r="Q25" s="1809">
        <f>B25</f>
        <v>111</v>
      </c>
      <c r="R25" s="774" t="s">
        <v>17</v>
      </c>
      <c r="S25" s="775">
        <f>F25</f>
        <v>100</v>
      </c>
      <c r="T25" s="774" t="s">
        <v>17</v>
      </c>
      <c r="U25" s="775">
        <f>H25</f>
        <v>100</v>
      </c>
      <c r="V25" s="774" t="s">
        <v>17</v>
      </c>
      <c r="W25" s="775">
        <f>J25</f>
        <v>100</v>
      </c>
      <c r="X25" s="1812"/>
      <c r="Y25" s="320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3"/>
      <c r="Q26" s="1809">
        <f t="shared" ref="Q26:Q40" si="11">B26</f>
        <v>111</v>
      </c>
      <c r="R26" s="774" t="s">
        <v>17</v>
      </c>
      <c r="S26" s="775">
        <f>F26</f>
        <v>100</v>
      </c>
      <c r="T26" s="774" t="s">
        <v>17</v>
      </c>
      <c r="U26" s="775">
        <f>H26</f>
        <v>100</v>
      </c>
      <c r="V26" s="774" t="s">
        <v>17</v>
      </c>
      <c r="W26" s="775">
        <f>J26</f>
        <v>100</v>
      </c>
      <c r="X26" s="1812"/>
      <c r="Y26" s="3203"/>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3"/>
      <c r="Q27" s="1794">
        <f t="shared" si="11"/>
        <v>111</v>
      </c>
      <c r="R27" s="770" t="s">
        <v>17</v>
      </c>
      <c r="S27" s="771">
        <f>F27</f>
        <v>100</v>
      </c>
      <c r="T27" s="770" t="s">
        <v>17</v>
      </c>
      <c r="U27" s="771">
        <f>H27</f>
        <v>100</v>
      </c>
      <c r="V27" s="770" t="s">
        <v>17</v>
      </c>
      <c r="W27" s="771">
        <f>J27</f>
        <v>100</v>
      </c>
      <c r="X27" s="772"/>
      <c r="Y27" s="3203"/>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3"/>
      <c r="Q28" s="1809">
        <f t="shared" si="11"/>
        <v>111</v>
      </c>
      <c r="R28" s="774" t="s">
        <v>17</v>
      </c>
      <c r="S28" s="775">
        <f t="shared" ref="S28:S40" si="12">F28</f>
        <v>100</v>
      </c>
      <c r="T28" s="774" t="s">
        <v>17</v>
      </c>
      <c r="U28" s="775">
        <f t="shared" ref="U28:U40" si="13">H28</f>
        <v>100</v>
      </c>
      <c r="V28" s="774" t="s">
        <v>17</v>
      </c>
      <c r="W28" s="775">
        <f t="shared" ref="W28:W40" si="14">J28</f>
        <v>100</v>
      </c>
      <c r="X28" s="1812"/>
      <c r="Y28" s="3203"/>
      <c r="Z28" s="1813">
        <f t="shared" ref="Z28:Z40" si="15">Q28</f>
        <v>111</v>
      </c>
      <c r="AA28" s="1810">
        <f t="shared" si="3"/>
        <v>1</v>
      </c>
      <c r="AB28" s="1810">
        <f t="shared" si="4"/>
        <v>1</v>
      </c>
      <c r="AC28" s="1810">
        <f t="shared" si="5"/>
        <v>1</v>
      </c>
    </row>
    <row r="29" spans="1:29" ht="28.5">
      <c r="A29" s="466" t="s">
        <v>2551</v>
      </c>
      <c r="B29" s="71" t="s">
        <v>2681</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89" t="s">
        <v>2553</v>
      </c>
      <c r="Q29" s="1809" t="str">
        <f t="shared" si="11"/>
        <v>建筑类型</v>
      </c>
      <c r="R29" s="774" t="s">
        <v>17</v>
      </c>
      <c r="S29" s="775">
        <f t="shared" si="12"/>
        <v>100</v>
      </c>
      <c r="T29" s="774" t="s">
        <v>17</v>
      </c>
      <c r="U29" s="775">
        <f t="shared" si="13"/>
        <v>100</v>
      </c>
      <c r="V29" s="774" t="s">
        <v>17</v>
      </c>
      <c r="W29" s="775">
        <f t="shared" si="14"/>
        <v>100</v>
      </c>
      <c r="X29" s="1812"/>
      <c r="Y29" s="3207" t="s">
        <v>2553</v>
      </c>
      <c r="Z29" s="1813" t="str">
        <f t="shared" si="15"/>
        <v>建筑类型</v>
      </c>
      <c r="AA29" s="1810">
        <f t="shared" si="3"/>
        <v>1</v>
      </c>
      <c r="AB29" s="1810">
        <f t="shared" si="4"/>
        <v>1</v>
      </c>
      <c r="AC29" s="1810">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0" t="e">
        <f t="shared" si="3"/>
        <v>#N/A</v>
      </c>
      <c r="AB30" s="1810" t="e">
        <f t="shared" si="4"/>
        <v>#N/A</v>
      </c>
      <c r="AC30" s="1810"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7"/>
      <c r="Q31" s="1809" t="str">
        <f t="shared" si="11"/>
        <v>建筑结构</v>
      </c>
      <c r="R31" s="774" t="s">
        <v>17</v>
      </c>
      <c r="S31" s="775">
        <f t="shared" si="12"/>
        <v>100</v>
      </c>
      <c r="T31" s="774" t="s">
        <v>17</v>
      </c>
      <c r="U31" s="775">
        <f t="shared" si="13"/>
        <v>100</v>
      </c>
      <c r="V31" s="774" t="s">
        <v>17</v>
      </c>
      <c r="W31" s="775">
        <f t="shared" si="14"/>
        <v>100</v>
      </c>
      <c r="X31" s="1812"/>
      <c r="Y31" s="3207"/>
      <c r="Z31" s="1813" t="str">
        <f t="shared" si="15"/>
        <v>建筑结构</v>
      </c>
      <c r="AA31" s="1810">
        <f t="shared" si="3"/>
        <v>1</v>
      </c>
      <c r="AB31" s="1810">
        <f t="shared" si="4"/>
        <v>1</v>
      </c>
      <c r="AC31" s="1810">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7"/>
      <c r="Q32" s="1809" t="str">
        <f t="shared" si="11"/>
        <v>公共部分装修</v>
      </c>
      <c r="R32" s="774" t="s">
        <v>17</v>
      </c>
      <c r="S32" s="775">
        <f t="shared" si="12"/>
        <v>100</v>
      </c>
      <c r="T32" s="774" t="s">
        <v>17</v>
      </c>
      <c r="U32" s="775">
        <f t="shared" si="13"/>
        <v>100</v>
      </c>
      <c r="V32" s="774" t="s">
        <v>17</v>
      </c>
      <c r="W32" s="775">
        <f t="shared" si="14"/>
        <v>100</v>
      </c>
      <c r="X32" s="1812"/>
      <c r="Y32" s="3207"/>
      <c r="Z32" s="1813" t="str">
        <f t="shared" si="15"/>
        <v>公共部分装修</v>
      </c>
      <c r="AA32" s="1810">
        <f t="shared" si="3"/>
        <v>1</v>
      </c>
      <c r="AB32" s="1810">
        <f t="shared" si="4"/>
        <v>1</v>
      </c>
      <c r="AC32" s="1810">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7"/>
      <c r="Q33" s="1809" t="str">
        <f t="shared" si="11"/>
        <v>成新度</v>
      </c>
      <c r="R33" s="774" t="s">
        <v>17</v>
      </c>
      <c r="S33" s="775" t="e">
        <f t="shared" si="12"/>
        <v>#N/A</v>
      </c>
      <c r="T33" s="774" t="s">
        <v>17</v>
      </c>
      <c r="U33" s="775" t="e">
        <f t="shared" si="13"/>
        <v>#N/A</v>
      </c>
      <c r="V33" s="774" t="s">
        <v>17</v>
      </c>
      <c r="W33" s="775" t="e">
        <f t="shared" si="14"/>
        <v>#N/A</v>
      </c>
      <c r="X33" s="1812"/>
      <c r="Y33" s="3207"/>
      <c r="Z33" s="1813" t="str">
        <f t="shared" si="15"/>
        <v>成新度</v>
      </c>
      <c r="AA33" s="1810" t="e">
        <f t="shared" si="3"/>
        <v>#N/A</v>
      </c>
      <c r="AB33" s="1810" t="e">
        <f t="shared" si="4"/>
        <v>#N/A</v>
      </c>
      <c r="AC33" s="1810"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7"/>
      <c r="Q34" s="1794"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7" t="s">
        <v>2553</v>
      </c>
      <c r="Q35" s="1809" t="str">
        <f t="shared" si="11"/>
        <v>市政基础设施</v>
      </c>
      <c r="R35" s="774" t="s">
        <v>17</v>
      </c>
      <c r="S35" s="775">
        <f t="shared" si="12"/>
        <v>100</v>
      </c>
      <c r="T35" s="774" t="s">
        <v>17</v>
      </c>
      <c r="U35" s="775">
        <f t="shared" si="13"/>
        <v>100</v>
      </c>
      <c r="V35" s="774" t="s">
        <v>17</v>
      </c>
      <c r="W35" s="775">
        <f t="shared" si="14"/>
        <v>100</v>
      </c>
      <c r="X35" s="1812"/>
      <c r="Y35" s="3207" t="s">
        <v>2553</v>
      </c>
      <c r="Z35" s="1813" t="str">
        <f t="shared" si="15"/>
        <v>市政基础设施</v>
      </c>
      <c r="AA35" s="1810">
        <f t="shared" si="3"/>
        <v>1</v>
      </c>
      <c r="AB35" s="1810">
        <f t="shared" si="4"/>
        <v>1</v>
      </c>
      <c r="AC35" s="1810">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7"/>
      <c r="Q36" s="1809" t="str">
        <f t="shared" si="11"/>
        <v>内部装修</v>
      </c>
      <c r="R36" s="774" t="s">
        <v>17</v>
      </c>
      <c r="S36" s="775">
        <f t="shared" si="12"/>
        <v>100</v>
      </c>
      <c r="T36" s="774" t="s">
        <v>17</v>
      </c>
      <c r="U36" s="775">
        <f t="shared" si="13"/>
        <v>100</v>
      </c>
      <c r="V36" s="774" t="s">
        <v>17</v>
      </c>
      <c r="W36" s="775">
        <f t="shared" si="14"/>
        <v>100</v>
      </c>
      <c r="X36" s="1812"/>
      <c r="Y36" s="3207"/>
      <c r="Z36" s="1813" t="str">
        <f t="shared" si="15"/>
        <v>内部装修</v>
      </c>
      <c r="AA36" s="1810">
        <f t="shared" si="3"/>
        <v>1</v>
      </c>
      <c r="AB36" s="1810">
        <f t="shared" si="4"/>
        <v>1</v>
      </c>
      <c r="AC36" s="1810">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7"/>
      <c r="Q37" s="1809" t="str">
        <f t="shared" si="11"/>
        <v>内部装修状况</v>
      </c>
      <c r="R37" s="774" t="s">
        <v>17</v>
      </c>
      <c r="S37" s="775">
        <f t="shared" si="12"/>
        <v>100</v>
      </c>
      <c r="T37" s="774" t="s">
        <v>17</v>
      </c>
      <c r="U37" s="775">
        <f t="shared" si="13"/>
        <v>100</v>
      </c>
      <c r="V37" s="774" t="s">
        <v>17</v>
      </c>
      <c r="W37" s="775">
        <f t="shared" si="14"/>
        <v>100</v>
      </c>
      <c r="X37" s="1812"/>
      <c r="Y37" s="320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7"/>
      <c r="Q39" s="1809">
        <f t="shared" si="11"/>
        <v>111</v>
      </c>
      <c r="R39" s="774" t="s">
        <v>17</v>
      </c>
      <c r="S39" s="775">
        <f t="shared" si="12"/>
        <v>100</v>
      </c>
      <c r="T39" s="774" t="s">
        <v>17</v>
      </c>
      <c r="U39" s="775">
        <f t="shared" si="13"/>
        <v>100</v>
      </c>
      <c r="V39" s="774" t="s">
        <v>17</v>
      </c>
      <c r="W39" s="775">
        <f t="shared" si="14"/>
        <v>100</v>
      </c>
      <c r="X39" s="1812"/>
      <c r="Y39" s="3207"/>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8"/>
      <c r="Q40" s="1809">
        <f t="shared" si="11"/>
        <v>111</v>
      </c>
      <c r="R40" s="774" t="s">
        <v>17</v>
      </c>
      <c r="S40" s="775">
        <f t="shared" si="12"/>
        <v>100</v>
      </c>
      <c r="T40" s="774" t="s">
        <v>17</v>
      </c>
      <c r="U40" s="775">
        <f t="shared" si="13"/>
        <v>100</v>
      </c>
      <c r="V40" s="774" t="s">
        <v>17</v>
      </c>
      <c r="W40" s="775">
        <f t="shared" si="14"/>
        <v>100</v>
      </c>
      <c r="X40" s="1812"/>
      <c r="Y40" s="3208"/>
      <c r="Z40" s="1813">
        <f t="shared" si="15"/>
        <v>111</v>
      </c>
      <c r="AA40" s="1810">
        <f t="shared" si="3"/>
        <v>1</v>
      </c>
      <c r="AB40" s="1810">
        <f t="shared" si="4"/>
        <v>1</v>
      </c>
      <c r="AC40" s="1810">
        <f t="shared" si="5"/>
        <v>1</v>
      </c>
    </row>
    <row r="41" spans="1:29" ht="15">
      <c r="A41" s="479" t="s">
        <v>2565</v>
      </c>
      <c r="B41" s="480"/>
      <c r="C41" s="1407" t="s">
        <v>1</v>
      </c>
      <c r="D41" s="1408"/>
      <c r="E41" s="1409"/>
      <c r="F41" s="1410"/>
      <c r="G41" s="1411"/>
      <c r="H41" s="1412"/>
      <c r="I41" s="1409"/>
      <c r="J41" s="1412"/>
      <c r="K41" s="783"/>
      <c r="L41" s="1143"/>
      <c r="M41" s="1144"/>
      <c r="N41" s="1131"/>
      <c r="O41" s="1144"/>
      <c r="P41" s="3195" t="str">
        <f>A41</f>
        <v>成交单价（元/平方米）</v>
      </c>
      <c r="Q41" s="3195"/>
      <c r="R41" s="3196">
        <f>E41</f>
        <v>0</v>
      </c>
      <c r="S41" s="3196"/>
      <c r="T41" s="3196">
        <f>G41</f>
        <v>0</v>
      </c>
      <c r="U41" s="3196"/>
      <c r="V41" s="3196">
        <f>I41</f>
        <v>0</v>
      </c>
      <c r="W41" s="3196"/>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3"/>
      <c r="M42" s="1144"/>
      <c r="N42" s="1131"/>
      <c r="O42" s="1144"/>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3"/>
      <c r="M43" s="1144"/>
      <c r="N43" s="1144"/>
      <c r="O43" s="1144"/>
      <c r="P43" s="3274" t="str">
        <f>A43</f>
        <v>估价对象XX用房的比较价值（楼面单价，元/平方米）</v>
      </c>
      <c r="Q43" s="3275"/>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2662</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4" t="str">
        <f>YEAR(C7)&amp;"-"&amp;MONTH(C7)</f>
        <v>2021-12</v>
      </c>
      <c r="D52" s="1575">
        <f>EDATE(C52,-1)</f>
        <v>44501</v>
      </c>
      <c r="E52" s="1575">
        <f t="shared" ref="E52:O52" si="16">EDATE(D52,-1)</f>
        <v>44470</v>
      </c>
      <c r="F52" s="1575">
        <f t="shared" si="16"/>
        <v>44440</v>
      </c>
      <c r="G52" s="1575">
        <f t="shared" si="16"/>
        <v>44409</v>
      </c>
      <c r="H52" s="1575">
        <f t="shared" si="16"/>
        <v>44378</v>
      </c>
      <c r="I52" s="1575">
        <f t="shared" si="16"/>
        <v>44348</v>
      </c>
      <c r="J52" s="1575">
        <f t="shared" si="16"/>
        <v>44317</v>
      </c>
      <c r="K52" s="1575">
        <f t="shared" si="16"/>
        <v>44287</v>
      </c>
      <c r="L52" s="1575">
        <f t="shared" si="16"/>
        <v>44256</v>
      </c>
      <c r="M52" s="1575">
        <f t="shared" si="16"/>
        <v>44228</v>
      </c>
      <c r="N52" s="1575">
        <f t="shared" si="16"/>
        <v>44197</v>
      </c>
      <c r="O52" s="1575">
        <f t="shared" si="16"/>
        <v>44166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2576</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2551</v>
      </c>
      <c r="B88" s="528" t="s">
        <v>2600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1604</v>
      </c>
    </row>
    <row r="2" spans="1:1">
      <c r="A2" s="1944"/>
    </row>
    <row r="3" spans="1:1" ht="18">
      <c r="A3" s="1945" t="str">
        <f>项目基本情况!B5&amp;"："</f>
        <v>北京新媒传信科技有限公司：</v>
      </c>
    </row>
    <row r="4" spans="1:1" ht="36">
      <c r="A4" s="1946" t="str">
        <f>"受贵公司委托，我公司对"&amp;项目基本情况!S1&amp;"进行了预评估。"</f>
        <v>受贵公司委托，我公司对北京市朝阳区北苑路甲13号院1号楼15层1-1501等18套办公用房房地产房地产抵押价值进行了预评估。</v>
      </c>
    </row>
    <row r="5" spans="1:1" ht="18.75">
      <c r="A5" s="1947" t="s">
        <v>1605</v>
      </c>
    </row>
    <row r="6" spans="1:1" ht="18.75">
      <c r="A6" s="1948" t="s">
        <v>1606</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333.1平方米。</v>
      </c>
    </row>
    <row r="8" spans="1:1" ht="57.75">
      <c r="A8" s="1949" t="s">
        <v>1607</v>
      </c>
    </row>
    <row r="9" spans="1:1" ht="18.75">
      <c r="A9" s="1948" t="s">
        <v>1608</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333.1平方米。</v>
      </c>
    </row>
    <row r="11" spans="1:1" ht="76.5">
      <c r="A11" s="1949" t="s">
        <v>1609</v>
      </c>
    </row>
    <row r="12" spans="1:1" ht="18.75">
      <c r="A12" s="1947" t="s">
        <v>1610</v>
      </c>
    </row>
    <row r="13" spans="1:1" ht="38.25" customHeight="1">
      <c r="A13" s="1950"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951" t="s">
        <v>1611</v>
      </c>
    </row>
    <row r="15" spans="1:1" ht="18">
      <c r="A15" s="1952" t="str">
        <f>TEXT(项目基本情况!D3,"yyyy年m月d日;;")&amp;IF(项目基本情况!D3=项目基本情况!B3,"（评估专业人员实地查勘之日）","")</f>
        <v>2021年12月22日（评估专业人员实地查勘之日）</v>
      </c>
    </row>
    <row r="16" spans="1:1" ht="18.75">
      <c r="A16" s="1951" t="s">
        <v>1612</v>
      </c>
    </row>
    <row r="17" spans="1:1" ht="75">
      <c r="A17" s="1946" t="s">
        <v>1613</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1602</v>
      </c>
    </row>
    <row r="24" spans="1:1" ht="18">
      <c r="A24" s="1953" t="str">
        <f>"本次评估采用的主估价方法为"&amp;结果表!K4&amp;"和"&amp;结果表!L4&amp;"。"</f>
        <v>本次评估采用的主估价方法为比较法和收益法。</v>
      </c>
    </row>
    <row r="25" spans="1:1" ht="18">
      <c r="A25" s="1953"/>
    </row>
    <row r="26" spans="1:1" ht="18.75">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22"/>
      <c r="F1" s="2583"/>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5"/>
      <c r="D2" s="1124" t="e">
        <f ca="1">SUMIF(INDIRECT("'"&amp;F2&amp;"'"&amp;"!A:A"),"承租人权益价值",INDIRECT("'"&amp;F2&amp;"'"&amp;"!c:c"))</f>
        <v>#REF!</v>
      </c>
      <c r="E2" s="2586" t="s">
        <v>2316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44552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2537</v>
      </c>
      <c r="Q7" s="3223"/>
      <c r="R7" s="770" t="s">
        <v>17</v>
      </c>
      <c r="S7" s="771">
        <f t="shared" ref="S7:S14" si="0">F7</f>
        <v>0</v>
      </c>
      <c r="T7" s="770" t="s">
        <v>17</v>
      </c>
      <c r="U7" s="771">
        <f t="shared" ref="U7:U14" si="1">H7</f>
        <v>0</v>
      </c>
      <c r="V7" s="770" t="s">
        <v>17</v>
      </c>
      <c r="W7" s="771">
        <f t="shared" ref="W7:W14" si="2">J7</f>
        <v>0</v>
      </c>
      <c r="X7" s="772"/>
      <c r="Y7" s="3211" t="s">
        <v>2537</v>
      </c>
      <c r="Z7" s="3210"/>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5" t="s">
        <v>2543</v>
      </c>
      <c r="Q9" s="1794" t="str">
        <f t="shared" ref="Q9:Q14" si="6">B9</f>
        <v>用途</v>
      </c>
      <c r="R9" s="770" t="s">
        <v>17</v>
      </c>
      <c r="S9" s="771">
        <f t="shared" si="0"/>
        <v>100</v>
      </c>
      <c r="T9" s="770" t="s">
        <v>17</v>
      </c>
      <c r="U9" s="771">
        <f t="shared" si="1"/>
        <v>100</v>
      </c>
      <c r="V9" s="770" t="s">
        <v>17</v>
      </c>
      <c r="W9" s="771">
        <f t="shared" si="2"/>
        <v>100</v>
      </c>
      <c r="X9" s="772"/>
      <c r="Y9" s="3049"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5"/>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5"/>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
      <c r="A14" s="401" t="s">
        <v>2547</v>
      </c>
      <c r="B14" s="629" t="s">
        <v>2697</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2" t="s">
        <v>2548</v>
      </c>
      <c r="Q14" s="1809" t="str">
        <f t="shared" si="6"/>
        <v>交通便捷度</v>
      </c>
      <c r="R14" s="774" t="s">
        <v>17</v>
      </c>
      <c r="S14" s="775">
        <f t="shared" si="0"/>
        <v>100</v>
      </c>
      <c r="T14" s="774" t="s">
        <v>17</v>
      </c>
      <c r="U14" s="775">
        <f t="shared" si="1"/>
        <v>100</v>
      </c>
      <c r="V14" s="774" t="s">
        <v>17</v>
      </c>
      <c r="W14" s="775">
        <f t="shared" si="2"/>
        <v>100</v>
      </c>
      <c r="X14" s="1812"/>
      <c r="Y14" s="3202" t="s">
        <v>2548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3"/>
      <c r="Q15" s="1809"/>
      <c r="R15" s="774"/>
      <c r="S15" s="775"/>
      <c r="T15" s="774"/>
      <c r="U15" s="775"/>
      <c r="V15" s="774"/>
      <c r="W15" s="775"/>
      <c r="X15" s="1812"/>
      <c r="Y15" s="3203"/>
      <c r="Z15" s="1813"/>
      <c r="AA15" s="1810">
        <v>1</v>
      </c>
      <c r="AB15" s="1810">
        <v>1</v>
      </c>
      <c r="AC15" s="1810">
        <v>1</v>
      </c>
    </row>
    <row r="16" spans="1:29" ht="15">
      <c r="A16" s="404"/>
      <c r="B16" s="631" t="s">
        <v>2676</v>
      </c>
      <c r="C16" s="2606"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3"/>
      <c r="Q16" s="1809" t="str">
        <f>B16</f>
        <v>公共配套设施</v>
      </c>
      <c r="R16" s="774" t="s">
        <v>17</v>
      </c>
      <c r="S16" s="775">
        <f>F16</f>
        <v>100</v>
      </c>
      <c r="T16" s="774" t="s">
        <v>17</v>
      </c>
      <c r="U16" s="775">
        <f>H16</f>
        <v>100</v>
      </c>
      <c r="V16" s="774" t="s">
        <v>17</v>
      </c>
      <c r="W16" s="775">
        <f>J16</f>
        <v>100</v>
      </c>
      <c r="X16" s="1812"/>
      <c r="Y16" s="3203"/>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03"/>
      <c r="Q17" s="1809"/>
      <c r="R17" s="774"/>
      <c r="S17" s="775"/>
      <c r="T17" s="774"/>
      <c r="U17" s="775"/>
      <c r="V17" s="774"/>
      <c r="W17" s="775"/>
      <c r="X17" s="1812"/>
      <c r="Y17" s="3203"/>
      <c r="Z17" s="1813"/>
      <c r="AA17" s="1810">
        <v>1</v>
      </c>
      <c r="AB17" s="1810">
        <v>1</v>
      </c>
      <c r="AC17" s="1810">
        <v>1</v>
      </c>
    </row>
    <row r="18" spans="1:29" ht="15">
      <c r="A18" s="404"/>
      <c r="B18" s="633" t="s">
        <v>2677</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3"/>
      <c r="Q18" s="1809" t="str">
        <f>B18</f>
        <v>基础设施水平</v>
      </c>
      <c r="R18" s="774" t="s">
        <v>17</v>
      </c>
      <c r="S18" s="775">
        <f>F18</f>
        <v>100</v>
      </c>
      <c r="T18" s="774" t="s">
        <v>17</v>
      </c>
      <c r="U18" s="775">
        <f>H18</f>
        <v>100</v>
      </c>
      <c r="V18" s="774" t="s">
        <v>17</v>
      </c>
      <c r="W18" s="775">
        <f>J18</f>
        <v>100</v>
      </c>
      <c r="X18" s="1812"/>
      <c r="Y18" s="3203"/>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03"/>
      <c r="Q19" s="1809"/>
      <c r="R19" s="774"/>
      <c r="S19" s="775"/>
      <c r="T19" s="774"/>
      <c r="U19" s="775"/>
      <c r="V19" s="774"/>
      <c r="W19" s="775"/>
      <c r="X19" s="1812"/>
      <c r="Y19" s="3203"/>
      <c r="Z19" s="1813"/>
      <c r="AA19" s="1810">
        <v>1</v>
      </c>
      <c r="AB19" s="1810">
        <v>1</v>
      </c>
      <c r="AC19" s="1810">
        <v>1</v>
      </c>
    </row>
    <row r="20" spans="1:29" ht="15">
      <c r="A20" s="404"/>
      <c r="B20" s="631" t="s">
        <v>2698</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3"/>
      <c r="Q20" s="1809" t="str">
        <f>B20</f>
        <v>自然及人文环境</v>
      </c>
      <c r="R20" s="774" t="s">
        <v>17</v>
      </c>
      <c r="S20" s="775">
        <f>F20</f>
        <v>100</v>
      </c>
      <c r="T20" s="774" t="s">
        <v>17</v>
      </c>
      <c r="U20" s="775">
        <f>H20</f>
        <v>100</v>
      </c>
      <c r="V20" s="774" t="s">
        <v>17</v>
      </c>
      <c r="W20" s="775">
        <f>J20</f>
        <v>100</v>
      </c>
      <c r="X20" s="1812"/>
      <c r="Y20" s="320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3"/>
      <c r="Q21" s="1809"/>
      <c r="R21" s="774"/>
      <c r="S21" s="775"/>
      <c r="T21" s="774"/>
      <c r="U21" s="775"/>
      <c r="V21" s="774"/>
      <c r="W21" s="775"/>
      <c r="X21" s="1812"/>
      <c r="Y21" s="3203"/>
      <c r="Z21" s="1813"/>
      <c r="AA21" s="1810">
        <v>1</v>
      </c>
      <c r="AB21" s="1810">
        <v>1</v>
      </c>
      <c r="AC21" s="1810">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3"/>
      <c r="Q22" s="1809" t="str">
        <f>B22</f>
        <v>楼层</v>
      </c>
      <c r="R22" s="774" t="s">
        <v>17</v>
      </c>
      <c r="S22" s="775">
        <f>F22</f>
        <v>100</v>
      </c>
      <c r="T22" s="774" t="s">
        <v>17</v>
      </c>
      <c r="U22" s="775">
        <f>H22</f>
        <v>100</v>
      </c>
      <c r="V22" s="774" t="s">
        <v>17</v>
      </c>
      <c r="W22" s="775">
        <f>J22</f>
        <v>100</v>
      </c>
      <c r="X22" s="1812"/>
      <c r="Y22" s="320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3"/>
      <c r="Q23" s="1809">
        <f>B23</f>
        <v>111</v>
      </c>
      <c r="R23" s="774" t="s">
        <v>17</v>
      </c>
      <c r="S23" s="775">
        <f>F23</f>
        <v>100</v>
      </c>
      <c r="T23" s="774" t="s">
        <v>17</v>
      </c>
      <c r="U23" s="775">
        <f>H23</f>
        <v>100</v>
      </c>
      <c r="V23" s="774" t="s">
        <v>17</v>
      </c>
      <c r="W23" s="775">
        <f>J23</f>
        <v>100</v>
      </c>
      <c r="X23" s="1812"/>
      <c r="Y23" s="320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3"/>
      <c r="Q24" s="1809">
        <f t="shared" ref="Q24:Q36" si="11">B24</f>
        <v>111</v>
      </c>
      <c r="R24" s="774" t="s">
        <v>17</v>
      </c>
      <c r="S24" s="775">
        <f>F24</f>
        <v>100</v>
      </c>
      <c r="T24" s="774" t="s">
        <v>17</v>
      </c>
      <c r="U24" s="775">
        <f>H24</f>
        <v>100</v>
      </c>
      <c r="V24" s="774" t="s">
        <v>17</v>
      </c>
      <c r="W24" s="775">
        <f>J24</f>
        <v>100</v>
      </c>
      <c r="X24" s="1812"/>
      <c r="Y24" s="320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3"/>
      <c r="Q25" s="1794">
        <f t="shared" si="11"/>
        <v>111</v>
      </c>
      <c r="R25" s="770" t="s">
        <v>17</v>
      </c>
      <c r="S25" s="771">
        <f>F25</f>
        <v>100</v>
      </c>
      <c r="T25" s="770" t="s">
        <v>17</v>
      </c>
      <c r="U25" s="771">
        <f>H25</f>
        <v>100</v>
      </c>
      <c r="V25" s="770" t="s">
        <v>17</v>
      </c>
      <c r="W25" s="771">
        <f>J25</f>
        <v>100</v>
      </c>
      <c r="X25" s="772"/>
      <c r="Y25" s="3203"/>
      <c r="Z25" s="55">
        <f>Q25</f>
        <v>111</v>
      </c>
      <c r="AA25" s="1810">
        <f>D25/F25</f>
        <v>1</v>
      </c>
      <c r="AB25" s="1810">
        <f>D25/H25</f>
        <v>1</v>
      </c>
      <c r="AC25" s="1810">
        <f>D25/J25</f>
        <v>1</v>
      </c>
    </row>
    <row r="26" spans="1:29" ht="28.5">
      <c r="A26" s="652" t="s">
        <v>2551</v>
      </c>
      <c r="B26" s="70" t="s">
        <v>2700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9" t="s">
        <v>2553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7" t="s">
        <v>2553</v>
      </c>
      <c r="Z26" s="1813" t="str">
        <f t="shared" ref="Z26:Z36" si="15">Q26</f>
        <v>配套类型</v>
      </c>
      <c r="AA26" s="1810">
        <f t="shared" si="3"/>
        <v>1</v>
      </c>
      <c r="AB26" s="1810">
        <f t="shared" si="4"/>
        <v>1</v>
      </c>
      <c r="AC26" s="1810">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0">
        <f t="shared" si="3"/>
        <v>1</v>
      </c>
      <c r="AB27" s="1810">
        <f t="shared" si="4"/>
        <v>1</v>
      </c>
      <c r="AC27" s="1810">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7"/>
      <c r="Q28" s="1809" t="str">
        <f t="shared" si="11"/>
        <v>公共部分装修</v>
      </c>
      <c r="R28" s="774" t="s">
        <v>17</v>
      </c>
      <c r="S28" s="775">
        <f t="shared" si="12"/>
        <v>100</v>
      </c>
      <c r="T28" s="774" t="s">
        <v>17</v>
      </c>
      <c r="U28" s="775">
        <f t="shared" si="13"/>
        <v>100</v>
      </c>
      <c r="V28" s="774" t="s">
        <v>17</v>
      </c>
      <c r="W28" s="775">
        <f t="shared" si="14"/>
        <v>100</v>
      </c>
      <c r="X28" s="1812"/>
      <c r="Y28" s="3207"/>
      <c r="Z28" s="1813" t="str">
        <f t="shared" si="15"/>
        <v>公共部分装修</v>
      </c>
      <c r="AA28" s="1810">
        <f t="shared" si="3"/>
        <v>1</v>
      </c>
      <c r="AB28" s="1810">
        <f t="shared" si="4"/>
        <v>1</v>
      </c>
      <c r="AC28" s="1810">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7"/>
      <c r="Q29" s="1809" t="str">
        <f t="shared" si="11"/>
        <v>成新率</v>
      </c>
      <c r="R29" s="774" t="s">
        <v>17</v>
      </c>
      <c r="S29" s="775" t="e">
        <f t="shared" si="12"/>
        <v>#N/A</v>
      </c>
      <c r="T29" s="774" t="s">
        <v>17</v>
      </c>
      <c r="U29" s="775" t="e">
        <f t="shared" si="13"/>
        <v>#N/A</v>
      </c>
      <c r="V29" s="774" t="s">
        <v>17</v>
      </c>
      <c r="W29" s="775" t="e">
        <f t="shared" si="14"/>
        <v>#N/A</v>
      </c>
      <c r="X29" s="1812"/>
      <c r="Y29" s="3207"/>
      <c r="Z29" s="1813" t="str">
        <f t="shared" si="15"/>
        <v>成新率</v>
      </c>
      <c r="AA29" s="1810" t="e">
        <f t="shared" si="3"/>
        <v>#N/A</v>
      </c>
      <c r="AB29" s="1810" t="e">
        <f t="shared" si="4"/>
        <v>#N/A</v>
      </c>
      <c r="AC29" s="1810"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7"/>
      <c r="Q30" s="1809" t="str">
        <f t="shared" si="11"/>
        <v>物业等级</v>
      </c>
      <c r="R30" s="774" t="s">
        <v>17</v>
      </c>
      <c r="S30" s="775">
        <f t="shared" si="12"/>
        <v>100</v>
      </c>
      <c r="T30" s="774" t="s">
        <v>17</v>
      </c>
      <c r="U30" s="775">
        <f t="shared" si="13"/>
        <v>100</v>
      </c>
      <c r="V30" s="774" t="s">
        <v>17</v>
      </c>
      <c r="W30" s="775">
        <f t="shared" si="14"/>
        <v>100</v>
      </c>
      <c r="X30" s="1812"/>
      <c r="Y30" s="3207"/>
      <c r="Z30" s="1813" t="str">
        <f t="shared" si="15"/>
        <v>物业等级</v>
      </c>
      <c r="AA30" s="1810">
        <f t="shared" si="3"/>
        <v>1</v>
      </c>
      <c r="AB30" s="1810">
        <f t="shared" si="4"/>
        <v>1</v>
      </c>
      <c r="AC30" s="1810">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7"/>
      <c r="Q31" s="1794"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7" t="s">
        <v>2553</v>
      </c>
      <c r="Q32" s="1809" t="str">
        <f t="shared" si="11"/>
        <v>车位类型</v>
      </c>
      <c r="R32" s="774" t="s">
        <v>17</v>
      </c>
      <c r="S32" s="775">
        <f t="shared" si="12"/>
        <v>100</v>
      </c>
      <c r="T32" s="774" t="s">
        <v>17</v>
      </c>
      <c r="U32" s="775">
        <f t="shared" si="13"/>
        <v>100</v>
      </c>
      <c r="V32" s="774" t="s">
        <v>17</v>
      </c>
      <c r="W32" s="775">
        <f t="shared" si="14"/>
        <v>100</v>
      </c>
      <c r="X32" s="1812"/>
      <c r="Y32" s="3207" t="s">
        <v>2553</v>
      </c>
      <c r="Z32" s="1813" t="str">
        <f t="shared" si="15"/>
        <v>车位类型</v>
      </c>
      <c r="AA32" s="1810">
        <f t="shared" si="3"/>
        <v>1</v>
      </c>
      <c r="AB32" s="1810">
        <f t="shared" si="4"/>
        <v>1</v>
      </c>
      <c r="AC32" s="1810">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7"/>
      <c r="Q33" s="1809" t="str">
        <f t="shared" si="11"/>
        <v>是否直接入户</v>
      </c>
      <c r="R33" s="774" t="s">
        <v>17</v>
      </c>
      <c r="S33" s="775">
        <f t="shared" si="12"/>
        <v>100</v>
      </c>
      <c r="T33" s="774" t="s">
        <v>17</v>
      </c>
      <c r="U33" s="775">
        <f t="shared" si="13"/>
        <v>100</v>
      </c>
      <c r="V33" s="774" t="s">
        <v>17</v>
      </c>
      <c r="W33" s="775">
        <f t="shared" si="14"/>
        <v>100</v>
      </c>
      <c r="X33" s="1812"/>
      <c r="Y33" s="320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7"/>
      <c r="Q34" s="1809">
        <f t="shared" si="11"/>
        <v>111</v>
      </c>
      <c r="R34" s="774" t="s">
        <v>17</v>
      </c>
      <c r="S34" s="775">
        <f t="shared" si="12"/>
        <v>100</v>
      </c>
      <c r="T34" s="774" t="s">
        <v>17</v>
      </c>
      <c r="U34" s="775">
        <f t="shared" si="13"/>
        <v>100</v>
      </c>
      <c r="V34" s="774" t="s">
        <v>17</v>
      </c>
      <c r="W34" s="775">
        <f t="shared" si="14"/>
        <v>100</v>
      </c>
      <c r="X34" s="1812"/>
      <c r="Y34" s="320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7"/>
      <c r="Q36" s="1809">
        <f t="shared" si="11"/>
        <v>111</v>
      </c>
      <c r="R36" s="774" t="s">
        <v>17</v>
      </c>
      <c r="S36" s="775">
        <f t="shared" si="12"/>
        <v>100</v>
      </c>
      <c r="T36" s="774" t="s">
        <v>17</v>
      </c>
      <c r="U36" s="775">
        <f t="shared" si="13"/>
        <v>100</v>
      </c>
      <c r="V36" s="774" t="s">
        <v>17</v>
      </c>
      <c r="W36" s="775">
        <f t="shared" si="14"/>
        <v>100</v>
      </c>
      <c r="X36" s="1812"/>
      <c r="Y36" s="3207"/>
      <c r="Z36" s="1813">
        <f t="shared" si="15"/>
        <v>111</v>
      </c>
      <c r="AA36" s="1810">
        <f t="shared" si="3"/>
        <v>1</v>
      </c>
      <c r="AB36" s="1810">
        <f t="shared" si="4"/>
        <v>1</v>
      </c>
      <c r="AC36" s="1810">
        <f t="shared" si="5"/>
        <v>1</v>
      </c>
    </row>
    <row r="37" spans="1:29" ht="15">
      <c r="A37" s="479" t="s">
        <v>2708</v>
      </c>
      <c r="B37" s="2694" t="s">
        <v>2709</v>
      </c>
      <c r="C37" s="1407" t="s">
        <v>1</v>
      </c>
      <c r="D37" s="1408"/>
      <c r="E37" s="1409"/>
      <c r="F37" s="1410"/>
      <c r="G37" s="1411"/>
      <c r="H37" s="1412"/>
      <c r="I37" s="1409"/>
      <c r="J37" s="1412"/>
      <c r="K37" s="619"/>
      <c r="L37" s="1143"/>
      <c r="M37" s="1144"/>
      <c r="N37" s="1131"/>
      <c r="O37" s="1144"/>
      <c r="P37" s="3195" t="str">
        <f>A37</f>
        <v>成交单价</v>
      </c>
      <c r="Q37" s="3195"/>
      <c r="R37" s="3196">
        <f>E37</f>
        <v>0</v>
      </c>
      <c r="S37" s="3196"/>
      <c r="T37" s="3196">
        <f>G37</f>
        <v>0</v>
      </c>
      <c r="U37" s="3196"/>
      <c r="V37" s="3196">
        <f>I37</f>
        <v>0</v>
      </c>
      <c r="W37" s="3196"/>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3"/>
      <c r="M39" s="1144"/>
      <c r="N39" s="1144"/>
      <c r="O39" s="1144"/>
      <c r="P39" s="3274" t="str">
        <f>A39</f>
        <v>估价对象XX用房的比较价值（楼面单价，元/平方米）</v>
      </c>
      <c r="Q39" s="3275"/>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2716</v>
      </c>
      <c r="B48" s="506"/>
      <c r="C48" s="1574" t="str">
        <f>YEAR(C7)&amp;"-"&amp;MONTH(C7)</f>
        <v>2021-12</v>
      </c>
      <c r="D48" s="1575">
        <f>EDATE(C48,-1)</f>
        <v>44501</v>
      </c>
      <c r="E48" s="1575">
        <f t="shared" ref="E48:O48" si="16">EDATE(D48,-1)</f>
        <v>44470</v>
      </c>
      <c r="F48" s="1575">
        <f t="shared" si="16"/>
        <v>44440</v>
      </c>
      <c r="G48" s="1575">
        <f t="shared" si="16"/>
        <v>44409</v>
      </c>
      <c r="H48" s="1575">
        <f t="shared" si="16"/>
        <v>44378</v>
      </c>
      <c r="I48" s="1575">
        <f t="shared" si="16"/>
        <v>44348</v>
      </c>
      <c r="J48" s="1575">
        <f t="shared" si="16"/>
        <v>44317</v>
      </c>
      <c r="K48" s="1575">
        <f t="shared" si="16"/>
        <v>44287</v>
      </c>
      <c r="L48" s="1575">
        <f t="shared" si="16"/>
        <v>44256</v>
      </c>
      <c r="M48" s="1575">
        <f t="shared" si="16"/>
        <v>44228</v>
      </c>
      <c r="N48" s="1575">
        <f t="shared" si="16"/>
        <v>44197</v>
      </c>
      <c r="O48" s="1575">
        <f t="shared" si="16"/>
        <v>44166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2640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2591</v>
      </c>
      <c r="C65" s="578" t="s">
        <v>2585</v>
      </c>
      <c r="D65" s="578" t="s">
        <v>2586</v>
      </c>
      <c r="E65" s="578" t="s">
        <v>2587</v>
      </c>
      <c r="F65" s="578" t="s">
        <v>2588</v>
      </c>
      <c r="G65" s="578" t="s">
        <v>2589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2677</v>
      </c>
      <c r="C67" s="660" t="s">
        <v>2663</v>
      </c>
      <c r="D67" s="660" t="s">
        <v>2664</v>
      </c>
      <c r="E67" s="660" t="s">
        <v>2665</v>
      </c>
      <c r="F67" s="660" t="s">
        <v>2666</v>
      </c>
      <c r="G67" s="660" t="s">
        <v>2667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2597</v>
      </c>
      <c r="C69" s="578" t="s">
        <v>2585</v>
      </c>
      <c r="D69" s="578" t="s">
        <v>2586</v>
      </c>
      <c r="E69" s="578" t="s">
        <v>2587</v>
      </c>
      <c r="F69" s="578" t="s">
        <v>2588</v>
      </c>
      <c r="G69" s="578" t="s">
        <v>2589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30"/>
      <c r="F1" s="258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5"/>
      <c r="D2" s="1124" t="e">
        <f ca="1">SUMIF(INDIRECT("'"&amp;F2&amp;"'"&amp;"!A:A"),"承租人权益价值",INDIRECT("'"&amp;F2&amp;"'"&amp;"!c:c"))</f>
        <v>#REF!</v>
      </c>
      <c r="E2" s="2586" t="s">
        <v>2316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44552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1" t="s">
        <v>2537</v>
      </c>
      <c r="Q7" s="3223"/>
      <c r="R7" s="770" t="s">
        <v>17</v>
      </c>
      <c r="S7" s="771">
        <f t="shared" ref="S7:S14" si="0">F7</f>
        <v>0</v>
      </c>
      <c r="T7" s="770" t="s">
        <v>17</v>
      </c>
      <c r="U7" s="771">
        <f t="shared" ref="U7:U14" si="1">H7</f>
        <v>0</v>
      </c>
      <c r="V7" s="770" t="s">
        <v>17</v>
      </c>
      <c r="W7" s="771">
        <f t="shared" ref="W7:W14" si="2">J7</f>
        <v>0</v>
      </c>
      <c r="X7" s="772"/>
      <c r="Y7" s="3211" t="s">
        <v>2537</v>
      </c>
      <c r="Z7" s="3210"/>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5" t="s">
        <v>2543</v>
      </c>
      <c r="Q9" s="1794" t="str">
        <f t="shared" ref="Q9:Q14" si="6">B9</f>
        <v>用途</v>
      </c>
      <c r="R9" s="770" t="s">
        <v>17</v>
      </c>
      <c r="S9" s="771">
        <f t="shared" si="0"/>
        <v>100</v>
      </c>
      <c r="T9" s="770" t="s">
        <v>17</v>
      </c>
      <c r="U9" s="771">
        <f t="shared" si="1"/>
        <v>100</v>
      </c>
      <c r="V9" s="770" t="s">
        <v>17</v>
      </c>
      <c r="W9" s="771">
        <f t="shared" si="2"/>
        <v>100</v>
      </c>
      <c r="X9" s="772"/>
      <c r="Y9" s="3049"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5"/>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5"/>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5"/>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
      <c r="A14" s="440" t="s">
        <v>2547</v>
      </c>
      <c r="B14" s="69" t="s">
        <v>2697</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2" t="s">
        <v>2548</v>
      </c>
      <c r="Q14" s="1809" t="str">
        <f t="shared" si="6"/>
        <v>交通便捷度</v>
      </c>
      <c r="R14" s="774" t="s">
        <v>17</v>
      </c>
      <c r="S14" s="775">
        <f t="shared" si="0"/>
        <v>100</v>
      </c>
      <c r="T14" s="774" t="s">
        <v>17</v>
      </c>
      <c r="U14" s="775">
        <f t="shared" si="1"/>
        <v>100</v>
      </c>
      <c r="V14" s="774" t="s">
        <v>17</v>
      </c>
      <c r="W14" s="775">
        <f t="shared" si="2"/>
        <v>100</v>
      </c>
      <c r="X14" s="1812"/>
      <c r="Y14" s="3202" t="s">
        <v>2548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3"/>
      <c r="Q15" s="1809"/>
      <c r="R15" s="774"/>
      <c r="S15" s="775"/>
      <c r="T15" s="774"/>
      <c r="U15" s="775"/>
      <c r="V15" s="774"/>
      <c r="W15" s="775"/>
      <c r="X15" s="1812"/>
      <c r="Y15" s="3203"/>
      <c r="Z15" s="1813"/>
      <c r="AA15" s="1810">
        <v>1</v>
      </c>
      <c r="AB15" s="1810">
        <v>1</v>
      </c>
      <c r="AC15" s="1810">
        <v>1</v>
      </c>
    </row>
    <row r="16" spans="1:29" ht="15">
      <c r="A16" s="428"/>
      <c r="B16" s="451" t="s">
        <v>2676</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3"/>
      <c r="Q16" s="1809" t="str">
        <f>B16</f>
        <v>公共配套设施</v>
      </c>
      <c r="R16" s="774" t="s">
        <v>17</v>
      </c>
      <c r="S16" s="775">
        <f>F16</f>
        <v>100</v>
      </c>
      <c r="T16" s="774" t="s">
        <v>17</v>
      </c>
      <c r="U16" s="775">
        <f>H16</f>
        <v>100</v>
      </c>
      <c r="V16" s="774" t="s">
        <v>17</v>
      </c>
      <c r="W16" s="775">
        <f>J16</f>
        <v>100</v>
      </c>
      <c r="X16" s="1812"/>
      <c r="Y16" s="3203"/>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03"/>
      <c r="Q17" s="1809"/>
      <c r="R17" s="774"/>
      <c r="S17" s="775"/>
      <c r="T17" s="774"/>
      <c r="U17" s="775"/>
      <c r="V17" s="774"/>
      <c r="W17" s="775"/>
      <c r="X17" s="1812"/>
      <c r="Y17" s="3203"/>
      <c r="Z17" s="1813"/>
      <c r="AA17" s="1810">
        <v>1</v>
      </c>
      <c r="AB17" s="1810">
        <v>1</v>
      </c>
      <c r="AC17" s="1810">
        <v>1</v>
      </c>
    </row>
    <row r="18" spans="1:29" ht="15">
      <c r="A18" s="428"/>
      <c r="B18" s="1384" t="s">
        <v>2677</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3"/>
      <c r="Q18" s="1809" t="str">
        <f>B18</f>
        <v>基础设施水平</v>
      </c>
      <c r="R18" s="774" t="s">
        <v>17</v>
      </c>
      <c r="S18" s="775">
        <f>F18</f>
        <v>100</v>
      </c>
      <c r="T18" s="774" t="s">
        <v>17</v>
      </c>
      <c r="U18" s="775">
        <f>H18</f>
        <v>100</v>
      </c>
      <c r="V18" s="774" t="s">
        <v>17</v>
      </c>
      <c r="W18" s="775">
        <f>J18</f>
        <v>100</v>
      </c>
      <c r="X18" s="1812"/>
      <c r="Y18" s="3203"/>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03"/>
      <c r="Q19" s="1809"/>
      <c r="R19" s="774"/>
      <c r="S19" s="775"/>
      <c r="T19" s="774"/>
      <c r="U19" s="775"/>
      <c r="V19" s="774"/>
      <c r="W19" s="775"/>
      <c r="X19" s="1812"/>
      <c r="Y19" s="3203"/>
      <c r="Z19" s="1813"/>
      <c r="AA19" s="1810">
        <v>1</v>
      </c>
      <c r="AB19" s="1810">
        <v>1</v>
      </c>
      <c r="AC19" s="1810">
        <v>1</v>
      </c>
    </row>
    <row r="20" spans="1:29" ht="15">
      <c r="A20" s="428"/>
      <c r="B20" s="451" t="s">
        <v>2698</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3"/>
      <c r="Q20" s="1809" t="str">
        <f>B20</f>
        <v>自然及人文环境</v>
      </c>
      <c r="R20" s="774" t="s">
        <v>17</v>
      </c>
      <c r="S20" s="775">
        <f>F20</f>
        <v>100</v>
      </c>
      <c r="T20" s="774" t="s">
        <v>17</v>
      </c>
      <c r="U20" s="775">
        <f>H20</f>
        <v>100</v>
      </c>
      <c r="V20" s="774" t="s">
        <v>17</v>
      </c>
      <c r="W20" s="775">
        <f>J20</f>
        <v>100</v>
      </c>
      <c r="X20" s="1812"/>
      <c r="Y20" s="320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3"/>
      <c r="Q21" s="1809"/>
      <c r="R21" s="774"/>
      <c r="S21" s="775"/>
      <c r="T21" s="774"/>
      <c r="U21" s="775"/>
      <c r="V21" s="774"/>
      <c r="W21" s="775"/>
      <c r="X21" s="1812"/>
      <c r="Y21" s="3203"/>
      <c r="Z21" s="1813"/>
      <c r="AA21" s="1810">
        <v>1</v>
      </c>
      <c r="AB21" s="1810">
        <v>1</v>
      </c>
      <c r="AC21" s="1810">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3"/>
      <c r="Q22" s="1809" t="str">
        <f>B22</f>
        <v>楼层</v>
      </c>
      <c r="R22" s="774" t="s">
        <v>17</v>
      </c>
      <c r="S22" s="775">
        <f>F22</f>
        <v>100</v>
      </c>
      <c r="T22" s="774" t="s">
        <v>17</v>
      </c>
      <c r="U22" s="775">
        <f>H22</f>
        <v>100</v>
      </c>
      <c r="V22" s="774" t="s">
        <v>17</v>
      </c>
      <c r="W22" s="775">
        <f>J22</f>
        <v>100</v>
      </c>
      <c r="X22" s="1812"/>
      <c r="Y22" s="3203"/>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3"/>
      <c r="Q23" s="1809">
        <f>B23</f>
        <v>111</v>
      </c>
      <c r="R23" s="774" t="s">
        <v>17</v>
      </c>
      <c r="S23" s="775">
        <f>F23</f>
        <v>100</v>
      </c>
      <c r="T23" s="774" t="s">
        <v>17</v>
      </c>
      <c r="U23" s="775">
        <f>H23</f>
        <v>100</v>
      </c>
      <c r="V23" s="774" t="s">
        <v>17</v>
      </c>
      <c r="W23" s="775">
        <f>J23</f>
        <v>100</v>
      </c>
      <c r="X23" s="1812"/>
      <c r="Y23" s="3203"/>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3"/>
      <c r="Q24" s="1809">
        <f t="shared" ref="Q24:Q34" si="11">B24</f>
        <v>111</v>
      </c>
      <c r="R24" s="774" t="s">
        <v>17</v>
      </c>
      <c r="S24" s="775">
        <f>F24</f>
        <v>100</v>
      </c>
      <c r="T24" s="774" t="s">
        <v>17</v>
      </c>
      <c r="U24" s="775">
        <f>H24</f>
        <v>100</v>
      </c>
      <c r="V24" s="774" t="s">
        <v>17</v>
      </c>
      <c r="W24" s="775">
        <f>J24</f>
        <v>100</v>
      </c>
      <c r="X24" s="1812"/>
      <c r="Y24" s="3203"/>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03"/>
      <c r="Q25" s="1794">
        <f t="shared" si="11"/>
        <v>111</v>
      </c>
      <c r="R25" s="770" t="s">
        <v>17</v>
      </c>
      <c r="S25" s="771">
        <f>F25</f>
        <v>100</v>
      </c>
      <c r="T25" s="770" t="s">
        <v>17</v>
      </c>
      <c r="U25" s="771">
        <f>H25</f>
        <v>100</v>
      </c>
      <c r="V25" s="770" t="s">
        <v>17</v>
      </c>
      <c r="W25" s="771">
        <f>J25</f>
        <v>100</v>
      </c>
      <c r="X25" s="772"/>
      <c r="Y25" s="3203"/>
      <c r="Z25" s="55">
        <f>Q25</f>
        <v>111</v>
      </c>
      <c r="AA25" s="1810">
        <f>D25/F25</f>
        <v>1</v>
      </c>
      <c r="AB25" s="1810">
        <f>D25/H25</f>
        <v>1</v>
      </c>
      <c r="AC25" s="1810">
        <f>D25/J25</f>
        <v>1</v>
      </c>
    </row>
    <row r="26" spans="1:29" ht="28.5">
      <c r="A26" s="466" t="s">
        <v>2551</v>
      </c>
      <c r="B26" s="71" t="s">
        <v>2702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89" t="s">
        <v>2553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7" t="s">
        <v>2553</v>
      </c>
      <c r="Z26" s="1813" t="str">
        <f t="shared" ref="Z26:Z34" si="15">Q26</f>
        <v>公共部分装修</v>
      </c>
      <c r="AA26" s="1810">
        <f t="shared" si="3"/>
        <v>1</v>
      </c>
      <c r="AB26" s="1810">
        <f t="shared" si="4"/>
        <v>1</v>
      </c>
      <c r="AC26" s="1810">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0" t="e">
        <f t="shared" si="3"/>
        <v>#N/A</v>
      </c>
      <c r="AB27" s="1810" t="e">
        <f t="shared" si="4"/>
        <v>#N/A</v>
      </c>
      <c r="AC27" s="1810"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7"/>
      <c r="Q28" s="1809" t="str">
        <f t="shared" si="11"/>
        <v>物业等级</v>
      </c>
      <c r="R28" s="774" t="s">
        <v>17</v>
      </c>
      <c r="S28" s="775">
        <f t="shared" si="12"/>
        <v>100</v>
      </c>
      <c r="T28" s="774" t="s">
        <v>17</v>
      </c>
      <c r="U28" s="775">
        <f t="shared" si="13"/>
        <v>100</v>
      </c>
      <c r="V28" s="774" t="s">
        <v>17</v>
      </c>
      <c r="W28" s="775">
        <f t="shared" si="14"/>
        <v>100</v>
      </c>
      <c r="X28" s="1812"/>
      <c r="Y28" s="3207"/>
      <c r="Z28" s="1813" t="str">
        <f t="shared" si="15"/>
        <v>物业等级</v>
      </c>
      <c r="AA28" s="1810">
        <f t="shared" si="3"/>
        <v>1</v>
      </c>
      <c r="AB28" s="1810">
        <f t="shared" si="4"/>
        <v>1</v>
      </c>
      <c r="AC28" s="1810">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7"/>
      <c r="Q29" s="1809" t="str">
        <f t="shared" si="11"/>
        <v>有无电梯</v>
      </c>
      <c r="R29" s="774" t="s">
        <v>17</v>
      </c>
      <c r="S29" s="775">
        <f t="shared" si="12"/>
        <v>100</v>
      </c>
      <c r="T29" s="774" t="s">
        <v>17</v>
      </c>
      <c r="U29" s="775">
        <f t="shared" si="13"/>
        <v>100</v>
      </c>
      <c r="V29" s="774" t="s">
        <v>17</v>
      </c>
      <c r="W29" s="775">
        <f t="shared" si="14"/>
        <v>100</v>
      </c>
      <c r="X29" s="1812"/>
      <c r="Y29" s="3207"/>
      <c r="Z29" s="1813" t="str">
        <f t="shared" si="15"/>
        <v>有无电梯</v>
      </c>
      <c r="AA29" s="1810">
        <f t="shared" si="3"/>
        <v>1</v>
      </c>
      <c r="AB29" s="1810">
        <f t="shared" si="4"/>
        <v>1</v>
      </c>
      <c r="AC29" s="1810">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7"/>
      <c r="Q30" s="1809" t="str">
        <f t="shared" si="11"/>
        <v>建筑面积</v>
      </c>
      <c r="R30" s="774" t="s">
        <v>17</v>
      </c>
      <c r="S30" s="775" t="e">
        <f t="shared" si="12"/>
        <v>#N/A</v>
      </c>
      <c r="T30" s="774" t="s">
        <v>17</v>
      </c>
      <c r="U30" s="775" t="e">
        <f t="shared" si="13"/>
        <v>#N/A</v>
      </c>
      <c r="V30" s="774" t="s">
        <v>17</v>
      </c>
      <c r="W30" s="775" t="e">
        <f t="shared" si="14"/>
        <v>#N/A</v>
      </c>
      <c r="X30" s="1812"/>
      <c r="Y30" s="3207"/>
      <c r="Z30" s="1813" t="str">
        <f t="shared" si="15"/>
        <v>建筑面积</v>
      </c>
      <c r="AA30" s="1810" t="e">
        <f t="shared" si="3"/>
        <v>#N/A</v>
      </c>
      <c r="AB30" s="1810" t="e">
        <f t="shared" si="4"/>
        <v>#N/A</v>
      </c>
      <c r="AC30" s="1810"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7"/>
      <c r="Q31" s="1794"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7" t="s">
        <v>2553</v>
      </c>
      <c r="Q32" s="1809">
        <f t="shared" si="11"/>
        <v>111</v>
      </c>
      <c r="R32" s="774" t="s">
        <v>17</v>
      </c>
      <c r="S32" s="775">
        <f t="shared" si="12"/>
        <v>100</v>
      </c>
      <c r="T32" s="774" t="s">
        <v>17</v>
      </c>
      <c r="U32" s="775">
        <f t="shared" si="13"/>
        <v>100</v>
      </c>
      <c r="V32" s="774" t="s">
        <v>17</v>
      </c>
      <c r="W32" s="775">
        <f t="shared" si="14"/>
        <v>100</v>
      </c>
      <c r="X32" s="1812"/>
      <c r="Y32" s="3207" t="s">
        <v>2553</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7"/>
      <c r="Q33" s="1809">
        <f t="shared" si="11"/>
        <v>111</v>
      </c>
      <c r="R33" s="774" t="s">
        <v>17</v>
      </c>
      <c r="S33" s="775">
        <f t="shared" si="12"/>
        <v>100</v>
      </c>
      <c r="T33" s="774" t="s">
        <v>17</v>
      </c>
      <c r="U33" s="775">
        <f t="shared" si="13"/>
        <v>100</v>
      </c>
      <c r="V33" s="774" t="s">
        <v>17</v>
      </c>
      <c r="W33" s="775">
        <f t="shared" si="14"/>
        <v>100</v>
      </c>
      <c r="X33" s="1812"/>
      <c r="Y33" s="3207"/>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07"/>
      <c r="Q34" s="1809">
        <f t="shared" si="11"/>
        <v>111</v>
      </c>
      <c r="R34" s="774" t="s">
        <v>17</v>
      </c>
      <c r="S34" s="775">
        <f t="shared" si="12"/>
        <v>100</v>
      </c>
      <c r="T34" s="774" t="s">
        <v>17</v>
      </c>
      <c r="U34" s="775">
        <f t="shared" si="13"/>
        <v>100</v>
      </c>
      <c r="V34" s="774" t="s">
        <v>17</v>
      </c>
      <c r="W34" s="775">
        <f t="shared" si="14"/>
        <v>100</v>
      </c>
      <c r="X34" s="1812"/>
      <c r="Y34" s="3207"/>
      <c r="Z34" s="1813">
        <f t="shared" si="15"/>
        <v>111</v>
      </c>
      <c r="AA34" s="1810">
        <f t="shared" si="3"/>
        <v>1</v>
      </c>
      <c r="AB34" s="1810">
        <f t="shared" si="4"/>
        <v>1</v>
      </c>
      <c r="AC34" s="1810">
        <f t="shared" si="5"/>
        <v>1</v>
      </c>
    </row>
    <row r="35" spans="1:29" ht="15">
      <c r="A35" s="479" t="s">
        <v>2565</v>
      </c>
      <c r="B35" s="480"/>
      <c r="C35" s="1407" t="s">
        <v>1</v>
      </c>
      <c r="D35" s="1408"/>
      <c r="E35" s="1409"/>
      <c r="F35" s="1410"/>
      <c r="G35" s="1411"/>
      <c r="H35" s="1412"/>
      <c r="I35" s="1409"/>
      <c r="J35" s="1412"/>
      <c r="K35" s="783"/>
      <c r="L35" s="1143"/>
      <c r="M35" s="1144"/>
      <c r="N35" s="1131"/>
      <c r="O35" s="1144"/>
      <c r="P35" s="3195" t="str">
        <f>A35</f>
        <v>成交单价（元/平方米）</v>
      </c>
      <c r="Q35" s="3195"/>
      <c r="R35" s="3196">
        <f>E35</f>
        <v>0</v>
      </c>
      <c r="S35" s="3196"/>
      <c r="T35" s="3196">
        <f>G35</f>
        <v>0</v>
      </c>
      <c r="U35" s="3196"/>
      <c r="V35" s="3196">
        <f>I35</f>
        <v>0</v>
      </c>
      <c r="W35" s="3196"/>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3"/>
      <c r="M36" s="1144"/>
      <c r="N36" s="1131"/>
      <c r="O36" s="1144"/>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3"/>
      <c r="M37" s="1144"/>
      <c r="N37" s="1144"/>
      <c r="O37" s="1144"/>
      <c r="P37" s="3274" t="str">
        <f>A37</f>
        <v>估价对象XX用房的比较价值（楼面单价，元/平方米）</v>
      </c>
      <c r="Q37" s="3275"/>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4" t="str">
        <f>YEAR(C7)&amp;"-"&amp;MONTH(C7)</f>
        <v>2021-12</v>
      </c>
      <c r="D46" s="1575">
        <f>EDATE(C46,-1)</f>
        <v>44501</v>
      </c>
      <c r="E46" s="1575">
        <f t="shared" ref="E46:O46" si="16">EDATE(D46,-1)</f>
        <v>44470</v>
      </c>
      <c r="F46" s="1575">
        <f t="shared" si="16"/>
        <v>44440</v>
      </c>
      <c r="G46" s="1575">
        <f t="shared" si="16"/>
        <v>44409</v>
      </c>
      <c r="H46" s="1575">
        <f t="shared" si="16"/>
        <v>44378</v>
      </c>
      <c r="I46" s="1575">
        <f t="shared" si="16"/>
        <v>44348</v>
      </c>
      <c r="J46" s="1575">
        <f t="shared" si="16"/>
        <v>44317</v>
      </c>
      <c r="K46" s="1575">
        <f t="shared" si="16"/>
        <v>44287</v>
      </c>
      <c r="L46" s="1575">
        <f t="shared" si="16"/>
        <v>44256</v>
      </c>
      <c r="M46" s="1575">
        <f t="shared" si="16"/>
        <v>44228</v>
      </c>
      <c r="N46" s="1575">
        <f t="shared" si="16"/>
        <v>44197</v>
      </c>
      <c r="O46" s="1575">
        <f t="shared" si="16"/>
        <v>44166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2576</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30"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30"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22"/>
      <c r="AC6" s="3222"/>
    </row>
    <row r="7" spans="1:30" s="117" customFormat="1" ht="15.75" thickBot="1">
      <c r="A7" s="408" t="s">
        <v>2536</v>
      </c>
      <c r="B7" s="409"/>
      <c r="C7" s="410">
        <f>'数据-取费表'!B2</f>
        <v>44552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11" t="s">
        <v>2537</v>
      </c>
      <c r="Q7" s="3223"/>
      <c r="R7" s="770" t="s">
        <v>17</v>
      </c>
      <c r="S7" s="771">
        <f t="shared" ref="S7:S15" si="0">F7</f>
        <v>0</v>
      </c>
      <c r="T7" s="770" t="s">
        <v>17</v>
      </c>
      <c r="U7" s="771">
        <f t="shared" ref="U7:U15" si="1">H7</f>
        <v>0</v>
      </c>
      <c r="V7" s="770" t="s">
        <v>17</v>
      </c>
      <c r="W7" s="771">
        <f t="shared" ref="W7:W15" si="2">J7</f>
        <v>0</v>
      </c>
      <c r="X7" s="772"/>
      <c r="Y7" s="3211" t="s">
        <v>2537</v>
      </c>
      <c r="Z7" s="3210"/>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45" si="3">D8/F8</f>
        <v>#DIV/0!</v>
      </c>
      <c r="AB8" s="773" t="e">
        <f t="shared" ref="AB8:AB45" si="4">D8/H8</f>
        <v>#DIV/0!</v>
      </c>
      <c r="AC8" s="773" t="e">
        <f t="shared" ref="AC8:AC45" si="5">D8/J8</f>
        <v>#DIV/0!</v>
      </c>
    </row>
    <row r="9" spans="1:30" s="117" customFormat="1">
      <c r="A9" s="415" t="s">
        <v>2541</v>
      </c>
      <c r="B9" s="71" t="s">
        <v>2542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95"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111</v>
      </c>
      <c r="G10" s="463"/>
      <c r="H10" s="136">
        <f>ROUND(100/'数据-取费表'!G16,0)</f>
        <v>111</v>
      </c>
      <c r="I10" s="463"/>
      <c r="J10" s="136">
        <f>ROUND(100/'数据-取费表'!G16,0)</f>
        <v>111</v>
      </c>
      <c r="K10" s="672"/>
      <c r="L10" s="1135"/>
      <c r="M10" s="1136"/>
      <c r="N10" s="1136"/>
      <c r="O10" s="1137"/>
      <c r="P10" s="3195"/>
      <c r="Q10" s="1794" t="str">
        <f t="shared" si="6"/>
        <v>土地使用年限（年）</v>
      </c>
      <c r="R10" s="770" t="s">
        <v>17</v>
      </c>
      <c r="S10" s="771">
        <f t="shared" si="0"/>
        <v>111</v>
      </c>
      <c r="T10" s="770" t="s">
        <v>17</v>
      </c>
      <c r="U10" s="771">
        <f t="shared" si="1"/>
        <v>111</v>
      </c>
      <c r="V10" s="770" t="s">
        <v>17</v>
      </c>
      <c r="W10" s="771">
        <f t="shared" si="2"/>
        <v>111</v>
      </c>
      <c r="X10" s="772"/>
      <c r="Y10" s="3049"/>
      <c r="Z10" s="55" t="str">
        <f t="shared" si="7"/>
        <v>土地使用年限（年）</v>
      </c>
      <c r="AA10" s="773">
        <f t="shared" si="3"/>
        <v>0.90090090090090091</v>
      </c>
      <c r="AB10" s="773">
        <f t="shared" si="4"/>
        <v>0.90090090090090091</v>
      </c>
      <c r="AC10" s="773">
        <f t="shared" si="5"/>
        <v>0.90090090090090091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5"/>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30" s="117" customFormat="1" ht="15">
      <c r="A12" s="431"/>
      <c r="B12" s="2599" t="s">
        <v>2735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5"/>
      <c r="Q12" s="1794" t="str">
        <f t="shared" si="6"/>
        <v>配建</v>
      </c>
      <c r="R12" s="770" t="s">
        <v>17</v>
      </c>
      <c r="S12" s="771">
        <f t="shared" si="0"/>
        <v>100</v>
      </c>
      <c r="T12" s="770" t="s">
        <v>17</v>
      </c>
      <c r="U12" s="771">
        <f t="shared" si="1"/>
        <v>100</v>
      </c>
      <c r="V12" s="770" t="s">
        <v>17</v>
      </c>
      <c r="W12" s="771">
        <f t="shared" si="2"/>
        <v>100</v>
      </c>
      <c r="X12" s="772"/>
      <c r="Y12" s="304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5"/>
      <c r="Q14" s="1794">
        <f t="shared" si="6"/>
        <v>111</v>
      </c>
      <c r="R14" s="770" t="s">
        <v>17</v>
      </c>
      <c r="S14" s="771">
        <f t="shared" si="0"/>
        <v>100</v>
      </c>
      <c r="T14" s="770" t="s">
        <v>17</v>
      </c>
      <c r="U14" s="771">
        <f t="shared" si="1"/>
        <v>100</v>
      </c>
      <c r="V14" s="770" t="s">
        <v>17</v>
      </c>
      <c r="W14" s="771">
        <f t="shared" si="2"/>
        <v>100</v>
      </c>
      <c r="X14" s="772"/>
      <c r="Y14" s="3049"/>
      <c r="Z14" s="55">
        <f t="shared" si="7"/>
        <v>111</v>
      </c>
      <c r="AA14" s="773">
        <f>D14/F14</f>
        <v>1</v>
      </c>
      <c r="AB14" s="773">
        <f>D14/H14</f>
        <v>1</v>
      </c>
      <c r="AC14" s="773">
        <f>D14/J14</f>
        <v>1</v>
      </c>
    </row>
    <row r="15" spans="1:30" ht="15">
      <c r="A15" s="440" t="s">
        <v>2547</v>
      </c>
      <c r="B15" s="69" t="s">
        <v>2076</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2" t="s">
        <v>2548</v>
      </c>
      <c r="Q15" s="1809" t="str">
        <f t="shared" si="6"/>
        <v>居住社区成熟度</v>
      </c>
      <c r="R15" s="774" t="s">
        <v>17</v>
      </c>
      <c r="S15" s="775">
        <f t="shared" si="0"/>
        <v>100</v>
      </c>
      <c r="T15" s="774" t="s">
        <v>17</v>
      </c>
      <c r="U15" s="775">
        <f t="shared" si="1"/>
        <v>100</v>
      </c>
      <c r="V15" s="774" t="s">
        <v>17</v>
      </c>
      <c r="W15" s="775">
        <f t="shared" si="2"/>
        <v>100</v>
      </c>
      <c r="X15" s="1812"/>
      <c r="Y15" s="3202" t="s">
        <v>2548</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40"/>
      <c r="M16" s="1131"/>
      <c r="N16" s="1131"/>
      <c r="O16" s="1139"/>
      <c r="P16" s="3203"/>
      <c r="Q16" s="1809"/>
      <c r="R16" s="774"/>
      <c r="S16" s="775"/>
      <c r="T16" s="774"/>
      <c r="U16" s="775"/>
      <c r="V16" s="774"/>
      <c r="W16" s="775"/>
      <c r="X16" s="1812"/>
      <c r="Y16" s="3203"/>
      <c r="Z16" s="1813"/>
      <c r="AA16" s="1810">
        <v>1</v>
      </c>
      <c r="AB16" s="1810">
        <v>1</v>
      </c>
      <c r="AC16" s="1810">
        <v>1</v>
      </c>
    </row>
    <row r="17" spans="1:29" ht="15">
      <c r="A17" s="428"/>
      <c r="B17" s="451" t="s">
        <v>2641</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3"/>
      <c r="Q17" s="1809" t="str">
        <f>B17</f>
        <v>商业繁华度</v>
      </c>
      <c r="R17" s="774" t="s">
        <v>17</v>
      </c>
      <c r="S17" s="775">
        <f>F17</f>
        <v>100</v>
      </c>
      <c r="T17" s="774" t="s">
        <v>17</v>
      </c>
      <c r="U17" s="775">
        <f>H17</f>
        <v>100</v>
      </c>
      <c r="V17" s="774" t="s">
        <v>17</v>
      </c>
      <c r="W17" s="775">
        <f>J17</f>
        <v>100</v>
      </c>
      <c r="X17" s="1812"/>
      <c r="Y17" s="3203"/>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40"/>
      <c r="M18" s="1131"/>
      <c r="N18" s="1131"/>
      <c r="O18" s="1139"/>
      <c r="P18" s="3203"/>
      <c r="Q18" s="1809"/>
      <c r="R18" s="774"/>
      <c r="S18" s="775"/>
      <c r="T18" s="774"/>
      <c r="U18" s="775"/>
      <c r="V18" s="774"/>
      <c r="W18" s="775"/>
      <c r="X18" s="1812"/>
      <c r="Y18" s="3203"/>
      <c r="Z18" s="1813"/>
      <c r="AA18" s="1810">
        <v>1</v>
      </c>
      <c r="AB18" s="1810">
        <v>1</v>
      </c>
      <c r="AC18" s="1810">
        <v>1</v>
      </c>
    </row>
    <row r="19" spans="1:29" ht="15">
      <c r="A19" s="428"/>
      <c r="B19" s="451" t="s">
        <v>2675</v>
      </c>
      <c r="C19" s="2663"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3"/>
      <c r="Q19" s="1809" t="str">
        <f>B19</f>
        <v>办公集聚程度</v>
      </c>
      <c r="R19" s="774" t="s">
        <v>17</v>
      </c>
      <c r="S19" s="775">
        <f>F19</f>
        <v>100</v>
      </c>
      <c r="T19" s="774" t="s">
        <v>17</v>
      </c>
      <c r="U19" s="775">
        <f>H19</f>
        <v>100</v>
      </c>
      <c r="V19" s="774" t="s">
        <v>17</v>
      </c>
      <c r="W19" s="775">
        <f>J19</f>
        <v>100</v>
      </c>
      <c r="X19" s="1812"/>
      <c r="Y19" s="3203"/>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03"/>
      <c r="Q20" s="1809"/>
      <c r="R20" s="774"/>
      <c r="S20" s="775"/>
      <c r="T20" s="774"/>
      <c r="U20" s="775"/>
      <c r="V20" s="774"/>
      <c r="W20" s="775"/>
      <c r="X20" s="1812"/>
      <c r="Y20" s="3203"/>
      <c r="Z20" s="1813"/>
      <c r="AA20" s="1810">
        <v>1</v>
      </c>
      <c r="AB20" s="1810">
        <v>1</v>
      </c>
      <c r="AC20" s="1810">
        <v>1</v>
      </c>
    </row>
    <row r="21" spans="1:29" ht="15">
      <c r="A21" s="428"/>
      <c r="B21" s="451" t="s">
        <v>2697</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3"/>
      <c r="Q21" s="1809" t="str">
        <f>B21</f>
        <v>交通便捷度</v>
      </c>
      <c r="R21" s="774" t="s">
        <v>17</v>
      </c>
      <c r="S21" s="775">
        <f>F21</f>
        <v>100</v>
      </c>
      <c r="T21" s="774" t="s">
        <v>17</v>
      </c>
      <c r="U21" s="775">
        <f>H21</f>
        <v>100</v>
      </c>
      <c r="V21" s="774" t="s">
        <v>17</v>
      </c>
      <c r="W21" s="775">
        <f>J21</f>
        <v>100</v>
      </c>
      <c r="X21" s="1812"/>
      <c r="Y21" s="3203"/>
      <c r="Z21" s="1813" t="str">
        <f>Q21</f>
        <v>交通便捷度</v>
      </c>
      <c r="AA21" s="1810">
        <f t="shared" si="3"/>
        <v>1</v>
      </c>
      <c r="AB21" s="1810">
        <f t="shared" si="4"/>
        <v>1</v>
      </c>
      <c r="AC21" s="1810">
        <f t="shared" si="5"/>
        <v>1</v>
      </c>
    </row>
    <row r="22" spans="1:29" ht="15">
      <c r="A22" s="428"/>
      <c r="B22" s="1384"/>
      <c r="C22" s="447"/>
      <c r="D22" s="450"/>
      <c r="E22" s="2604"/>
      <c r="F22" s="448"/>
      <c r="G22" s="2604"/>
      <c r="H22" s="448"/>
      <c r="I22" s="2603"/>
      <c r="J22" s="448"/>
      <c r="K22" s="672"/>
      <c r="L22" s="1140"/>
      <c r="M22" s="1131"/>
      <c r="N22" s="1131"/>
      <c r="O22" s="1139"/>
      <c r="P22" s="3203"/>
      <c r="Q22" s="1809"/>
      <c r="R22" s="774"/>
      <c r="S22" s="775"/>
      <c r="T22" s="774"/>
      <c r="U22" s="775"/>
      <c r="V22" s="774"/>
      <c r="W22" s="775"/>
      <c r="X22" s="1812"/>
      <c r="Y22" s="3203"/>
      <c r="Z22" s="1813"/>
      <c r="AA22" s="1810">
        <v>1</v>
      </c>
      <c r="AB22" s="1810">
        <v>1</v>
      </c>
      <c r="AC22" s="1810">
        <v>1</v>
      </c>
    </row>
    <row r="23" spans="1:29" ht="15">
      <c r="A23" s="404"/>
      <c r="B23" s="451" t="s">
        <v>2736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3"/>
      <c r="Q23" s="1809" t="str">
        <f t="shared" ref="Q23:Q37" si="8">B23</f>
        <v>区域土地利用方向</v>
      </c>
      <c r="R23" s="774" t="s">
        <v>17</v>
      </c>
      <c r="S23" s="775">
        <f>F23</f>
        <v>100</v>
      </c>
      <c r="T23" s="774" t="s">
        <v>17</v>
      </c>
      <c r="U23" s="775">
        <f>H23</f>
        <v>100</v>
      </c>
      <c r="V23" s="774" t="s">
        <v>17</v>
      </c>
      <c r="W23" s="775">
        <f>J23</f>
        <v>100</v>
      </c>
      <c r="X23" s="1812"/>
      <c r="Y23" s="3203"/>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12"/>
      <c r="L24" s="1140"/>
      <c r="M24" s="1131"/>
      <c r="N24" s="1131"/>
      <c r="O24" s="1139"/>
      <c r="P24" s="3203"/>
      <c r="Q24" s="1809"/>
      <c r="R24" s="774"/>
      <c r="S24" s="775"/>
      <c r="T24" s="774"/>
      <c r="U24" s="775"/>
      <c r="V24" s="774"/>
      <c r="W24" s="775"/>
      <c r="X24" s="1812"/>
      <c r="Y24" s="3203"/>
      <c r="Z24" s="1813"/>
      <c r="AA24" s="1810"/>
      <c r="AB24" s="1810"/>
      <c r="AC24" s="1810"/>
    </row>
    <row r="25" spans="1:29" ht="27">
      <c r="A25" s="404"/>
      <c r="B25" s="1384" t="s">
        <v>2737</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3"/>
      <c r="Q25" s="1809" t="str">
        <f t="shared" si="8"/>
        <v>自然及人文环境状况</v>
      </c>
      <c r="R25" s="774" t="s">
        <v>17</v>
      </c>
      <c r="S25" s="775">
        <f>F25</f>
        <v>100</v>
      </c>
      <c r="T25" s="774" t="s">
        <v>17</v>
      </c>
      <c r="U25" s="775">
        <f>H25</f>
        <v>100</v>
      </c>
      <c r="V25" s="774" t="s">
        <v>17</v>
      </c>
      <c r="W25" s="775">
        <f>J25</f>
        <v>100</v>
      </c>
      <c r="X25" s="1812"/>
      <c r="Y25" s="3203"/>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40"/>
      <c r="M26" s="1131"/>
      <c r="N26" s="1131"/>
      <c r="O26" s="1139"/>
      <c r="P26" s="3203"/>
      <c r="Q26" s="1809"/>
      <c r="R26" s="774"/>
      <c r="S26" s="775"/>
      <c r="T26" s="774"/>
      <c r="U26" s="775"/>
      <c r="V26" s="774"/>
      <c r="W26" s="775"/>
      <c r="X26" s="1812"/>
      <c r="Y26" s="3203"/>
      <c r="Z26" s="1813"/>
      <c r="AA26" s="1810">
        <v>1</v>
      </c>
      <c r="AB26" s="1810">
        <v>1</v>
      </c>
      <c r="AC26" s="1810">
        <v>1</v>
      </c>
    </row>
    <row r="27" spans="1:29" s="117" customFormat="1" ht="15">
      <c r="A27" s="649"/>
      <c r="B27" s="1384" t="s">
        <v>2642</v>
      </c>
      <c r="C27" s="2606"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3"/>
      <c r="Q27" s="1794" t="str">
        <f t="shared" si="8"/>
        <v>公共配套设施</v>
      </c>
      <c r="R27" s="770" t="s">
        <v>17</v>
      </c>
      <c r="S27" s="771">
        <f>F27</f>
        <v>100</v>
      </c>
      <c r="T27" s="770" t="s">
        <v>17</v>
      </c>
      <c r="U27" s="771">
        <f>H27</f>
        <v>100</v>
      </c>
      <c r="V27" s="770" t="s">
        <v>17</v>
      </c>
      <c r="W27" s="771">
        <f>J27</f>
        <v>100</v>
      </c>
      <c r="X27" s="772"/>
      <c r="Y27" s="3203"/>
      <c r="Z27" s="55" t="str">
        <f>Q27</f>
        <v>公共配套设施</v>
      </c>
      <c r="AA27" s="1810">
        <f>D27/F27</f>
        <v>1</v>
      </c>
      <c r="AB27" s="1810">
        <f>D27/H27</f>
        <v>1</v>
      </c>
      <c r="AC27" s="1810">
        <f>D27/J27</f>
        <v>1</v>
      </c>
    </row>
    <row r="28" spans="1:29" s="117" customFormat="1" ht="15">
      <c r="A28" s="649"/>
      <c r="B28" s="456"/>
      <c r="C28" s="2699"/>
      <c r="D28" s="448"/>
      <c r="E28" s="2610"/>
      <c r="F28" s="448"/>
      <c r="G28" s="2610"/>
      <c r="H28" s="448"/>
      <c r="I28" s="447"/>
      <c r="J28" s="448"/>
      <c r="K28" s="672"/>
      <c r="L28" s="1132"/>
      <c r="M28" s="1133"/>
      <c r="N28" s="1133"/>
      <c r="O28" s="1134"/>
      <c r="P28" s="3203"/>
      <c r="Q28" s="1794"/>
      <c r="R28" s="770"/>
      <c r="S28" s="771"/>
      <c r="T28" s="770"/>
      <c r="U28" s="771"/>
      <c r="V28" s="770"/>
      <c r="W28" s="771"/>
      <c r="X28" s="772"/>
      <c r="Y28" s="3203"/>
      <c r="Z28" s="55"/>
      <c r="AA28" s="1810">
        <v>1</v>
      </c>
      <c r="AB28" s="1810">
        <v>1</v>
      </c>
      <c r="AC28" s="1810">
        <v>1</v>
      </c>
    </row>
    <row r="29" spans="1:29" s="117" customFormat="1" ht="15">
      <c r="A29" s="649"/>
      <c r="B29" s="1384" t="s">
        <v>2643</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3"/>
      <c r="Q29" s="1794"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2"/>
      <c r="M30" s="1133"/>
      <c r="N30" s="1133"/>
      <c r="O30" s="1134"/>
      <c r="P30" s="3203"/>
      <c r="Q30" s="1794"/>
      <c r="R30" s="770"/>
      <c r="S30" s="771"/>
      <c r="T30" s="770"/>
      <c r="U30" s="771"/>
      <c r="V30" s="770"/>
      <c r="W30" s="771"/>
      <c r="X30" s="772"/>
      <c r="Y30" s="3203"/>
      <c r="Z30" s="55"/>
      <c r="AA30" s="1810">
        <v>1</v>
      </c>
      <c r="AB30" s="1810">
        <v>1</v>
      </c>
      <c r="AC30" s="1810">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3"/>
      <c r="Z31" s="1813" t="str">
        <f t="shared" ref="Z31:Z45" si="13">Q31</f>
        <v>临街状况</v>
      </c>
      <c r="AA31" s="1810">
        <f t="shared" si="3"/>
        <v>1</v>
      </c>
      <c r="AB31" s="1810">
        <f t="shared" si="4"/>
        <v>1</v>
      </c>
      <c r="AC31" s="1810">
        <f t="shared" si="5"/>
        <v>1</v>
      </c>
    </row>
    <row r="32" spans="1:29" ht="27">
      <c r="A32" s="428"/>
      <c r="B32" s="1384"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3"/>
      <c r="Q32" s="1809" t="str">
        <f t="shared" si="8"/>
        <v>毗邻道路的类型与等级</v>
      </c>
      <c r="R32" s="774" t="s">
        <v>17</v>
      </c>
      <c r="S32" s="775">
        <f t="shared" si="10"/>
        <v>100</v>
      </c>
      <c r="T32" s="774" t="s">
        <v>17</v>
      </c>
      <c r="U32" s="775">
        <f t="shared" si="11"/>
        <v>100</v>
      </c>
      <c r="V32" s="774" t="s">
        <v>17</v>
      </c>
      <c r="W32" s="775">
        <f t="shared" si="12"/>
        <v>100</v>
      </c>
      <c r="X32" s="1812"/>
      <c r="Y32" s="3203"/>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40"/>
      <c r="M33" s="1131"/>
      <c r="N33" s="1131"/>
      <c r="O33" s="1139"/>
      <c r="P33" s="3203"/>
      <c r="Q33" s="1809"/>
      <c r="R33" s="774"/>
      <c r="S33" s="775"/>
      <c r="T33" s="774"/>
      <c r="U33" s="775"/>
      <c r="V33" s="774"/>
      <c r="W33" s="775"/>
      <c r="X33" s="1812"/>
      <c r="Y33" s="3203"/>
      <c r="Z33" s="1813"/>
      <c r="AA33" s="1810">
        <v>1</v>
      </c>
      <c r="AB33" s="1810">
        <v>1</v>
      </c>
      <c r="AC33" s="1810">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3"/>
      <c r="Q34" s="1809" t="str">
        <f t="shared" si="8"/>
        <v>土地级别</v>
      </c>
      <c r="R34" s="774" t="s">
        <v>17</v>
      </c>
      <c r="S34" s="775">
        <f t="shared" si="10"/>
        <v>100</v>
      </c>
      <c r="T34" s="774" t="s">
        <v>17</v>
      </c>
      <c r="U34" s="775">
        <f t="shared" si="11"/>
        <v>100</v>
      </c>
      <c r="V34" s="774" t="s">
        <v>17</v>
      </c>
      <c r="W34" s="775">
        <f t="shared" si="12"/>
        <v>100</v>
      </c>
      <c r="X34" s="1812"/>
      <c r="Y34" s="3203"/>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3"/>
      <c r="Q35" s="1809">
        <f t="shared" si="8"/>
        <v>111</v>
      </c>
      <c r="R35" s="774" t="s">
        <v>17</v>
      </c>
      <c r="S35" s="775">
        <f t="shared" si="10"/>
        <v>100</v>
      </c>
      <c r="T35" s="774" t="s">
        <v>17</v>
      </c>
      <c r="U35" s="775">
        <f t="shared" si="11"/>
        <v>100</v>
      </c>
      <c r="V35" s="774" t="s">
        <v>17</v>
      </c>
      <c r="W35" s="775">
        <f t="shared" si="12"/>
        <v>100</v>
      </c>
      <c r="X35" s="1812"/>
      <c r="Y35" s="3203"/>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9" t="s">
        <v>2553</v>
      </c>
      <c r="Q36" s="1809">
        <f t="shared" si="8"/>
        <v>111</v>
      </c>
      <c r="R36" s="774" t="s">
        <v>17</v>
      </c>
      <c r="S36" s="775">
        <f t="shared" si="10"/>
        <v>100</v>
      </c>
      <c r="T36" s="774" t="s">
        <v>17</v>
      </c>
      <c r="U36" s="775">
        <f t="shared" si="11"/>
        <v>100</v>
      </c>
      <c r="V36" s="774" t="s">
        <v>17</v>
      </c>
      <c r="W36" s="775">
        <f t="shared" si="12"/>
        <v>100</v>
      </c>
      <c r="X36" s="1812"/>
      <c r="Y36" s="3207" t="s">
        <v>2553</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7"/>
      <c r="Q37" s="1809">
        <f t="shared" si="8"/>
        <v>111</v>
      </c>
      <c r="R37" s="777" t="s">
        <v>17</v>
      </c>
      <c r="S37" s="778">
        <f t="shared" si="10"/>
        <v>100</v>
      </c>
      <c r="T37" s="777" t="s">
        <v>17</v>
      </c>
      <c r="U37" s="778">
        <f t="shared" si="11"/>
        <v>100</v>
      </c>
      <c r="V37" s="777" t="s">
        <v>17</v>
      </c>
      <c r="W37" s="778">
        <f t="shared" si="12"/>
        <v>100</v>
      </c>
      <c r="X37" s="779"/>
      <c r="Y37" s="3207"/>
      <c r="Z37" s="780">
        <f t="shared" si="13"/>
        <v>111</v>
      </c>
      <c r="AA37" s="1810">
        <f t="shared" si="3"/>
        <v>1</v>
      </c>
      <c r="AB37" s="1810">
        <f t="shared" si="4"/>
        <v>1</v>
      </c>
      <c r="AC37" s="1810">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7"/>
      <c r="Q38" s="1809" t="str">
        <f>B38</f>
        <v>宗地面积</v>
      </c>
      <c r="R38" s="774" t="s">
        <v>17</v>
      </c>
      <c r="S38" s="775" t="e">
        <f t="shared" si="10"/>
        <v>#N/A</v>
      </c>
      <c r="T38" s="774" t="s">
        <v>17</v>
      </c>
      <c r="U38" s="775" t="e">
        <f t="shared" si="11"/>
        <v>#N/A</v>
      </c>
      <c r="V38" s="774" t="s">
        <v>17</v>
      </c>
      <c r="W38" s="775" t="e">
        <f t="shared" si="12"/>
        <v>#N/A</v>
      </c>
      <c r="X38" s="1812"/>
      <c r="Y38" s="3207"/>
      <c r="Z38" s="1813" t="str">
        <f t="shared" si="13"/>
        <v>宗地面积</v>
      </c>
      <c r="AA38" s="1810" t="e">
        <f t="shared" si="3"/>
        <v>#N/A</v>
      </c>
      <c r="AB38" s="1810" t="e">
        <f t="shared" si="4"/>
        <v>#N/A</v>
      </c>
      <c r="AC38" s="1810" t="e">
        <f t="shared" si="5"/>
        <v>#N/A</v>
      </c>
    </row>
    <row r="39" spans="1:29" ht="15">
      <c r="A39" s="472"/>
      <c r="B39" s="422" t="s">
        <v>2740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07"/>
      <c r="Q39" s="1809" t="str">
        <f t="shared" ref="Q39:Q45" si="14">B39</f>
        <v>宗地形状</v>
      </c>
      <c r="R39" s="774" t="s">
        <v>17</v>
      </c>
      <c r="S39" s="775">
        <f t="shared" si="10"/>
        <v>100</v>
      </c>
      <c r="T39" s="774" t="s">
        <v>17</v>
      </c>
      <c r="U39" s="775">
        <f t="shared" si="11"/>
        <v>100</v>
      </c>
      <c r="V39" s="774" t="s">
        <v>17</v>
      </c>
      <c r="W39" s="775">
        <f t="shared" si="12"/>
        <v>100</v>
      </c>
      <c r="X39" s="1812"/>
      <c r="Y39" s="3207"/>
      <c r="Z39" s="1813" t="str">
        <f t="shared" si="13"/>
        <v>宗地形状</v>
      </c>
      <c r="AA39" s="1810">
        <f t="shared" si="3"/>
        <v>1</v>
      </c>
      <c r="AB39" s="1810">
        <f t="shared" si="4"/>
        <v>1</v>
      </c>
      <c r="AC39" s="1810">
        <f t="shared" si="5"/>
        <v>1</v>
      </c>
    </row>
    <row r="40" spans="1:29" ht="15">
      <c r="A40" s="472"/>
      <c r="B40" s="422" t="s">
        <v>2741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07"/>
      <c r="Q40" s="1809" t="str">
        <f t="shared" si="14"/>
        <v>临街宽度及深度</v>
      </c>
      <c r="R40" s="774" t="s">
        <v>17</v>
      </c>
      <c r="S40" s="775">
        <f t="shared" si="10"/>
        <v>100</v>
      </c>
      <c r="T40" s="774" t="s">
        <v>17</v>
      </c>
      <c r="U40" s="775">
        <f t="shared" si="11"/>
        <v>100</v>
      </c>
      <c r="V40" s="774" t="s">
        <v>17</v>
      </c>
      <c r="W40" s="775">
        <f t="shared" si="12"/>
        <v>100</v>
      </c>
      <c r="X40" s="1812"/>
      <c r="Y40" s="3207"/>
      <c r="Z40" s="1813" t="str">
        <f t="shared" si="13"/>
        <v>临街宽度及深度</v>
      </c>
      <c r="AA40" s="1810">
        <f t="shared" si="3"/>
        <v>1</v>
      </c>
      <c r="AB40" s="1810">
        <f t="shared" si="4"/>
        <v>1</v>
      </c>
      <c r="AC40" s="1810">
        <f t="shared" si="5"/>
        <v>1</v>
      </c>
    </row>
    <row r="41" spans="1:29" s="117" customFormat="1" ht="15">
      <c r="A41" s="473"/>
      <c r="B41" s="422" t="s">
        <v>2742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07"/>
      <c r="Q41" s="1809"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2743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07" t="s">
        <v>2553</v>
      </c>
      <c r="Q42" s="1809" t="str">
        <f t="shared" si="14"/>
        <v>工程地质条件</v>
      </c>
      <c r="R42" s="774" t="s">
        <v>17</v>
      </c>
      <c r="S42" s="775">
        <f t="shared" si="10"/>
        <v>100</v>
      </c>
      <c r="T42" s="774" t="s">
        <v>17</v>
      </c>
      <c r="U42" s="775">
        <f t="shared" si="11"/>
        <v>100</v>
      </c>
      <c r="V42" s="774" t="s">
        <v>17</v>
      </c>
      <c r="W42" s="775">
        <f t="shared" si="12"/>
        <v>100</v>
      </c>
      <c r="X42" s="1812"/>
      <c r="Y42" s="3207" t="s">
        <v>2553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7"/>
      <c r="Q43" s="1809">
        <f t="shared" si="14"/>
        <v>111</v>
      </c>
      <c r="R43" s="774" t="s">
        <v>17</v>
      </c>
      <c r="S43" s="775">
        <f t="shared" si="10"/>
        <v>100</v>
      </c>
      <c r="T43" s="774" t="s">
        <v>17</v>
      </c>
      <c r="U43" s="775">
        <f t="shared" si="11"/>
        <v>100</v>
      </c>
      <c r="V43" s="774" t="s">
        <v>17</v>
      </c>
      <c r="W43" s="775">
        <f t="shared" si="12"/>
        <v>100</v>
      </c>
      <c r="X43" s="1812"/>
      <c r="Y43" s="3207"/>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7"/>
      <c r="Q44" s="1809">
        <f t="shared" si="14"/>
        <v>111</v>
      </c>
      <c r="R44" s="774" t="s">
        <v>17</v>
      </c>
      <c r="S44" s="775">
        <f t="shared" si="10"/>
        <v>100</v>
      </c>
      <c r="T44" s="774" t="s">
        <v>17</v>
      </c>
      <c r="U44" s="775">
        <f t="shared" si="11"/>
        <v>100</v>
      </c>
      <c r="V44" s="774" t="s">
        <v>17</v>
      </c>
      <c r="W44" s="775">
        <f t="shared" si="12"/>
        <v>100</v>
      </c>
      <c r="X44" s="1812"/>
      <c r="Y44" s="3207"/>
      <c r="Z44" s="1813">
        <f t="shared" si="13"/>
        <v>111</v>
      </c>
      <c r="AA44" s="1810">
        <f t="shared" si="3"/>
        <v>1</v>
      </c>
      <c r="AB44" s="1810">
        <f t="shared" si="4"/>
        <v>1</v>
      </c>
      <c r="AC44" s="1810">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7"/>
      <c r="Q45" s="1809">
        <f t="shared" si="14"/>
        <v>111</v>
      </c>
      <c r="R45" s="777" t="s">
        <v>17</v>
      </c>
      <c r="S45" s="778">
        <f t="shared" si="10"/>
        <v>100</v>
      </c>
      <c r="T45" s="777" t="s">
        <v>17</v>
      </c>
      <c r="U45" s="778">
        <f t="shared" si="11"/>
        <v>100</v>
      </c>
      <c r="V45" s="777" t="s">
        <v>17</v>
      </c>
      <c r="W45" s="778">
        <f t="shared" si="12"/>
        <v>100</v>
      </c>
      <c r="X45" s="779"/>
      <c r="Y45" s="3207"/>
      <c r="Z45" s="780">
        <f t="shared" si="13"/>
        <v>111</v>
      </c>
      <c r="AA45" s="1810">
        <f t="shared" si="3"/>
        <v>1</v>
      </c>
      <c r="AB45" s="1810">
        <f t="shared" si="4"/>
        <v>1</v>
      </c>
      <c r="AC45" s="1810">
        <f t="shared" si="5"/>
        <v>1</v>
      </c>
    </row>
    <row r="46" spans="1:29" ht="15">
      <c r="A46" s="479" t="s">
        <v>2708</v>
      </c>
      <c r="B46" s="2703" t="s">
        <v>2744</v>
      </c>
      <c r="C46" s="682" t="s">
        <v>1</v>
      </c>
      <c r="D46" s="481"/>
      <c r="E46" s="482"/>
      <c r="F46" s="483"/>
      <c r="G46" s="484"/>
      <c r="H46" s="485"/>
      <c r="I46" s="482"/>
      <c r="J46" s="485"/>
      <c r="K46" s="783"/>
      <c r="L46" s="1143"/>
      <c r="M46" s="1144"/>
      <c r="N46" s="1131"/>
      <c r="O46" s="1144"/>
      <c r="P46" s="3195" t="str">
        <f>A46</f>
        <v>成交单价</v>
      </c>
      <c r="Q46" s="3195"/>
      <c r="R46" s="3213">
        <f>E46</f>
        <v>0</v>
      </c>
      <c r="S46" s="3213"/>
      <c r="T46" s="3213">
        <f>G46</f>
        <v>0</v>
      </c>
      <c r="U46" s="3213"/>
      <c r="V46" s="3213">
        <f>I46</f>
        <v>0</v>
      </c>
      <c r="W46" s="3213"/>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3"/>
      <c r="M47" s="1144"/>
      <c r="N47" s="1144"/>
      <c r="O47" s="1144"/>
      <c r="P47" s="3195" t="str">
        <f>A47</f>
        <v>比较价值（元/平方米）</v>
      </c>
      <c r="Q47" s="3195"/>
      <c r="R47" s="3290" t="e">
        <f>ROUND(PRODUCT(R46,AA7:AA45),0)</f>
        <v>#DIV/0!</v>
      </c>
      <c r="S47" s="3290"/>
      <c r="T47" s="3290" t="e">
        <f>ROUND(PRODUCT(T46,AB7:AB45),0)</f>
        <v>#DIV/0!</v>
      </c>
      <c r="U47" s="3290"/>
      <c r="V47" s="3290" t="e">
        <f>ROUND(PRODUCT(V46,AC7:AC45),0)</f>
        <v>#DIV/0!</v>
      </c>
      <c r="W47" s="3290"/>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3"/>
      <c r="M48" s="1144"/>
      <c r="N48" s="1144"/>
      <c r="O48" s="1144"/>
      <c r="P48" s="3274" t="str">
        <f>A48</f>
        <v>估价对象XX用房的比较价值（楼面单价，元/平方米）</v>
      </c>
      <c r="Q48" s="3275"/>
      <c r="R48" s="3291" t="e">
        <f>ROUND(AVERAGE(R47:V47),0)</f>
        <v>#DIV/0!</v>
      </c>
      <c r="S48" s="3291"/>
      <c r="T48" s="3291"/>
      <c r="U48" s="3291"/>
      <c r="V48" s="3291"/>
      <c r="W48" s="329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2746</v>
      </c>
      <c r="B55" s="685" t="s">
        <v>2747</v>
      </c>
      <c r="C55" s="2704" t="s">
        <v>2748</v>
      </c>
      <c r="D55" s="2705" t="s">
        <v>2749</v>
      </c>
      <c r="E55" s="686" t="s">
        <v>2750</v>
      </c>
      <c r="F55" s="1107" t="s">
        <v>2751</v>
      </c>
      <c r="G55" s="3227" t="s">
        <v>2752</v>
      </c>
      <c r="H55" s="3292"/>
      <c r="I55" s="144" t="s">
        <v>2753</v>
      </c>
      <c r="J55" s="2706">
        <f>项目基本情况!F35</f>
        <v>0</v>
      </c>
      <c r="K55" s="2707" t="s">
        <v>2754</v>
      </c>
      <c r="L55" s="1106"/>
      <c r="M55" s="1144"/>
      <c r="N55" s="1144"/>
      <c r="O55" s="1144"/>
    </row>
    <row r="56" spans="1:15" s="692" customFormat="1">
      <c r="A56" s="688" t="s">
        <v>2755</v>
      </c>
      <c r="B56" s="689" t="e">
        <f>C48</f>
        <v>#DIV/0!</v>
      </c>
      <c r="C56" s="690">
        <v>1</v>
      </c>
      <c r="D56" s="1163">
        <v>1</v>
      </c>
      <c r="E56" s="690">
        <f>'数据-汇总表'!E8+'数据-汇总表'!E9</f>
        <v>333.1</v>
      </c>
      <c r="F56" s="1103" t="e">
        <f t="shared" ref="F56:F65" si="15">ROUND(B56*E56/10000,0)</f>
        <v>#DIV/0!</v>
      </c>
      <c r="G56" s="3194"/>
      <c r="H56" s="3195"/>
      <c r="I56" s="1108">
        <v>1</v>
      </c>
      <c r="J56" s="1111">
        <v>1</v>
      </c>
      <c r="K56" s="1145"/>
      <c r="L56" s="941"/>
      <c r="M56" s="941"/>
      <c r="N56" s="941"/>
      <c r="O56" s="941"/>
    </row>
    <row r="57" spans="1:15" s="692" customFormat="1">
      <c r="A57" s="693" t="s">
        <v>2756</v>
      </c>
      <c r="B57" s="262" t="e">
        <f>ROUND($C$48*C57*D57,0)</f>
        <v>#DIV/0!</v>
      </c>
      <c r="C57" s="200">
        <f t="shared" ref="C57:C65" si="16">IF($C$55="北京市系数",I57,J57)</f>
        <v>0</v>
      </c>
      <c r="D57" s="1164">
        <v>0.25</v>
      </c>
      <c r="E57" s="694"/>
      <c r="F57" s="1103" t="e">
        <f t="shared" si="15"/>
        <v>#DIV/0!</v>
      </c>
      <c r="G57" s="3293" t="s">
        <v>2757</v>
      </c>
      <c r="H57" s="1104">
        <f>项目基本情况!B37</f>
        <v>0</v>
      </c>
      <c r="I57" s="1108">
        <f>SUMIF(修正!A45:A56,H57,修正!B45:B56)</f>
        <v>0</v>
      </c>
      <c r="J57" s="1112"/>
      <c r="K57" s="1144"/>
      <c r="L57" s="941"/>
      <c r="M57" s="941"/>
      <c r="N57" s="941"/>
      <c r="O57" s="941"/>
    </row>
    <row r="58" spans="1:15" s="692" customFormat="1">
      <c r="A58" s="693" t="s">
        <v>2758</v>
      </c>
      <c r="B58" s="262" t="e">
        <f t="shared" ref="B58:B65" si="17">ROUND($C$48*C58*D58,0)</f>
        <v>#DIV/0!</v>
      </c>
      <c r="C58" s="200">
        <f t="shared" si="16"/>
        <v>0</v>
      </c>
      <c r="D58" s="1164">
        <v>0.25</v>
      </c>
      <c r="E58" s="694"/>
      <c r="F58" s="1103" t="e">
        <f t="shared" si="15"/>
        <v>#DIV/0!</v>
      </c>
      <c r="G58" s="3293"/>
      <c r="H58" s="1104">
        <f>项目基本情况!B37</f>
        <v>0</v>
      </c>
      <c r="I58" s="1108">
        <f>SUMIF(修正!A45:A56,H58,修正!C45:C56)</f>
        <v>0</v>
      </c>
      <c r="J58" s="1112"/>
      <c r="K58" s="1145"/>
      <c r="L58" s="941"/>
      <c r="M58" s="941"/>
      <c r="N58" s="941"/>
      <c r="O58" s="941"/>
    </row>
    <row r="59" spans="1:15" s="692" customFormat="1">
      <c r="A59" s="693" t="s">
        <v>2759</v>
      </c>
      <c r="B59" s="262" t="e">
        <f t="shared" si="17"/>
        <v>#DIV/0!</v>
      </c>
      <c r="C59" s="200">
        <f t="shared" si="16"/>
        <v>0</v>
      </c>
      <c r="D59" s="1164">
        <v>0.25</v>
      </c>
      <c r="E59" s="694"/>
      <c r="F59" s="1103" t="e">
        <f t="shared" si="15"/>
        <v>#DIV/0!</v>
      </c>
      <c r="G59" s="3293"/>
      <c r="H59" s="1104">
        <f>项目基本情况!B37</f>
        <v>0</v>
      </c>
      <c r="I59" s="1108">
        <f>SUMIF(修正!A45:A56,H59,修正!D45:D56)</f>
        <v>0</v>
      </c>
      <c r="J59" s="1112"/>
      <c r="K59" s="1144"/>
      <c r="L59" s="941"/>
      <c r="M59" s="941"/>
      <c r="N59" s="941"/>
      <c r="O59" s="941"/>
    </row>
    <row r="60" spans="1:15" s="692" customFormat="1">
      <c r="A60" s="693" t="s">
        <v>2760</v>
      </c>
      <c r="B60" s="262" t="e">
        <f t="shared" si="17"/>
        <v>#DIV/0!</v>
      </c>
      <c r="C60" s="200">
        <f t="shared" si="16"/>
        <v>0</v>
      </c>
      <c r="D60" s="1164">
        <v>0.25</v>
      </c>
      <c r="E60" s="694"/>
      <c r="F60" s="1103" t="e">
        <f t="shared" si="15"/>
        <v>#DIV/0!</v>
      </c>
      <c r="G60" s="3293"/>
      <c r="H60" s="1104">
        <f>项目基本情况!B37</f>
        <v>0</v>
      </c>
      <c r="I60" s="1108">
        <f>SUMIF(修正!A45:A56,H60,修正!E45:E56)</f>
        <v>0</v>
      </c>
      <c r="J60" s="1112"/>
      <c r="K60" s="1145"/>
      <c r="L60" s="941"/>
      <c r="M60" s="941"/>
      <c r="N60" s="941"/>
      <c r="O60" s="941"/>
    </row>
    <row r="61" spans="1:15" s="692" customFormat="1">
      <c r="A61" s="693" t="s">
        <v>2761</v>
      </c>
      <c r="B61" s="262" t="e">
        <f t="shared" si="17"/>
        <v>#DIV/0!</v>
      </c>
      <c r="C61" s="200">
        <f t="shared" si="16"/>
        <v>0</v>
      </c>
      <c r="D61" s="1164">
        <v>0.25</v>
      </c>
      <c r="E61" s="261">
        <f>'数据-汇总表'!E11</f>
        <v>0</v>
      </c>
      <c r="F61" s="1103" t="e">
        <f t="shared" si="15"/>
        <v>#DIV/0!</v>
      </c>
      <c r="G61" s="2708" t="s">
        <v>2762</v>
      </c>
      <c r="H61" s="1104">
        <f>项目基本情况!C37</f>
        <v>0</v>
      </c>
      <c r="I61" s="1108">
        <f>SUMIF(修正!A45:A56,H61,修正!F45:F56)</f>
        <v>0</v>
      </c>
      <c r="J61" s="1112"/>
      <c r="K61" s="1144"/>
      <c r="L61" s="941"/>
      <c r="M61" s="941"/>
      <c r="N61" s="941"/>
      <c r="O61" s="941"/>
    </row>
    <row r="62" spans="1:15" s="692" customFormat="1">
      <c r="A62" s="693" t="s">
        <v>2763</v>
      </c>
      <c r="B62" s="262" t="e">
        <f t="shared" si="17"/>
        <v>#DIV/0!</v>
      </c>
      <c r="C62" s="200">
        <f t="shared" si="16"/>
        <v>0</v>
      </c>
      <c r="D62" s="1164">
        <v>0.25</v>
      </c>
      <c r="E62" s="261">
        <f>'数据-汇总表'!E12</f>
        <v>0</v>
      </c>
      <c r="F62" s="1103" t="e">
        <f t="shared" si="15"/>
        <v>#DIV/0!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2765</v>
      </c>
      <c r="B63" s="262" t="e">
        <f t="shared" si="17"/>
        <v>#DIV/0!</v>
      </c>
      <c r="C63" s="200">
        <f t="shared" si="16"/>
        <v>0</v>
      </c>
      <c r="D63" s="1164">
        <v>0.25</v>
      </c>
      <c r="E63" s="261">
        <f>'数据-汇总表'!E13</f>
        <v>0</v>
      </c>
      <c r="F63" s="1103" t="e">
        <f t="shared" si="15"/>
        <v>#DIV/0!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2767</v>
      </c>
      <c r="B64" s="262" t="e">
        <f t="shared" si="17"/>
        <v>#DIV/0!</v>
      </c>
      <c r="C64" s="200">
        <f t="shared" si="16"/>
        <v>0</v>
      </c>
      <c r="D64" s="1164">
        <v>0.25</v>
      </c>
      <c r="E64" s="261">
        <f>'数据-汇总表'!E14</f>
        <v>0</v>
      </c>
      <c r="F64" s="1103" t="e">
        <f t="shared" si="15"/>
        <v>#DIV/0!</v>
      </c>
      <c r="G64" s="2708" t="s">
        <v>2757</v>
      </c>
      <c r="H64" s="1104">
        <f>项目基本情况!B37</f>
        <v>0</v>
      </c>
      <c r="I64" s="1108">
        <f>SUMIF(修正!A45:A56,H64,修正!H45:H56)</f>
        <v>0</v>
      </c>
      <c r="J64" s="1112"/>
      <c r="K64" s="1145"/>
      <c r="L64" s="941"/>
      <c r="M64" s="941"/>
      <c r="N64" s="941"/>
      <c r="O64" s="941"/>
    </row>
    <row r="65" spans="1:17" s="692" customFormat="1" ht="15" thickBot="1">
      <c r="A65" s="693" t="s">
        <v>2768</v>
      </c>
      <c r="B65" s="262" t="e">
        <f t="shared" si="17"/>
        <v>#DIV/0!</v>
      </c>
      <c r="C65" s="200">
        <f t="shared" si="16"/>
        <v>0</v>
      </c>
      <c r="D65" s="1164">
        <v>0.25</v>
      </c>
      <c r="E65" s="261">
        <f>'数据-汇总表'!E15</f>
        <v>0</v>
      </c>
      <c r="F65" s="1103" t="e">
        <f t="shared" si="15"/>
        <v>#DIV/0!</v>
      </c>
      <c r="G65" s="2709" t="s">
        <v>2762</v>
      </c>
      <c r="H65" s="1114">
        <f>项目基本情况!C37</f>
        <v>0</v>
      </c>
      <c r="I65" s="1110">
        <f>SUMIF(修正!A45:A56,H65,修正!H45:H56)</f>
        <v>0</v>
      </c>
      <c r="J65" s="1113"/>
      <c r="K65" s="1144"/>
      <c r="L65" s="941"/>
      <c r="M65" s="941"/>
      <c r="N65" s="941"/>
      <c r="O65" s="941"/>
    </row>
    <row r="66" spans="1:17" s="692" customFormat="1" ht="13.5" thickBot="1">
      <c r="A66" s="695" t="s">
        <v>2769</v>
      </c>
      <c r="B66" s="696" t="s">
        <v>28</v>
      </c>
      <c r="C66" s="696" t="s">
        <v>29</v>
      </c>
      <c r="D66" s="696" t="s">
        <v>1025</v>
      </c>
      <c r="E66" s="696">
        <f>IF(B46="楼面地价",SUM(E56:E65),'数据-汇总表'!D3)</f>
        <v>333.1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2021-12-1</v>
      </c>
      <c r="D68" s="761">
        <f>EDATE(C68,-3)</f>
        <v>44440</v>
      </c>
      <c r="E68" s="761">
        <f>EDATE(D68,-3)</f>
        <v>44348</v>
      </c>
      <c r="F68" s="761">
        <f t="shared" ref="F68:O68" si="18">EDATE(E68,-3)</f>
        <v>44256</v>
      </c>
      <c r="G68" s="761">
        <f t="shared" si="18"/>
        <v>44166</v>
      </c>
      <c r="H68" s="761">
        <f t="shared" si="18"/>
        <v>44075</v>
      </c>
      <c r="I68" s="761">
        <f t="shared" si="18"/>
        <v>43983</v>
      </c>
      <c r="J68" s="761">
        <f t="shared" si="18"/>
        <v>43891</v>
      </c>
      <c r="K68" s="761">
        <f t="shared" si="18"/>
        <v>43800</v>
      </c>
      <c r="L68" s="761">
        <f t="shared" si="18"/>
        <v>43709</v>
      </c>
      <c r="M68" s="761">
        <f t="shared" si="18"/>
        <v>43617</v>
      </c>
      <c r="N68" s="761">
        <f t="shared" si="18"/>
        <v>43525</v>
      </c>
      <c r="O68" s="761">
        <f t="shared" si="18"/>
        <v>43435</v>
      </c>
    </row>
    <row r="69" spans="1:17" ht="21.75" thickBot="1">
      <c r="A69" s="763" t="s">
        <v>2662</v>
      </c>
      <c r="B69" s="759"/>
      <c r="C69" s="764"/>
      <c r="D69" s="764"/>
      <c r="E69" s="764"/>
      <c r="F69" s="765"/>
      <c r="G69" s="765"/>
      <c r="H69" s="764"/>
      <c r="I69" s="764"/>
      <c r="J69" s="1159"/>
      <c r="K69" s="1160"/>
      <c r="L69" s="1161"/>
      <c r="M69" s="1159"/>
      <c r="N69" s="1159"/>
      <c r="O69" s="1159"/>
      <c r="P69" s="503"/>
      <c r="Q69" s="504"/>
    </row>
    <row r="70" spans="1:17" s="508" customFormat="1" ht="15">
      <c r="A70" s="2710" t="s">
        <v>2770</v>
      </c>
      <c r="B70" s="1359"/>
      <c r="C70" s="1572" t="str">
        <f>YEAR(C68)&amp;"-"&amp;ROUNDUP(MONTH(C68)/3,0)</f>
        <v>2021-4</v>
      </c>
      <c r="D70" s="1572" t="str">
        <f>YEAR(D68)&amp;"-"&amp;ROUNDUP(MONTH(D68)/3,0)</f>
        <v>2021-3</v>
      </c>
      <c r="E70" s="1572" t="str">
        <f t="shared" ref="E70:O70" si="19">YEAR(E68)&amp;"-"&amp;ROUNDUP(MONTH(E68)/3,0)</f>
        <v>2021-2</v>
      </c>
      <c r="F70" s="1572" t="str">
        <f t="shared" si="19"/>
        <v>2021-1</v>
      </c>
      <c r="G70" s="1572" t="str">
        <f t="shared" si="19"/>
        <v>2020-4</v>
      </c>
      <c r="H70" s="1572" t="str">
        <f t="shared" si="19"/>
        <v>2020-3</v>
      </c>
      <c r="I70" s="1572" t="str">
        <f t="shared" si="19"/>
        <v>2020-2</v>
      </c>
      <c r="J70" s="1572" t="str">
        <f t="shared" si="19"/>
        <v>2020-1</v>
      </c>
      <c r="K70" s="1572" t="str">
        <f t="shared" si="19"/>
        <v>2019-4</v>
      </c>
      <c r="L70" s="1572" t="str">
        <f t="shared" si="19"/>
        <v>2019-3</v>
      </c>
      <c r="M70" s="1572" t="str">
        <f t="shared" si="19"/>
        <v>2019-2</v>
      </c>
      <c r="N70" s="1572" t="str">
        <f t="shared" si="19"/>
        <v>2019-1</v>
      </c>
      <c r="O70" s="1572" t="str">
        <f t="shared" si="19"/>
        <v>2018-4</v>
      </c>
      <c r="P70" s="507"/>
    </row>
    <row r="71" spans="1:17" s="117" customFormat="1" ht="30" customHeight="1">
      <c r="A71" s="2711" t="s">
        <v>2771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2573</v>
      </c>
      <c r="B72" s="516"/>
      <c r="C72" s="517"/>
      <c r="D72" s="518"/>
      <c r="E72" s="518"/>
      <c r="F72" s="518"/>
      <c r="G72" s="518"/>
      <c r="H72" s="518"/>
      <c r="I72" s="518"/>
      <c r="J72" s="518"/>
      <c r="K72" s="518"/>
      <c r="L72" s="518"/>
      <c r="M72" s="519"/>
      <c r="N72" s="518"/>
      <c r="O72" s="1162"/>
      <c r="P72" s="504"/>
      <c r="Q72" s="504"/>
    </row>
    <row r="73" spans="1:17" s="117" customFormat="1" ht="15">
      <c r="A73" s="521" t="s">
        <v>2538</v>
      </c>
      <c r="B73" s="510"/>
      <c r="C73" s="522" t="s">
        <v>2640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2576</v>
      </c>
      <c r="B75" s="528" t="s">
        <v>2542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94" t="s">
        <v>2785</v>
      </c>
      <c r="D6" s="3295"/>
      <c r="E6" s="3296" t="s">
        <v>2785</v>
      </c>
      <c r="F6" s="3297"/>
      <c r="G6" s="3294" t="s">
        <v>2785</v>
      </c>
      <c r="H6" s="3295"/>
      <c r="I6" s="3294" t="s">
        <v>2785</v>
      </c>
      <c r="J6" s="3295"/>
      <c r="K6" s="610"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44552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1" t="s">
        <v>2537</v>
      </c>
      <c r="Q7" s="3223"/>
      <c r="R7" s="770" t="s">
        <v>17</v>
      </c>
      <c r="S7" s="771">
        <f t="shared" ref="S7:S15" si="0">F7</f>
        <v>0</v>
      </c>
      <c r="T7" s="770" t="s">
        <v>17</v>
      </c>
      <c r="U7" s="771">
        <f t="shared" ref="U7:U15" si="1">H7</f>
        <v>0</v>
      </c>
      <c r="V7" s="770" t="s">
        <v>17</v>
      </c>
      <c r="W7" s="771">
        <f t="shared" ref="W7:W15" si="2">J7</f>
        <v>0</v>
      </c>
      <c r="X7" s="772"/>
      <c r="Y7" s="3211" t="s">
        <v>2537</v>
      </c>
      <c r="Z7" s="3210"/>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40" si="3">D8/F8</f>
        <v>#DIV/0!</v>
      </c>
      <c r="AB8" s="773" t="e">
        <f t="shared" ref="AB8:AB40" si="4">D8/H8</f>
        <v>#DIV/0!</v>
      </c>
      <c r="AC8" s="773" t="e">
        <f t="shared" ref="AC8:AC40" si="5">D8/J8</f>
        <v>#DIV/0!</v>
      </c>
    </row>
    <row r="9" spans="1:29" s="117" customFormat="1">
      <c r="A9" s="415" t="s">
        <v>2541</v>
      </c>
      <c r="B9" s="71" t="s">
        <v>2542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5"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111</v>
      </c>
      <c r="G10" s="432"/>
      <c r="H10" s="136">
        <f>ROUND(100/'数据-取费表'!G16,0)</f>
        <v>111</v>
      </c>
      <c r="I10" s="432"/>
      <c r="J10" s="136">
        <f>ROUND(100/'数据-取费表'!G16,0)</f>
        <v>111</v>
      </c>
      <c r="K10" s="672"/>
      <c r="L10" s="1135"/>
      <c r="M10" s="1136"/>
      <c r="N10" s="1136"/>
      <c r="O10" s="1137"/>
      <c r="P10" s="3195"/>
      <c r="Q10" s="1794" t="str">
        <f t="shared" si="6"/>
        <v>土地使用年限（年）</v>
      </c>
      <c r="R10" s="770" t="s">
        <v>17</v>
      </c>
      <c r="S10" s="771">
        <f t="shared" si="0"/>
        <v>111</v>
      </c>
      <c r="T10" s="770" t="s">
        <v>17</v>
      </c>
      <c r="U10" s="771">
        <f t="shared" si="1"/>
        <v>111</v>
      </c>
      <c r="V10" s="770" t="s">
        <v>17</v>
      </c>
      <c r="W10" s="771">
        <f t="shared" si="2"/>
        <v>111</v>
      </c>
      <c r="X10" s="772"/>
      <c r="Y10" s="3049"/>
      <c r="Z10" s="55" t="str">
        <f t="shared" si="7"/>
        <v>土地使用年限（年）</v>
      </c>
      <c r="AA10" s="773">
        <f t="shared" si="3"/>
        <v>0.90090090090090091</v>
      </c>
      <c r="AB10" s="773">
        <f t="shared" si="4"/>
        <v>0.90090090090090091</v>
      </c>
      <c r="AC10" s="773">
        <f t="shared" si="5"/>
        <v>0.90090090090090091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5"/>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5"/>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5"/>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2547</v>
      </c>
      <c r="B15" s="629" t="s">
        <v>2786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2" t="s">
        <v>2548</v>
      </c>
      <c r="Q15" s="1809" t="str">
        <f t="shared" si="6"/>
        <v>产业集聚程度</v>
      </c>
      <c r="R15" s="774" t="s">
        <v>17</v>
      </c>
      <c r="S15" s="775">
        <f t="shared" si="0"/>
        <v>100</v>
      </c>
      <c r="T15" s="774" t="s">
        <v>17</v>
      </c>
      <c r="U15" s="775">
        <f t="shared" si="1"/>
        <v>100</v>
      </c>
      <c r="V15" s="774" t="s">
        <v>17</v>
      </c>
      <c r="W15" s="775">
        <f t="shared" si="2"/>
        <v>100</v>
      </c>
      <c r="X15" s="1812"/>
      <c r="Y15" s="3202" t="s">
        <v>2548</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03"/>
      <c r="Q16" s="1809"/>
      <c r="R16" s="774"/>
      <c r="S16" s="775"/>
      <c r="T16" s="774"/>
      <c r="U16" s="775"/>
      <c r="V16" s="774"/>
      <c r="W16" s="775"/>
      <c r="X16" s="1812"/>
      <c r="Y16" s="3203"/>
      <c r="Z16" s="1813"/>
      <c r="AA16" s="1810">
        <v>1</v>
      </c>
      <c r="AB16" s="1810">
        <v>1</v>
      </c>
      <c r="AC16" s="1810">
        <v>1</v>
      </c>
    </row>
    <row r="17" spans="1:29" ht="85.5">
      <c r="A17" s="428"/>
      <c r="B17" s="631" t="s">
        <v>2697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3"/>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03"/>
      <c r="Q18" s="1809"/>
      <c r="R18" s="774"/>
      <c r="S18" s="775"/>
      <c r="T18" s="774"/>
      <c r="U18" s="775"/>
      <c r="V18" s="774"/>
      <c r="W18" s="775"/>
      <c r="X18" s="1812"/>
      <c r="Y18" s="3203"/>
      <c r="Z18" s="1813"/>
      <c r="AA18" s="1810">
        <v>1</v>
      </c>
      <c r="AB18" s="1810">
        <v>1</v>
      </c>
      <c r="AC18" s="1810">
        <v>1</v>
      </c>
    </row>
    <row r="19" spans="1:29" ht="15">
      <c r="A19" s="428"/>
      <c r="B19" s="631" t="s">
        <v>2736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3"/>
      <c r="Q19" s="1809" t="str">
        <f t="shared" ref="Q19:Q33" si="8">B19</f>
        <v>区域土地利用方向</v>
      </c>
      <c r="R19" s="774" t="s">
        <v>17</v>
      </c>
      <c r="S19" s="775">
        <f>F19</f>
        <v>100</v>
      </c>
      <c r="T19" s="774" t="s">
        <v>17</v>
      </c>
      <c r="U19" s="775">
        <f>H19</f>
        <v>100</v>
      </c>
      <c r="V19" s="774" t="s">
        <v>17</v>
      </c>
      <c r="W19" s="775">
        <f>J19</f>
        <v>100</v>
      </c>
      <c r="X19" s="1812"/>
      <c r="Y19" s="3203"/>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03"/>
      <c r="Q20" s="1809"/>
      <c r="R20" s="774"/>
      <c r="S20" s="775"/>
      <c r="T20" s="774"/>
      <c r="U20" s="775"/>
      <c r="V20" s="774"/>
      <c r="W20" s="775"/>
      <c r="X20" s="1812"/>
      <c r="Y20" s="3203"/>
      <c r="Z20" s="1813"/>
      <c r="AA20" s="1810"/>
      <c r="AB20" s="1810"/>
      <c r="AC20" s="1810"/>
    </row>
    <row r="21" spans="1:29" ht="71.25">
      <c r="A21" s="404"/>
      <c r="B21" s="631" t="s">
        <v>2787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3"/>
      <c r="Q21" s="1809" t="str">
        <f t="shared" si="8"/>
        <v>环境状况</v>
      </c>
      <c r="R21" s="774" t="s">
        <v>17</v>
      </c>
      <c r="S21" s="775">
        <f>F21</f>
        <v>100</v>
      </c>
      <c r="T21" s="774" t="s">
        <v>17</v>
      </c>
      <c r="U21" s="775">
        <f>H21</f>
        <v>100</v>
      </c>
      <c r="V21" s="774" t="s">
        <v>17</v>
      </c>
      <c r="W21" s="775">
        <f>J21</f>
        <v>100</v>
      </c>
      <c r="X21" s="1812"/>
      <c r="Y21" s="3203"/>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03"/>
      <c r="Q22" s="1809"/>
      <c r="R22" s="774"/>
      <c r="S22" s="775"/>
      <c r="T22" s="774"/>
      <c r="U22" s="775"/>
      <c r="V22" s="774"/>
      <c r="W22" s="775"/>
      <c r="X22" s="1812"/>
      <c r="Y22" s="3203"/>
      <c r="Z22" s="1813"/>
      <c r="AA22" s="1810">
        <v>1</v>
      </c>
      <c r="AB22" s="1810">
        <v>1</v>
      </c>
      <c r="AC22" s="1810">
        <v>1</v>
      </c>
    </row>
    <row r="23" spans="1:29" s="117" customFormat="1" ht="42.75">
      <c r="A23" s="649"/>
      <c r="B23" s="633" t="s">
        <v>2642</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3"/>
      <c r="Q23" s="1794" t="str">
        <f t="shared" si="8"/>
        <v>公共配套设施</v>
      </c>
      <c r="R23" s="770" t="s">
        <v>17</v>
      </c>
      <c r="S23" s="771">
        <f>F23</f>
        <v>100</v>
      </c>
      <c r="T23" s="770" t="s">
        <v>17</v>
      </c>
      <c r="U23" s="771">
        <f>H23</f>
        <v>100</v>
      </c>
      <c r="V23" s="770" t="s">
        <v>17</v>
      </c>
      <c r="W23" s="771">
        <f>J23</f>
        <v>100</v>
      </c>
      <c r="X23" s="772"/>
      <c r="Y23" s="3203"/>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03"/>
      <c r="Q24" s="1794"/>
      <c r="R24" s="770"/>
      <c r="S24" s="771"/>
      <c r="T24" s="770"/>
      <c r="U24" s="771"/>
      <c r="V24" s="770"/>
      <c r="W24" s="771"/>
      <c r="X24" s="772"/>
      <c r="Y24" s="3203"/>
      <c r="Z24" s="55"/>
      <c r="AA24" s="773">
        <v>1</v>
      </c>
      <c r="AB24" s="773">
        <v>1</v>
      </c>
      <c r="AC24" s="773">
        <v>1</v>
      </c>
    </row>
    <row r="25" spans="1:29" s="117" customFormat="1" ht="28.5">
      <c r="A25" s="649"/>
      <c r="B25" s="633" t="s">
        <v>2643</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3"/>
      <c r="Q25" s="1794"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03"/>
      <c r="Q26" s="1794"/>
      <c r="R26" s="770"/>
      <c r="S26" s="771"/>
      <c r="T26" s="770"/>
      <c r="U26" s="771"/>
      <c r="V26" s="770"/>
      <c r="W26" s="771"/>
      <c r="X26" s="772"/>
      <c r="Y26" s="3203"/>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3"/>
      <c r="Z27" s="1813" t="str">
        <f t="shared" ref="Z27:Z40" si="13">Q27</f>
        <v>临街状况</v>
      </c>
      <c r="AA27" s="1810">
        <f t="shared" si="3"/>
        <v>1</v>
      </c>
      <c r="AB27" s="1810">
        <f t="shared" si="4"/>
        <v>1</v>
      </c>
      <c r="AC27" s="1810">
        <f t="shared" si="5"/>
        <v>1</v>
      </c>
    </row>
    <row r="28" spans="1:29" ht="27">
      <c r="A28" s="428"/>
      <c r="B28" s="633" t="s">
        <v>2679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3"/>
      <c r="Q28" s="1809" t="str">
        <f t="shared" si="8"/>
        <v>毗邻道路的类型与等级</v>
      </c>
      <c r="R28" s="774" t="s">
        <v>17</v>
      </c>
      <c r="S28" s="775">
        <f t="shared" si="10"/>
        <v>100</v>
      </c>
      <c r="T28" s="774" t="s">
        <v>17</v>
      </c>
      <c r="U28" s="775">
        <f t="shared" si="11"/>
        <v>100</v>
      </c>
      <c r="V28" s="774" t="s">
        <v>17</v>
      </c>
      <c r="W28" s="775">
        <f t="shared" si="12"/>
        <v>100</v>
      </c>
      <c r="X28" s="1812"/>
      <c r="Y28" s="3203"/>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03"/>
      <c r="Q29" s="1809"/>
      <c r="R29" s="774"/>
      <c r="S29" s="775"/>
      <c r="T29" s="774"/>
      <c r="U29" s="775"/>
      <c r="V29" s="774"/>
      <c r="W29" s="775"/>
      <c r="X29" s="1812"/>
      <c r="Y29" s="3203"/>
      <c r="Z29" s="1813"/>
      <c r="AA29" s="1810">
        <v>1</v>
      </c>
      <c r="AB29" s="1810">
        <v>1</v>
      </c>
      <c r="AC29" s="1810">
        <v>1</v>
      </c>
    </row>
    <row r="30" spans="1:29" ht="15">
      <c r="A30" s="428"/>
      <c r="B30" s="654" t="s">
        <v>2738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3"/>
      <c r="Q30" s="1809" t="str">
        <f t="shared" si="8"/>
        <v>土地级别</v>
      </c>
      <c r="R30" s="774" t="s">
        <v>17</v>
      </c>
      <c r="S30" s="775">
        <f t="shared" si="10"/>
        <v>100</v>
      </c>
      <c r="T30" s="774" t="s">
        <v>17</v>
      </c>
      <c r="U30" s="775">
        <f t="shared" si="11"/>
        <v>100</v>
      </c>
      <c r="V30" s="774" t="s">
        <v>17</v>
      </c>
      <c r="W30" s="775">
        <f t="shared" si="12"/>
        <v>100</v>
      </c>
      <c r="X30" s="1812"/>
      <c r="Y30" s="3203"/>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3"/>
      <c r="Q31" s="1809">
        <f t="shared" si="8"/>
        <v>111</v>
      </c>
      <c r="R31" s="774" t="s">
        <v>17</v>
      </c>
      <c r="S31" s="775">
        <f t="shared" si="10"/>
        <v>100</v>
      </c>
      <c r="T31" s="774" t="s">
        <v>17</v>
      </c>
      <c r="U31" s="775">
        <f t="shared" si="11"/>
        <v>100</v>
      </c>
      <c r="V31" s="774" t="s">
        <v>17</v>
      </c>
      <c r="W31" s="775">
        <f t="shared" si="12"/>
        <v>100</v>
      </c>
      <c r="X31" s="1812"/>
      <c r="Y31" s="3203"/>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9" t="s">
        <v>2553</v>
      </c>
      <c r="Q32" s="1809">
        <f t="shared" si="8"/>
        <v>111</v>
      </c>
      <c r="R32" s="774" t="s">
        <v>17</v>
      </c>
      <c r="S32" s="775">
        <f t="shared" si="10"/>
        <v>100</v>
      </c>
      <c r="T32" s="774" t="s">
        <v>17</v>
      </c>
      <c r="U32" s="775">
        <f t="shared" si="11"/>
        <v>100</v>
      </c>
      <c r="V32" s="774" t="s">
        <v>17</v>
      </c>
      <c r="W32" s="775">
        <f t="shared" si="12"/>
        <v>100</v>
      </c>
      <c r="X32" s="1812"/>
      <c r="Y32" s="3207" t="s">
        <v>2553</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7"/>
      <c r="Q33" s="1809">
        <f t="shared" si="8"/>
        <v>111</v>
      </c>
      <c r="R33" s="777" t="s">
        <v>17</v>
      </c>
      <c r="S33" s="778">
        <f t="shared" si="10"/>
        <v>100</v>
      </c>
      <c r="T33" s="777" t="s">
        <v>17</v>
      </c>
      <c r="U33" s="778">
        <f t="shared" si="11"/>
        <v>100</v>
      </c>
      <c r="V33" s="777" t="s">
        <v>17</v>
      </c>
      <c r="W33" s="778">
        <f t="shared" si="12"/>
        <v>100</v>
      </c>
      <c r="X33" s="779"/>
      <c r="Y33" s="3207"/>
      <c r="Z33" s="780">
        <f t="shared" si="13"/>
        <v>111</v>
      </c>
      <c r="AA33" s="1810">
        <f t="shared" si="3"/>
        <v>1</v>
      </c>
      <c r="AB33" s="1810">
        <f t="shared" si="4"/>
        <v>1</v>
      </c>
      <c r="AC33" s="1810">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7"/>
      <c r="Q34" s="1809" t="str">
        <f>B34</f>
        <v>宗地面积</v>
      </c>
      <c r="R34" s="774" t="s">
        <v>17</v>
      </c>
      <c r="S34" s="775" t="e">
        <f t="shared" si="10"/>
        <v>#N/A</v>
      </c>
      <c r="T34" s="774" t="s">
        <v>17</v>
      </c>
      <c r="U34" s="775" t="e">
        <f t="shared" si="11"/>
        <v>#N/A</v>
      </c>
      <c r="V34" s="774" t="s">
        <v>17</v>
      </c>
      <c r="W34" s="775" t="e">
        <f t="shared" si="12"/>
        <v>#N/A</v>
      </c>
      <c r="X34" s="1812"/>
      <c r="Y34" s="3207"/>
      <c r="Z34" s="1813" t="str">
        <f t="shared" si="13"/>
        <v>宗地面积</v>
      </c>
      <c r="AA34" s="1810" t="e">
        <f t="shared" si="3"/>
        <v>#N/A</v>
      </c>
      <c r="AB34" s="1810" t="e">
        <f t="shared" si="4"/>
        <v>#N/A</v>
      </c>
      <c r="AC34" s="1810" t="e">
        <f t="shared" si="5"/>
        <v>#N/A</v>
      </c>
    </row>
    <row r="35" spans="1:29" ht="15">
      <c r="A35" s="472"/>
      <c r="B35" s="422" t="s">
        <v>2740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07"/>
      <c r="Q35" s="1809" t="str">
        <f t="shared" ref="Q35:Q40" si="14">B35</f>
        <v>宗地形状</v>
      </c>
      <c r="R35" s="774" t="s">
        <v>17</v>
      </c>
      <c r="S35" s="775">
        <f t="shared" si="10"/>
        <v>100</v>
      </c>
      <c r="T35" s="774" t="s">
        <v>17</v>
      </c>
      <c r="U35" s="775">
        <f t="shared" si="11"/>
        <v>100</v>
      </c>
      <c r="V35" s="774" t="s">
        <v>17</v>
      </c>
      <c r="W35" s="775">
        <f t="shared" si="12"/>
        <v>100</v>
      </c>
      <c r="X35" s="1812"/>
      <c r="Y35" s="3207"/>
      <c r="Z35" s="1813" t="str">
        <f t="shared" si="13"/>
        <v>宗地形状</v>
      </c>
      <c r="AA35" s="1810">
        <f t="shared" si="3"/>
        <v>1</v>
      </c>
      <c r="AB35" s="1810">
        <f t="shared" si="4"/>
        <v>1</v>
      </c>
      <c r="AC35" s="1810">
        <f t="shared" si="5"/>
        <v>1</v>
      </c>
    </row>
    <row r="36" spans="1:29" s="117" customFormat="1" ht="15">
      <c r="A36" s="473"/>
      <c r="B36" s="422" t="s">
        <v>2742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07"/>
      <c r="Q36" s="1809"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2743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07" t="s">
        <v>2553</v>
      </c>
      <c r="Q37" s="1809" t="str">
        <f t="shared" si="14"/>
        <v>工程地质条件</v>
      </c>
      <c r="R37" s="774" t="s">
        <v>17</v>
      </c>
      <c r="S37" s="775">
        <f t="shared" si="10"/>
        <v>100</v>
      </c>
      <c r="T37" s="774" t="s">
        <v>17</v>
      </c>
      <c r="U37" s="775">
        <f t="shared" si="11"/>
        <v>100</v>
      </c>
      <c r="V37" s="774" t="s">
        <v>17</v>
      </c>
      <c r="W37" s="775">
        <f t="shared" si="12"/>
        <v>100</v>
      </c>
      <c r="X37" s="1812"/>
      <c r="Y37" s="3207" t="s">
        <v>2553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7"/>
      <c r="Q38" s="1809">
        <f t="shared" si="14"/>
        <v>111</v>
      </c>
      <c r="R38" s="774" t="s">
        <v>17</v>
      </c>
      <c r="S38" s="775">
        <f t="shared" si="10"/>
        <v>100</v>
      </c>
      <c r="T38" s="774" t="s">
        <v>17</v>
      </c>
      <c r="U38" s="775">
        <f t="shared" si="11"/>
        <v>100</v>
      </c>
      <c r="V38" s="774" t="s">
        <v>17</v>
      </c>
      <c r="W38" s="775">
        <f t="shared" si="12"/>
        <v>100</v>
      </c>
      <c r="X38" s="1812"/>
      <c r="Y38" s="320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7"/>
      <c r="Q39" s="1809">
        <f t="shared" si="14"/>
        <v>111</v>
      </c>
      <c r="R39" s="774" t="s">
        <v>17</v>
      </c>
      <c r="S39" s="775">
        <f t="shared" si="10"/>
        <v>100</v>
      </c>
      <c r="T39" s="774" t="s">
        <v>17</v>
      </c>
      <c r="U39" s="775">
        <f t="shared" si="11"/>
        <v>100</v>
      </c>
      <c r="V39" s="774" t="s">
        <v>17</v>
      </c>
      <c r="W39" s="775">
        <f t="shared" si="12"/>
        <v>100</v>
      </c>
      <c r="X39" s="1812"/>
      <c r="Y39" s="3207"/>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7"/>
      <c r="Q40" s="1809">
        <f t="shared" si="14"/>
        <v>111</v>
      </c>
      <c r="R40" s="777" t="s">
        <v>17</v>
      </c>
      <c r="S40" s="778">
        <f t="shared" si="10"/>
        <v>100</v>
      </c>
      <c r="T40" s="777" t="s">
        <v>17</v>
      </c>
      <c r="U40" s="778">
        <f t="shared" si="11"/>
        <v>100</v>
      </c>
      <c r="V40" s="777" t="s">
        <v>17</v>
      </c>
      <c r="W40" s="778">
        <f t="shared" si="12"/>
        <v>100</v>
      </c>
      <c r="X40" s="779"/>
      <c r="Y40" s="3207"/>
      <c r="Z40" s="780">
        <f t="shared" si="13"/>
        <v>111</v>
      </c>
      <c r="AA40" s="1810">
        <f t="shared" si="3"/>
        <v>1</v>
      </c>
      <c r="AB40" s="1810">
        <f t="shared" si="4"/>
        <v>1</v>
      </c>
      <c r="AC40" s="1810">
        <f t="shared" si="5"/>
        <v>1</v>
      </c>
    </row>
    <row r="41" spans="1:29" ht="15">
      <c r="A41" s="479" t="s">
        <v>2708</v>
      </c>
      <c r="B41" s="2703" t="s">
        <v>2788</v>
      </c>
      <c r="C41" s="682" t="s">
        <v>1</v>
      </c>
      <c r="D41" s="481"/>
      <c r="E41" s="482"/>
      <c r="F41" s="483"/>
      <c r="G41" s="484"/>
      <c r="H41" s="485"/>
      <c r="I41" s="482"/>
      <c r="J41" s="485"/>
      <c r="K41" s="783"/>
      <c r="L41" s="1143"/>
      <c r="M41" s="1131"/>
      <c r="N41" s="1131"/>
      <c r="O41" s="1144"/>
      <c r="P41" s="3195" t="str">
        <f>A41</f>
        <v>成交单价</v>
      </c>
      <c r="Q41" s="3195"/>
      <c r="R41" s="3213">
        <f>E41</f>
        <v>0</v>
      </c>
      <c r="S41" s="3213"/>
      <c r="T41" s="3213">
        <f>G41</f>
        <v>0</v>
      </c>
      <c r="U41" s="3213"/>
      <c r="V41" s="3213">
        <f>I41</f>
        <v>0</v>
      </c>
      <c r="W41" s="3213"/>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3"/>
      <c r="M42" s="1131"/>
      <c r="N42" s="1131"/>
      <c r="O42" s="1144"/>
      <c r="P42" s="3195" t="str">
        <f>A42</f>
        <v>比较价值（元/平方米）</v>
      </c>
      <c r="Q42" s="3195"/>
      <c r="R42" s="3290" t="e">
        <f>ROUND(PRODUCT(R41,AA7:AA40),0)</f>
        <v>#DIV/0!</v>
      </c>
      <c r="S42" s="3290"/>
      <c r="T42" s="3290" t="e">
        <f>ROUND(PRODUCT(T41,AB7:AB40),0)</f>
        <v>#DIV/0!</v>
      </c>
      <c r="U42" s="3290"/>
      <c r="V42" s="3290" t="e">
        <f>ROUND(PRODUCT(V41,AC7:AC40),0)</f>
        <v>#DIV/0!</v>
      </c>
      <c r="W42" s="3290"/>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3"/>
      <c r="M43" s="1131"/>
      <c r="N43" s="1131"/>
      <c r="O43" s="1144"/>
      <c r="P43" s="3274" t="str">
        <f>A43</f>
        <v>估价对象XX用房的比较价值（楼面单价，元/平方米）</v>
      </c>
      <c r="Q43" s="3275"/>
      <c r="R43" s="3291" t="e">
        <f>ROUND(AVERAGE(R42:V42),0)</f>
        <v>#DIV/0!</v>
      </c>
      <c r="S43" s="3291"/>
      <c r="T43" s="3291"/>
      <c r="U43" s="3291"/>
      <c r="V43" s="3291"/>
      <c r="W43" s="329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2746</v>
      </c>
      <c r="B50" s="685" t="s">
        <v>2747</v>
      </c>
      <c r="C50" s="2704" t="s">
        <v>2748</v>
      </c>
      <c r="D50" s="2705" t="s">
        <v>2749</v>
      </c>
      <c r="E50" s="686" t="s">
        <v>2750</v>
      </c>
      <c r="F50" s="687" t="s">
        <v>2751</v>
      </c>
      <c r="G50" s="3227" t="s">
        <v>2752</v>
      </c>
      <c r="H50" s="3292"/>
      <c r="I50" s="1813" t="s">
        <v>2789</v>
      </c>
      <c r="J50" s="1813">
        <f>项目基本情况!F35</f>
        <v>0</v>
      </c>
      <c r="K50" s="2707" t="s">
        <v>2754</v>
      </c>
      <c r="L50" s="1106"/>
      <c r="M50" s="1144"/>
      <c r="N50" s="1144"/>
      <c r="O50" s="1144"/>
    </row>
    <row r="51" spans="1:17" s="692" customFormat="1">
      <c r="A51" s="688" t="s">
        <v>2755</v>
      </c>
      <c r="B51" s="689" t="e">
        <f>C43</f>
        <v>#DIV/0!</v>
      </c>
      <c r="C51" s="690">
        <v>1</v>
      </c>
      <c r="D51" s="1163">
        <v>1</v>
      </c>
      <c r="E51" s="690">
        <f>'数据-汇总表'!E8+'数据-汇总表'!E9</f>
        <v>333.1</v>
      </c>
      <c r="F51" s="691" t="e">
        <f t="shared" ref="F51:F60" si="15">ROUND(B51*E51/10000,0)</f>
        <v>#DIV/0!</v>
      </c>
      <c r="G51" s="3194"/>
      <c r="H51" s="3195"/>
      <c r="I51" s="942">
        <v>1</v>
      </c>
      <c r="J51" s="942">
        <v>1</v>
      </c>
      <c r="K51" s="1145"/>
      <c r="L51" s="941"/>
      <c r="M51" s="941"/>
      <c r="N51" s="941"/>
      <c r="O51" s="941"/>
    </row>
    <row r="52" spans="1:17" s="692" customFormat="1">
      <c r="A52" s="693" t="s">
        <v>2756</v>
      </c>
      <c r="B52" s="262" t="e">
        <f>ROUND($C$43*C52*D52,0)</f>
        <v>#DIV/0!</v>
      </c>
      <c r="C52" s="200">
        <f t="shared" ref="C52:C60" si="16">IF($C$50="北京市系数",I52,J52)</f>
        <v>0</v>
      </c>
      <c r="D52" s="1164">
        <v>0.25</v>
      </c>
      <c r="E52" s="694"/>
      <c r="F52" s="691" t="e">
        <f t="shared" si="15"/>
        <v>#DIV/0!</v>
      </c>
      <c r="G52" s="3293" t="s">
        <v>2757</v>
      </c>
      <c r="H52" s="1104">
        <f>项目基本情况!B37</f>
        <v>0</v>
      </c>
      <c r="I52" s="942">
        <f>SUMIF(修正!A45:A56,H52,修正!B45:B56)</f>
        <v>0</v>
      </c>
      <c r="J52" s="943"/>
      <c r="K52" s="1144"/>
      <c r="L52" s="941"/>
      <c r="M52" s="941"/>
      <c r="N52" s="941"/>
      <c r="O52" s="941"/>
    </row>
    <row r="53" spans="1:17" s="692" customFormat="1">
      <c r="A53" s="693" t="s">
        <v>2758</v>
      </c>
      <c r="B53" s="262" t="e">
        <f t="shared" ref="B53:B60" si="17">ROUND($C$43*C53*D53,0)</f>
        <v>#DIV/0!</v>
      </c>
      <c r="C53" s="200">
        <f t="shared" si="16"/>
        <v>0</v>
      </c>
      <c r="D53" s="1164">
        <v>0.25</v>
      </c>
      <c r="E53" s="694"/>
      <c r="F53" s="691" t="e">
        <f t="shared" si="15"/>
        <v>#DIV/0!</v>
      </c>
      <c r="G53" s="3293"/>
      <c r="H53" s="1104">
        <f>项目基本情况!B37</f>
        <v>0</v>
      </c>
      <c r="I53" s="942">
        <f>SUMIF(修正!A45:A56,H53,修正!C45:C56)</f>
        <v>0</v>
      </c>
      <c r="J53" s="943"/>
      <c r="K53" s="1145"/>
      <c r="L53" s="941"/>
      <c r="M53" s="941"/>
      <c r="N53" s="941"/>
      <c r="O53" s="941"/>
    </row>
    <row r="54" spans="1:17" s="692" customFormat="1">
      <c r="A54" s="693" t="s">
        <v>2759</v>
      </c>
      <c r="B54" s="262" t="e">
        <f t="shared" si="17"/>
        <v>#DIV/0!</v>
      </c>
      <c r="C54" s="200">
        <f t="shared" si="16"/>
        <v>0</v>
      </c>
      <c r="D54" s="1164">
        <v>0.25</v>
      </c>
      <c r="E54" s="694"/>
      <c r="F54" s="691" t="e">
        <f t="shared" si="15"/>
        <v>#DIV/0!</v>
      </c>
      <c r="G54" s="3293"/>
      <c r="H54" s="1104">
        <f>项目基本情况!B37</f>
        <v>0</v>
      </c>
      <c r="I54" s="942">
        <f>SUMIF(修正!A45:A56,H54,修正!D45:D56)</f>
        <v>0</v>
      </c>
      <c r="J54" s="943"/>
      <c r="K54" s="1144"/>
      <c r="L54" s="941"/>
      <c r="M54" s="941"/>
      <c r="N54" s="941"/>
      <c r="O54" s="941"/>
    </row>
    <row r="55" spans="1:17" s="692" customFormat="1">
      <c r="A55" s="693" t="s">
        <v>2760</v>
      </c>
      <c r="B55" s="262" t="e">
        <f t="shared" si="17"/>
        <v>#DIV/0!</v>
      </c>
      <c r="C55" s="200">
        <f t="shared" si="16"/>
        <v>0</v>
      </c>
      <c r="D55" s="1164">
        <v>0.25</v>
      </c>
      <c r="E55" s="694"/>
      <c r="F55" s="691" t="e">
        <f t="shared" si="15"/>
        <v>#DIV/0!</v>
      </c>
      <c r="G55" s="3293"/>
      <c r="H55" s="1104">
        <f>项目基本情况!B37</f>
        <v>0</v>
      </c>
      <c r="I55" s="942">
        <f>SUMIF(修正!A45:A56,H55,修正!E45:E56)</f>
        <v>0</v>
      </c>
      <c r="J55" s="943"/>
      <c r="K55" s="1145"/>
      <c r="L55" s="941"/>
      <c r="M55" s="941"/>
      <c r="N55" s="941"/>
      <c r="O55" s="941"/>
    </row>
    <row r="56" spans="1:17" s="692" customFormat="1">
      <c r="A56" s="693" t="s">
        <v>2761</v>
      </c>
      <c r="B56" s="262" t="e">
        <f t="shared" si="17"/>
        <v>#DIV/0!</v>
      </c>
      <c r="C56" s="200">
        <f t="shared" si="16"/>
        <v>0</v>
      </c>
      <c r="D56" s="1164">
        <v>0.25</v>
      </c>
      <c r="E56" s="261">
        <f>'数据-汇总表'!E11</f>
        <v>0</v>
      </c>
      <c r="F56" s="691" t="e">
        <f t="shared" si="15"/>
        <v>#DIV/0!</v>
      </c>
      <c r="G56" s="2708" t="s">
        <v>2762</v>
      </c>
      <c r="H56" s="1104">
        <f>项目基本情况!C37</f>
        <v>0</v>
      </c>
      <c r="I56" s="942">
        <f>SUMIF(修正!A45:A56,H56,修正!F45:F56)</f>
        <v>0</v>
      </c>
      <c r="J56" s="943"/>
      <c r="K56" s="1144"/>
      <c r="L56" s="941"/>
      <c r="M56" s="941"/>
      <c r="N56" s="941"/>
      <c r="O56" s="941"/>
    </row>
    <row r="57" spans="1:17" s="692" customFormat="1">
      <c r="A57" s="693" t="s">
        <v>2763</v>
      </c>
      <c r="B57" s="262" t="e">
        <f t="shared" si="17"/>
        <v>#DIV/0!</v>
      </c>
      <c r="C57" s="200">
        <f t="shared" si="16"/>
        <v>0</v>
      </c>
      <c r="D57" s="1164">
        <v>0.25</v>
      </c>
      <c r="E57" s="261">
        <f>'数据-汇总表'!E12</f>
        <v>0</v>
      </c>
      <c r="F57" s="691"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2765</v>
      </c>
      <c r="B58" s="262" t="e">
        <f t="shared" si="17"/>
        <v>#DIV/0!</v>
      </c>
      <c r="C58" s="200">
        <f t="shared" si="16"/>
        <v>0</v>
      </c>
      <c r="D58" s="1164">
        <v>0.25</v>
      </c>
      <c r="E58" s="261">
        <f>'数据-汇总表'!E13</f>
        <v>0</v>
      </c>
      <c r="F58" s="691"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2767</v>
      </c>
      <c r="B59" s="262" t="e">
        <f t="shared" si="17"/>
        <v>#DIV/0!</v>
      </c>
      <c r="C59" s="200">
        <f t="shared" si="16"/>
        <v>0</v>
      </c>
      <c r="D59" s="1164">
        <v>0.25</v>
      </c>
      <c r="E59" s="261">
        <f>'数据-汇总表'!E14</f>
        <v>0</v>
      </c>
      <c r="F59" s="691" t="e">
        <f t="shared" si="15"/>
        <v>#DIV/0!</v>
      </c>
      <c r="G59" s="2708" t="s">
        <v>2757</v>
      </c>
      <c r="H59" s="1104">
        <f>项目基本情况!B37</f>
        <v>0</v>
      </c>
      <c r="I59" s="942">
        <f>SUMIF(修正!A45:A56,H59,修正!H45:H56)</f>
        <v>0</v>
      </c>
      <c r="J59" s="943"/>
      <c r="K59" s="1145"/>
      <c r="L59" s="941"/>
      <c r="M59" s="941"/>
      <c r="N59" s="941"/>
      <c r="O59" s="941"/>
    </row>
    <row r="60" spans="1:17" s="692" customFormat="1" ht="15" thickBot="1">
      <c r="A60" s="693" t="s">
        <v>2768</v>
      </c>
      <c r="B60" s="262" t="e">
        <f t="shared" si="17"/>
        <v>#DIV/0!</v>
      </c>
      <c r="C60" s="200">
        <f t="shared" si="16"/>
        <v>0</v>
      </c>
      <c r="D60" s="1164">
        <v>0.25</v>
      </c>
      <c r="E60" s="261">
        <f>'数据-汇总表'!E15</f>
        <v>0</v>
      </c>
      <c r="F60" s="691" t="e">
        <f t="shared" si="15"/>
        <v>#DIV/0!</v>
      </c>
      <c r="G60" s="2709" t="s">
        <v>2762</v>
      </c>
      <c r="H60" s="1114">
        <f>项目基本情况!C37</f>
        <v>0</v>
      </c>
      <c r="I60" s="942">
        <f>SUMIF(修正!A45:A56,H60,修正!H45:H56)</f>
        <v>0</v>
      </c>
      <c r="J60" s="943"/>
      <c r="K60" s="1144"/>
      <c r="L60" s="941"/>
      <c r="M60" s="941"/>
      <c r="N60" s="941"/>
      <c r="O60" s="941"/>
    </row>
    <row r="61" spans="1:17" s="692" customFormat="1" ht="15" thickBot="1">
      <c r="A61" s="695" t="s">
        <v>2769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2021-12-1</v>
      </c>
      <c r="D63" s="761">
        <f>EDATE(C63,-3)</f>
        <v>44440</v>
      </c>
      <c r="E63" s="761">
        <f>EDATE(D63,-3)</f>
        <v>44348</v>
      </c>
      <c r="F63" s="761">
        <f t="shared" ref="F63:O63" si="18">EDATE(E63,-3)</f>
        <v>44256</v>
      </c>
      <c r="G63" s="761">
        <f t="shared" si="18"/>
        <v>44166</v>
      </c>
      <c r="H63" s="761">
        <f t="shared" si="18"/>
        <v>44075</v>
      </c>
      <c r="I63" s="761">
        <f t="shared" si="18"/>
        <v>43983</v>
      </c>
      <c r="J63" s="761">
        <f t="shared" si="18"/>
        <v>43891</v>
      </c>
      <c r="K63" s="761">
        <f t="shared" si="18"/>
        <v>43800</v>
      </c>
      <c r="L63" s="761">
        <f t="shared" si="18"/>
        <v>43709</v>
      </c>
      <c r="M63" s="761">
        <f t="shared" si="18"/>
        <v>43617</v>
      </c>
      <c r="N63" s="761">
        <f t="shared" si="18"/>
        <v>43525</v>
      </c>
      <c r="O63" s="761">
        <f t="shared" si="18"/>
        <v>43435</v>
      </c>
    </row>
    <row r="64" spans="1:17" ht="21.75" thickBot="1">
      <c r="A64" s="763" t="s">
        <v>2662</v>
      </c>
      <c r="B64" s="759"/>
      <c r="C64" s="764"/>
      <c r="D64" s="764"/>
      <c r="E64" s="764"/>
      <c r="F64" s="765"/>
      <c r="G64" s="765"/>
      <c r="H64" s="764"/>
      <c r="I64" s="764"/>
      <c r="J64" s="764"/>
      <c r="K64" s="766"/>
      <c r="L64" s="767"/>
      <c r="M64" s="764"/>
      <c r="N64" s="764"/>
      <c r="O64" s="1159"/>
      <c r="P64" s="503"/>
      <c r="Q64" s="504"/>
    </row>
    <row r="65" spans="1:17" s="508" customFormat="1" ht="15">
      <c r="A65" s="2710" t="s">
        <v>2770</v>
      </c>
      <c r="B65" s="1359"/>
      <c r="C65" s="1572" t="str">
        <f>YEAR(C63)&amp;"-"&amp;ROUNDUP(MONTH(C63)/3,0)</f>
        <v>2021-4</v>
      </c>
      <c r="D65" s="1572" t="str">
        <f t="shared" ref="D65:O65" si="19">YEAR(D63)&amp;"-"&amp;ROUNDUP(MONTH(D63)/3,0)</f>
        <v>2021-3</v>
      </c>
      <c r="E65" s="1572" t="str">
        <f t="shared" si="19"/>
        <v>2021-2</v>
      </c>
      <c r="F65" s="1572" t="str">
        <f t="shared" si="19"/>
        <v>2021-1</v>
      </c>
      <c r="G65" s="1572" t="str">
        <f t="shared" si="19"/>
        <v>2020-4</v>
      </c>
      <c r="H65" s="1572" t="str">
        <f t="shared" si="19"/>
        <v>2020-3</v>
      </c>
      <c r="I65" s="1572" t="str">
        <f t="shared" si="19"/>
        <v>2020-2</v>
      </c>
      <c r="J65" s="1572" t="str">
        <f t="shared" si="19"/>
        <v>2020-1</v>
      </c>
      <c r="K65" s="1572" t="str">
        <f t="shared" si="19"/>
        <v>2019-4</v>
      </c>
      <c r="L65" s="1572" t="str">
        <f t="shared" si="19"/>
        <v>2019-3</v>
      </c>
      <c r="M65" s="1572" t="str">
        <f t="shared" si="19"/>
        <v>2019-2</v>
      </c>
      <c r="N65" s="1572" t="str">
        <f t="shared" si="19"/>
        <v>2019-1</v>
      </c>
      <c r="O65" s="1572" t="str">
        <f t="shared" si="19"/>
        <v>2018-4</v>
      </c>
      <c r="P65" s="507"/>
    </row>
    <row r="66" spans="1:17" s="117" customFormat="1" ht="30.75" customHeight="1">
      <c r="A66" s="2715" t="s">
        <v>2790</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2576</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2792</v>
      </c>
      <c r="B1" s="241"/>
      <c r="C1" s="245" t="s">
        <v>2793</v>
      </c>
      <c r="D1" s="388">
        <f>SUM(D29:D30,D33:D39)</f>
        <v>0</v>
      </c>
      <c r="E1" s="2716"/>
      <c r="F1" s="2716"/>
      <c r="G1" s="2716"/>
      <c r="H1" s="2716"/>
      <c r="I1" s="2716"/>
      <c r="J1" s="2716"/>
      <c r="K1" s="1370"/>
      <c r="L1" s="2717" t="s">
        <v>2794</v>
      </c>
      <c r="M1" s="1080">
        <f>SUMPRODUCT((区片价!B5:B9=I2)*(区片价!C3:F3=E2)*(区片价!C5:F9))</f>
        <v>0</v>
      </c>
      <c r="N1" s="1083">
        <f>SUMPRODUCT((因素修正幅度!B5:B9=I2)*(因素修正幅度!C3:F3=E2)*(因素修正幅度!C5:F9))</f>
        <v>0</v>
      </c>
      <c r="O1" s="2718"/>
      <c r="P1" s="2718"/>
      <c r="Q1" s="1370"/>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t="e">
        <f>C26</f>
        <v>#DIV/0!</v>
      </c>
      <c r="C2" s="2720" t="s">
        <v>2801</v>
      </c>
      <c r="D2" s="2721" t="s">
        <v>2802</v>
      </c>
      <c r="E2" s="2722"/>
      <c r="F2" s="2721" t="s">
        <v>2803</v>
      </c>
      <c r="G2" s="2723">
        <f>IF(E2="商业",项目基本情况!B37,IF(E2="办公",项目基本情况!C37,IF(E2="住宅",项目基本情况!D37,项目基本情况!E37)))</f>
        <v>0</v>
      </c>
      <c r="H2" s="2721" t="s">
        <v>2804</v>
      </c>
      <c r="I2" s="2723">
        <f>IF(E2="商业",项目基本情况!B38,IF(E2="办公",项目基本情况!C38,IF(E2="住宅",项目基本情况!D38,项目基本情况!E38)))</f>
        <v>0</v>
      </c>
      <c r="J2" s="2724"/>
      <c r="K2" s="1370"/>
      <c r="L2" s="2725" t="s">
        <v>2805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2806</v>
      </c>
      <c r="B3" s="248" t="e">
        <f>ROUND(B2*10000/D1,0)</f>
        <v>#DIV/0!</v>
      </c>
      <c r="C3" s="2720" t="s">
        <v>2807</v>
      </c>
      <c r="D3" s="2721" t="s">
        <v>2808</v>
      </c>
      <c r="E3" s="2726"/>
      <c r="F3" s="2727" t="s">
        <v>2809</v>
      </c>
      <c r="G3" s="916" t="e">
        <f>IF(F3="宗地容积率",'数据-汇总表'!I4,IF(F3="估价对象容积率",'数据-汇总表'!I6,'数据-汇总表'!I7))</f>
        <v>#DIV/0!</v>
      </c>
      <c r="H3" s="198" t="s">
        <v>2810</v>
      </c>
      <c r="I3" s="944"/>
      <c r="J3" s="2724" t="s">
        <v>2811</v>
      </c>
      <c r="K3" s="1370"/>
      <c r="L3" s="2725" t="s">
        <v>2812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1"/>
      <c r="B4" s="3302"/>
      <c r="C4" s="3302"/>
      <c r="D4" s="3303"/>
      <c r="E4" s="3303"/>
      <c r="F4" s="3303"/>
      <c r="G4" s="3303"/>
      <c r="H4" s="3303"/>
      <c r="I4" s="3303"/>
      <c r="J4" s="3304"/>
      <c r="K4" s="1370"/>
      <c r="L4" s="2725" t="s">
        <v>2813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2814</v>
      </c>
      <c r="C5" s="917" t="e">
        <f>ROUND(IF(E2="商业",C6*C7+C16,(IF(E2="住宅",C6*C12+C16,C6+C16))),0)</f>
        <v>#DIV/0!</v>
      </c>
      <c r="D5" s="1786" t="e">
        <f>ROUND(C6+C16,0)</f>
        <v>#DIV/0!</v>
      </c>
      <c r="E5" s="1786"/>
      <c r="F5" s="2730"/>
      <c r="G5" s="2731"/>
      <c r="H5" s="2731"/>
      <c r="I5" s="2731"/>
      <c r="J5" s="2732"/>
      <c r="K5" s="2733"/>
      <c r="L5" s="2725" t="s">
        <v>2815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2816</v>
      </c>
      <c r="B6" s="2739" t="s">
        <v>2817</v>
      </c>
      <c r="C6" s="918">
        <f>SUMIF(L1:L12,G2,M1:M12)</f>
        <v>0</v>
      </c>
      <c r="D6" s="2740" t="s">
        <v>2818</v>
      </c>
      <c r="E6" s="2741"/>
      <c r="F6" s="2741"/>
      <c r="G6" s="2742"/>
      <c r="H6" s="2742"/>
      <c r="I6" s="2742"/>
      <c r="J6" s="2743"/>
      <c r="K6" s="1841"/>
      <c r="L6" s="2725" t="s">
        <v>2819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305" t="str">
        <f>IF(E2="商业",IF(C8="不临58条商业街","",2),"")</f>
        <v/>
      </c>
      <c r="B7" s="2744" t="s">
        <v>2820</v>
      </c>
      <c r="C7" s="919" t="e">
        <f>IF(C8="不临58条商业街",1,ROUND(1+(1.6*E8+1.2*E9+0.8*E10+0.4*E11)*C9,4))</f>
        <v>#DIV/0!</v>
      </c>
      <c r="D7" s="2745" t="s">
        <v>2821</v>
      </c>
      <c r="E7" s="945"/>
      <c r="F7" s="2746"/>
      <c r="G7" s="2747"/>
      <c r="H7" s="2747"/>
      <c r="I7" s="2747"/>
      <c r="J7" s="2748"/>
      <c r="K7" s="1841"/>
      <c r="L7" s="2725" t="s">
        <v>2822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5" t="s">
        <v>2823</v>
      </c>
      <c r="X7" s="1604">
        <f>G2</f>
        <v>0</v>
      </c>
      <c r="Y7" s="1604" t="s">
        <v>2824</v>
      </c>
      <c r="Z7" s="1605" t="e">
        <f>G3</f>
        <v>#DIV/0!</v>
      </c>
      <c r="AA7" s="1606"/>
      <c r="AB7" s="1606"/>
      <c r="AC7" s="1607"/>
      <c r="AD7" s="1608"/>
      <c r="AE7" s="1608"/>
      <c r="AF7" s="1608"/>
      <c r="AG7" s="1608"/>
      <c r="AH7" s="1608"/>
      <c r="AI7" s="1608"/>
      <c r="AJ7" s="1609"/>
    </row>
    <row r="8" spans="1:36" ht="15">
      <c r="A8" s="3306"/>
      <c r="B8" s="198" t="s">
        <v>2825</v>
      </c>
      <c r="C8" s="2749"/>
      <c r="D8" s="920" t="s">
        <v>139</v>
      </c>
      <c r="E8" s="921" t="e">
        <f>ROUND(C11/E7,4)</f>
        <v>#DIV/0!</v>
      </c>
      <c r="F8" s="2750" t="s">
        <v>2826</v>
      </c>
      <c r="G8" s="2751"/>
      <c r="H8" s="2751"/>
      <c r="I8" s="2751"/>
      <c r="J8" s="2752"/>
      <c r="K8" s="1370"/>
      <c r="L8" s="2725" t="s">
        <v>2827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8" t="s">
        <v>2828</v>
      </c>
      <c r="X8" s="3299"/>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306"/>
      <c r="B9" s="198" t="s">
        <v>2841</v>
      </c>
      <c r="C9" s="922">
        <f>SUMIF(修正!C59:C119,C8,修正!E59:E119)</f>
        <v>0</v>
      </c>
      <c r="D9" s="200" t="s">
        <v>140</v>
      </c>
      <c r="E9" s="200" t="e">
        <f>ROUND(C11/E7,4)</f>
        <v>#DIV/0!</v>
      </c>
      <c r="F9" s="2750" t="s">
        <v>2842</v>
      </c>
      <c r="G9" s="2751"/>
      <c r="H9" s="2751"/>
      <c r="I9" s="2751"/>
      <c r="J9" s="2752"/>
      <c r="K9" s="1370"/>
      <c r="L9" s="2725" t="s">
        <v>2843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0" t="s">
        <v>2844</v>
      </c>
      <c r="X9" s="1611" t="s">
        <v>2845</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6"/>
      <c r="B10" s="198" t="s">
        <v>2846</v>
      </c>
      <c r="C10" s="200">
        <f>SUMIF(修正!C59:C119,C8,修正!F59:F119)</f>
        <v>0</v>
      </c>
      <c r="D10" s="200" t="s">
        <v>141</v>
      </c>
      <c r="E10" s="200" t="e">
        <f>ROUND(C11/E7,4)</f>
        <v>#DIV/0!</v>
      </c>
      <c r="F10" s="2750" t="s">
        <v>2847</v>
      </c>
      <c r="G10" s="2751"/>
      <c r="H10" s="2751"/>
      <c r="I10" s="2751"/>
      <c r="J10" s="2752"/>
      <c r="K10" s="1370"/>
      <c r="L10" s="2725" t="s">
        <v>2848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6"/>
      <c r="B11" s="2753" t="s">
        <v>2849</v>
      </c>
      <c r="C11" s="923">
        <f>C10/4</f>
        <v>0</v>
      </c>
      <c r="D11" s="923" t="s">
        <v>142</v>
      </c>
      <c r="E11" s="923" t="e">
        <f>ROUND(C11/E7,4)</f>
        <v>#DIV/0!</v>
      </c>
      <c r="F11" s="2754" t="s">
        <v>2850</v>
      </c>
      <c r="G11" s="2755"/>
      <c r="H11" s="2755"/>
      <c r="I11" s="2755"/>
      <c r="J11" s="2756"/>
      <c r="K11" s="1370"/>
      <c r="L11" s="2725" t="s">
        <v>2851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0" t="s">
        <v>2852</v>
      </c>
      <c r="X11" s="1614" t="s">
        <v>2853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5" t="s">
        <v>2854</v>
      </c>
      <c r="B12" s="2757" t="s">
        <v>2855</v>
      </c>
      <c r="C12" s="919">
        <f>ROUND(C15*D15*E15*F15*G15*H15*I15*J15,4)</f>
        <v>1</v>
      </c>
      <c r="D12" s="2758" t="s">
        <v>2856</v>
      </c>
      <c r="E12" s="2759"/>
      <c r="F12" s="2759"/>
      <c r="G12" s="2760"/>
      <c r="H12" s="2760"/>
      <c r="I12" s="2760"/>
      <c r="J12" s="2761"/>
      <c r="K12" s="1370"/>
      <c r="L12" s="2762" t="s">
        <v>2857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0"/>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7"/>
      <c r="B13" s="2763" t="s">
        <v>2859</v>
      </c>
      <c r="C13" s="2764" t="s">
        <v>2860</v>
      </c>
      <c r="D13" s="1807" t="s">
        <v>2861</v>
      </c>
      <c r="E13" s="1807" t="s">
        <v>2862</v>
      </c>
      <c r="F13" s="30" t="s">
        <v>2863</v>
      </c>
      <c r="G13" s="2765" t="s">
        <v>2864</v>
      </c>
      <c r="H13" s="2765" t="s">
        <v>2864</v>
      </c>
      <c r="I13" s="2765" t="s">
        <v>2864</v>
      </c>
      <c r="J13" s="2766" t="s">
        <v>2864</v>
      </c>
      <c r="K13" s="1370"/>
      <c r="L13" s="1370"/>
      <c r="M13" s="1370"/>
      <c r="N13" s="1370"/>
      <c r="O13" s="1370"/>
      <c r="P13" s="1370"/>
      <c r="Q13" s="1370"/>
      <c r="R13" s="1602">
        <v>12</v>
      </c>
      <c r="S13" s="1603"/>
      <c r="T13" s="1602" t="e">
        <f t="shared" si="0"/>
        <v>#DIV/0!</v>
      </c>
      <c r="U13" s="1603"/>
      <c r="V13" s="1602" t="e">
        <f t="shared" si="1"/>
        <v>#DIV/0!</v>
      </c>
      <c r="W13" s="3300"/>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07"/>
      <c r="B14" s="2767"/>
      <c r="C14" s="2768"/>
      <c r="D14" s="2769"/>
      <c r="E14" s="2769"/>
      <c r="F14" s="2770"/>
      <c r="G14" s="2771" t="s">
        <v>2865</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8"/>
      <c r="B15" s="2775" t="s">
        <v>2866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5" t="s">
        <v>2871</v>
      </c>
      <c r="B16" s="2744" t="s">
        <v>2872</v>
      </c>
      <c r="C16" s="2931" t="e">
        <f>ROUND(IF(F17="与级别开发程度一致",0,(G17-E17)/C17),0)</f>
        <v>#DIV/0!</v>
      </c>
      <c r="D16" s="3319" t="s">
        <v>2876</v>
      </c>
      <c r="E16" s="3320"/>
      <c r="F16" s="3319" t="s">
        <v>2873</v>
      </c>
      <c r="G16" s="3320"/>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9"/>
      <c r="B17" s="2942" t="s">
        <v>2875</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2878</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2879</v>
      </c>
      <c r="C19" s="924" t="e">
        <f>ROUND(IF(H19="按公示增长率计算",SUMPRODUCT((地价!A3:A29=YEAR(G19)&amp;"-"&amp;ROUNDUP(MONTH(G19)/3,0))*(地价!X2:AB2=E2)*(地价!X3:AB29)),IF(H19="地价指数",M20/M19,(1+I19)^O19)),4)</f>
        <v>#VALUE!</v>
      </c>
      <c r="D19" s="2788" t="s">
        <v>2880</v>
      </c>
      <c r="E19" s="925">
        <v>41640</v>
      </c>
      <c r="F19" s="2788" t="s">
        <v>2881</v>
      </c>
      <c r="G19" s="926">
        <f>'数据-取费表'!B2</f>
        <v>44552</v>
      </c>
      <c r="H19" s="2789"/>
      <c r="I19" s="927" t="str">
        <f>IF(H19="季度增幅（自定义）",SUMIF(N21:N24,E2,O21:O24),"")</f>
        <v/>
      </c>
      <c r="J19" s="2786"/>
      <c r="K19" s="1377"/>
      <c r="L19" s="2790" t="s">
        <v>2882</v>
      </c>
      <c r="M19" s="1733">
        <f>ROUND(SUMIF(地价!B2:F2,E2,地价!B29:F29),0)</f>
        <v>0</v>
      </c>
      <c r="N19" s="2791" t="s">
        <v>2883</v>
      </c>
      <c r="O19" s="928">
        <f>ROUNDDOWN(DATEDIF(E19,G19,"M")/3,0)</f>
        <v>31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2884</v>
      </c>
      <c r="C20" s="929" t="e">
        <f>ROUND(POWER(1+G20,J20-I20)*(POWER(1+G20,I20)-1)/(POWER(1+G20,J20)-1),4)</f>
        <v>#DIV/0!</v>
      </c>
      <c r="D20" s="2797" t="s">
        <v>2885</v>
      </c>
      <c r="E20" s="1767">
        <f ca="1">存贷款利率!D4/100</f>
        <v>4.3499999999999997E-2</v>
      </c>
      <c r="F20" s="2797" t="s">
        <v>2877</v>
      </c>
      <c r="G20" s="934">
        <f>SUMIF(M26:P26,E2,M28:P28)</f>
        <v>0</v>
      </c>
      <c r="H20" s="2797" t="s">
        <v>2886</v>
      </c>
      <c r="I20" s="935" t="e">
        <f>SUMIF('数据-取费表'!C6:C15,E2,'数据-取费表'!F6:F15)/COUNTIF('数据-取费表'!C6:C15,E2)</f>
        <v>#DIV/0!</v>
      </c>
      <c r="J20" s="936">
        <f>IF(E2="住宅",70,IF(E2="商业",40,50))</f>
        <v>50</v>
      </c>
      <c r="K20" s="1377"/>
      <c r="L20" s="2798" t="s">
        <v>2887</v>
      </c>
      <c r="M20" s="1734">
        <f>ROUND(SUMPRODUCT((地价!A4:A29=YEAR(G19)&amp;"-"&amp;ROUNDUP(MONTH(G19)/3,0))*(地价!B2:F2=E2)*(地价!B4:F29)),0)</f>
        <v>0</v>
      </c>
      <c r="N20" s="2799" t="s">
        <v>2888</v>
      </c>
      <c r="O20" s="2800" t="s">
        <v>2889</v>
      </c>
      <c r="P20" s="2801" t="s">
        <v>2890</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2891</v>
      </c>
      <c r="C21" s="937" t="e">
        <f>IF(B21="容积率修正",IF(G3&lt;=10,D22,J22),C23)</f>
        <v>#DIV/0!</v>
      </c>
      <c r="D21" s="2804"/>
      <c r="E21" s="2804"/>
      <c r="F21" s="2804"/>
      <c r="G21" s="2804"/>
      <c r="H21" s="2804"/>
      <c r="I21" s="2804"/>
      <c r="J21" s="2805"/>
      <c r="K21" s="1377"/>
      <c r="N21" s="2806" t="s">
        <v>2892</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7" customFormat="1" ht="14.25">
      <c r="A22" s="2663" t="s">
        <v>2893</v>
      </c>
      <c r="B22" s="2807" t="s">
        <v>2894</v>
      </c>
      <c r="C22" s="1809" t="s">
        <v>2895</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06" t="s">
        <v>2896</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3" t="s">
        <v>2897</v>
      </c>
      <c r="B23" s="2808" t="s">
        <v>2898</v>
      </c>
      <c r="C23" s="1013" t="e">
        <f>ROUND(IF(G3&gt;1,IF(I3&lt;7,SUMPRODUCT((B93:B98=I3)*(C92:N92=G2)*(C93:N98)),SUMIF(C92:N92,G2,C100:N100)),IF(I3&lt;7,SUMPRODUCT((B102:B107=I3)*(C92:N92=G2)*(C102:N107)),SUMIF(C92:N92,G2,C109:N109))),4)</f>
        <v>#DIV/0!</v>
      </c>
      <c r="D23" s="2772"/>
      <c r="E23" s="2772"/>
      <c r="F23" s="2809"/>
      <c r="G23" s="2810"/>
      <c r="H23" s="2811"/>
      <c r="I23" s="2812"/>
      <c r="J23" s="2813"/>
      <c r="K23" s="1370"/>
      <c r="N23" s="2806" t="s">
        <v>2899</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2900</v>
      </c>
      <c r="C24" s="924">
        <f>SUMIF(A45:A88,E2,B45:B88)</f>
        <v>0</v>
      </c>
      <c r="D24" s="2785"/>
      <c r="E24" s="2814"/>
      <c r="F24" s="2814"/>
      <c r="G24" s="2814"/>
      <c r="H24" s="2814"/>
      <c r="I24" s="2814"/>
      <c r="J24" s="2815"/>
      <c r="K24" s="1377"/>
      <c r="N24" s="2816" t="s">
        <v>2901</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2902</v>
      </c>
      <c r="C25" s="930"/>
      <c r="D25" s="2747"/>
      <c r="E25" s="2747"/>
      <c r="F25" s="2818"/>
      <c r="G25" s="2747"/>
      <c r="H25" s="2747"/>
      <c r="I25" s="2747"/>
      <c r="J25" s="2748"/>
      <c r="K25" s="1370"/>
      <c r="N25" s="2819" t="s">
        <v>2903</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20"/>
      <c r="B26" s="2807" t="s">
        <v>2904</v>
      </c>
      <c r="C26" s="206" t="e">
        <f>E29+SUM(E33:E39)</f>
        <v>#DIV/0!</v>
      </c>
      <c r="D26" s="2821"/>
      <c r="E26" s="2772"/>
      <c r="F26" s="2822"/>
      <c r="G26" s="2772"/>
      <c r="H26" s="2772"/>
      <c r="I26" s="2772"/>
      <c r="J26" s="2823"/>
      <c r="K26" s="1370"/>
      <c r="L26" s="2776" t="s">
        <v>2802</v>
      </c>
      <c r="M26" s="920" t="s">
        <v>2867</v>
      </c>
      <c r="N26" s="920" t="s">
        <v>2868</v>
      </c>
      <c r="O26" s="920" t="s">
        <v>2869</v>
      </c>
      <c r="P26" s="2777" t="s">
        <v>2870</v>
      </c>
      <c r="R26" s="1376"/>
      <c r="S26" s="1376"/>
      <c r="T26" s="1371"/>
      <c r="U26" s="1371"/>
      <c r="V26" s="1371"/>
      <c r="W26" s="1370"/>
      <c r="X26" s="1370"/>
      <c r="Y26" s="1370"/>
      <c r="Z26" s="1377"/>
      <c r="AA26" s="1378"/>
      <c r="AB26" s="1378"/>
      <c r="AC26" s="1378"/>
      <c r="AD26" s="1378"/>
    </row>
    <row r="27" spans="1:37" ht="15.75" thickBot="1">
      <c r="A27" s="2820"/>
      <c r="B27" s="2824" t="s">
        <v>2905</v>
      </c>
      <c r="C27" s="931" t="e">
        <f>E30+SUM(I33:I39)</f>
        <v>#DIV/0!</v>
      </c>
      <c r="D27" s="2825"/>
      <c r="E27" s="2826"/>
      <c r="F27" s="2827"/>
      <c r="G27" s="2826"/>
      <c r="H27" s="2826"/>
      <c r="I27" s="2826"/>
      <c r="J27" s="2828"/>
      <c r="K27" s="1370"/>
      <c r="L27" s="2780"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2906</v>
      </c>
      <c r="C28" s="2831" t="s">
        <v>2907</v>
      </c>
      <c r="D28" s="2831" t="s">
        <v>2908</v>
      </c>
      <c r="E28" s="2832" t="s">
        <v>2909</v>
      </c>
      <c r="F28" s="2833"/>
      <c r="G28" s="2760"/>
      <c r="H28" s="2760"/>
      <c r="I28" s="2760"/>
      <c r="J28" s="2761"/>
      <c r="K28" s="1370"/>
      <c r="L28" s="2781"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2910</v>
      </c>
      <c r="C29" s="206" t="e">
        <f>ROUND(C5*C18*C19*C20*C21*C24,0)</f>
        <v>#DIV/0!</v>
      </c>
      <c r="D29" s="2836"/>
      <c r="E29" s="942" t="e">
        <f>ROUND(C29*D29/10000,0)</f>
        <v>#DIV/0!</v>
      </c>
      <c r="F29" s="2837" t="s">
        <v>2911</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2912</v>
      </c>
      <c r="C30" s="229" t="e">
        <f>ROUND(IF(E2="工业",C29*M39,C29*M38),0)</f>
        <v>#DIV/0!</v>
      </c>
      <c r="D30" s="2842"/>
      <c r="E30" s="942" t="e">
        <f>ROUND(C30*D30/10000,0)</f>
        <v>#DIV/0!</v>
      </c>
      <c r="F30" s="2843" t="s">
        <v>2913</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2914</v>
      </c>
      <c r="C31" s="2848" t="s">
        <v>2915</v>
      </c>
      <c r="D31" s="2760"/>
      <c r="E31" s="2848"/>
      <c r="F31" s="2848"/>
      <c r="G31" s="2758" t="s">
        <v>2916</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2907</v>
      </c>
      <c r="D32" s="498" t="s">
        <v>2908</v>
      </c>
      <c r="E32" s="498" t="s">
        <v>2909</v>
      </c>
      <c r="F32" s="388" t="s">
        <v>2917</v>
      </c>
      <c r="G32" s="2851" t="s">
        <v>2907</v>
      </c>
      <c r="H32" s="2851" t="s">
        <v>2908</v>
      </c>
      <c r="I32" s="2851"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316" t="s">
        <v>2918</v>
      </c>
      <c r="B33" s="2852" t="s">
        <v>2919</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7"/>
      <c r="B34" s="2764" t="s">
        <v>2920</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7"/>
      <c r="B35" s="2764" t="s">
        <v>2921</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318"/>
      <c r="B36" s="2764" t="s">
        <v>2922</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2923</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2924</v>
      </c>
      <c r="M37" s="2856"/>
      <c r="N37" s="1370"/>
      <c r="O37" s="1370"/>
      <c r="P37" s="1370"/>
      <c r="Q37" s="1370"/>
      <c r="R37" s="1370"/>
      <c r="S37" s="1370"/>
      <c r="T37" s="1370"/>
      <c r="U37" s="1370"/>
      <c r="V37" s="1370"/>
      <c r="W37" s="1370"/>
      <c r="X37" s="1370"/>
      <c r="Y37" s="1370"/>
      <c r="Z37" s="1371"/>
    </row>
    <row r="38" spans="1:37">
      <c r="A38" s="2854"/>
      <c r="B38" s="2764" t="s">
        <v>2925</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6" t="s">
        <v>2926</v>
      </c>
      <c r="M38" s="2857">
        <v>0.25</v>
      </c>
      <c r="N38" s="1370"/>
      <c r="O38" s="1370"/>
      <c r="P38" s="1370"/>
      <c r="Q38" s="1370"/>
      <c r="R38" s="1370"/>
      <c r="S38" s="1370"/>
      <c r="T38" s="1370"/>
      <c r="U38" s="1370"/>
      <c r="V38" s="1370"/>
      <c r="W38" s="1370"/>
      <c r="X38" s="1370"/>
      <c r="Y38" s="1370"/>
      <c r="Z38" s="1371"/>
    </row>
    <row r="39" spans="1:37" ht="13.5" thickBot="1">
      <c r="A39" s="2840"/>
      <c r="B39" s="2858" t="s">
        <v>2927</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3031</v>
      </c>
      <c r="C41" s="388" t="e">
        <f>ROUND(POWER(1+E41,H41-G41)*(POWER(1+E41,G41)-1)/(POWER(1+E41,H41)-1),4)</f>
        <v>#DIV/0!</v>
      </c>
      <c r="D41" s="200" t="s">
        <v>2877</v>
      </c>
      <c r="E41" s="2928">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2928</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2929</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2930</v>
      </c>
      <c r="B47" s="1808" t="s">
        <v>2931</v>
      </c>
      <c r="C47" s="1808" t="s">
        <v>2932</v>
      </c>
      <c r="D47" s="1808" t="s">
        <v>2933</v>
      </c>
      <c r="E47" s="819" t="s">
        <v>2934</v>
      </c>
      <c r="F47" s="2870" t="s">
        <v>2935</v>
      </c>
      <c r="G47" s="1808" t="s">
        <v>754</v>
      </c>
      <c r="H47" s="2871" t="s">
        <v>2936</v>
      </c>
      <c r="I47" s="1808" t="s">
        <v>2937</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24.75">
      <c r="A48" s="2869" t="s">
        <v>2938</v>
      </c>
      <c r="B48" s="2872">
        <f>估价对象房地状况!C4</f>
        <v>0</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2939</v>
      </c>
      <c r="B49" s="2873" t="str">
        <f>估价对象房地状况!C18</f>
        <v>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2940</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2941</v>
      </c>
      <c r="B51" s="2874" t="s">
        <v>2942</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2943</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2944</v>
      </c>
      <c r="B53" s="2875" t="s">
        <v>2945</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2946</v>
      </c>
      <c r="B54" s="1724" t="str">
        <f>估价对象房地状况!C21</f>
        <v>一般</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2947</v>
      </c>
      <c r="B55" s="2873" t="str">
        <f>估价对象房地状况!C22</f>
        <v>七通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2948</v>
      </c>
      <c r="B56" s="2878" t="str">
        <f>估价对象房地状况!C20</f>
        <v>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2949</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2930</v>
      </c>
      <c r="B58" s="1808"/>
      <c r="C58" s="1808" t="s">
        <v>2932</v>
      </c>
      <c r="D58" s="1808" t="s">
        <v>2933</v>
      </c>
      <c r="E58" s="819" t="s">
        <v>2934</v>
      </c>
      <c r="F58" s="2870" t="s">
        <v>2950</v>
      </c>
      <c r="G58" s="1808" t="s">
        <v>754</v>
      </c>
      <c r="H58" s="2871" t="s">
        <v>2936</v>
      </c>
      <c r="I58" s="1808" t="s">
        <v>2937</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24">
      <c r="A59" s="2869" t="s">
        <v>2951</v>
      </c>
      <c r="B59" s="2872" t="str">
        <f>估价对象房地状况!C17</f>
        <v>一般</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2939</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2940</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2941</v>
      </c>
      <c r="B62" s="2874" t="s">
        <v>2942</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2943</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2944</v>
      </c>
      <c r="B64" s="2875" t="s">
        <v>2945</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2946</v>
      </c>
      <c r="B65" s="1724" t="str">
        <f>估价对象房地状况!C21</f>
        <v>一般</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2947</v>
      </c>
      <c r="B66" s="1724" t="str">
        <f>估价对象房地状况!C22</f>
        <v>七通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2948</v>
      </c>
      <c r="B67" s="2879" t="str">
        <f>估价对象房地状况!C20</f>
        <v>较好</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2952</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2930</v>
      </c>
      <c r="B69" s="1808"/>
      <c r="C69" s="1808" t="s">
        <v>2932</v>
      </c>
      <c r="D69" s="1808" t="s">
        <v>2933</v>
      </c>
      <c r="E69" s="819" t="s">
        <v>2934</v>
      </c>
      <c r="F69" s="2870" t="s">
        <v>2950</v>
      </c>
      <c r="G69" s="1808" t="s">
        <v>754</v>
      </c>
      <c r="H69" s="2871" t="s">
        <v>2936</v>
      </c>
      <c r="I69" s="1808" t="s">
        <v>2937</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24">
      <c r="A70" s="2869" t="s">
        <v>2953</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2939</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2940</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2954</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2946</v>
      </c>
      <c r="B74" s="1724" t="str">
        <f>估价对象房地状况!C21</f>
        <v>一般</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2947</v>
      </c>
      <c r="B75" s="1724"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2944</v>
      </c>
      <c r="B76" s="2875" t="s">
        <v>2945</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2948</v>
      </c>
      <c r="B77" s="2872" t="str">
        <f>估价对象房地状况!C20</f>
        <v>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2955</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2956</v>
      </c>
      <c r="B79" s="2866">
        <f>1+E81</f>
        <v>1</v>
      </c>
      <c r="C79" s="814"/>
      <c r="D79" s="814"/>
      <c r="E79" s="815"/>
      <c r="F79" s="2868"/>
      <c r="G79" s="6"/>
      <c r="H79" s="6"/>
      <c r="I79" s="6"/>
      <c r="J79" s="7"/>
      <c r="K79" s="7"/>
      <c r="L79" s="7"/>
      <c r="M79" s="7"/>
      <c r="N79" s="7"/>
      <c r="Z79" s="2719"/>
      <c r="AA79" s="2787"/>
      <c r="AG79" s="1372"/>
      <c r="AK79" s="2787"/>
    </row>
    <row r="80" spans="1:37" ht="24.75">
      <c r="A80" s="2869" t="s">
        <v>2930</v>
      </c>
      <c r="B80" s="1808"/>
      <c r="C80" s="1808" t="s">
        <v>2932</v>
      </c>
      <c r="D80" s="1808" t="s">
        <v>2933</v>
      </c>
      <c r="E80" s="819" t="s">
        <v>2934</v>
      </c>
      <c r="F80" s="2870" t="s">
        <v>2950</v>
      </c>
      <c r="G80" s="1808" t="s">
        <v>754</v>
      </c>
      <c r="H80" s="2871" t="s">
        <v>2936</v>
      </c>
      <c r="I80" s="1808" t="s">
        <v>2937</v>
      </c>
      <c r="J80" s="603" t="s">
        <v>2585</v>
      </c>
      <c r="K80" s="603" t="s">
        <v>2586</v>
      </c>
      <c r="L80" s="603" t="s">
        <v>2587</v>
      </c>
      <c r="M80" s="603" t="s">
        <v>2588</v>
      </c>
      <c r="N80" s="603" t="s">
        <v>2589</v>
      </c>
      <c r="Z80" s="2719"/>
      <c r="AA80" s="2787"/>
      <c r="AG80" s="1372"/>
      <c r="AK80" s="2787"/>
    </row>
    <row r="81" spans="1:37" ht="38.25">
      <c r="A81" s="2869" t="s">
        <v>2957</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2939</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2940</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2954</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2946</v>
      </c>
      <c r="B85" s="1724"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2947</v>
      </c>
      <c r="B86" s="1724"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2944</v>
      </c>
      <c r="B87" s="2875" t="s">
        <v>2958</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2959</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310" t="s">
        <v>2960</v>
      </c>
      <c r="B90" s="3310"/>
      <c r="C90" s="3310"/>
      <c r="D90" s="3310"/>
      <c r="E90" s="3310"/>
      <c r="F90" s="3310"/>
      <c r="G90" s="3310"/>
      <c r="H90" s="3310"/>
      <c r="I90" s="3310"/>
      <c r="J90" s="3310"/>
      <c r="K90" s="2883"/>
      <c r="L90" s="2883"/>
      <c r="M90" s="2883"/>
      <c r="N90" s="2883"/>
    </row>
    <row r="91" spans="1:37">
      <c r="A91" s="3312" t="s">
        <v>2961</v>
      </c>
      <c r="B91" s="3312" t="s">
        <v>2962</v>
      </c>
      <c r="C91" s="2837" t="s">
        <v>2963</v>
      </c>
      <c r="D91" s="2838"/>
      <c r="E91" s="2838"/>
      <c r="F91" s="2838"/>
      <c r="G91" s="2838"/>
      <c r="H91" s="2838"/>
      <c r="I91" s="2838"/>
      <c r="J91" s="2884"/>
      <c r="K91" s="2885"/>
      <c r="L91" s="2885"/>
      <c r="M91" s="2885"/>
      <c r="N91" s="2885"/>
    </row>
    <row r="92" spans="1:37">
      <c r="A92" s="3312"/>
      <c r="B92" s="3312"/>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313" t="s">
        <v>2964</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1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1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1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1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1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14"/>
      <c r="B99" s="2886" t="s">
        <v>2845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1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13" t="s">
        <v>2965</v>
      </c>
      <c r="B101" s="2890" t="s">
        <v>2966</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314"/>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314"/>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314"/>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314"/>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314"/>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314"/>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314"/>
      <c r="B108" s="3164" t="s">
        <v>2967</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15"/>
      <c r="B109" s="3165"/>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311" t="s">
        <v>2968</v>
      </c>
      <c r="B110" s="3311"/>
      <c r="C110" s="3311"/>
      <c r="D110" s="3311"/>
      <c r="E110" s="3311"/>
      <c r="F110" s="3311"/>
      <c r="G110" s="3311"/>
      <c r="H110" s="3311"/>
      <c r="I110" s="3311"/>
      <c r="J110" s="3311"/>
      <c r="K110" s="2892"/>
      <c r="L110" s="2892"/>
      <c r="M110" s="2892"/>
      <c r="N110" s="2892"/>
    </row>
    <row r="112" spans="1:14" ht="13.5" thickBot="1"/>
    <row r="113" spans="1:13" ht="25.5" thickBot="1">
      <c r="A113" s="903" t="s">
        <v>2969</v>
      </c>
      <c r="B113" s="1287" t="e">
        <f>G3</f>
        <v>#DIV/0!</v>
      </c>
      <c r="C113" s="904" t="s">
        <v>2970</v>
      </c>
      <c r="D113" s="905" t="e">
        <f>SUMPRODUCT((A115:A118=F113)*(B114:M114=H113)*B115:M118)</f>
        <v>#DIV/0!</v>
      </c>
      <c r="E113" s="2723" t="s">
        <v>2802</v>
      </c>
      <c r="F113" s="2894">
        <f>E2</f>
        <v>0</v>
      </c>
      <c r="G113" s="2723" t="s">
        <v>2803</v>
      </c>
      <c r="H113" s="2894">
        <f>G2</f>
        <v>0</v>
      </c>
      <c r="I113" s="2723"/>
      <c r="J113" s="2895"/>
      <c r="K113" s="2895"/>
      <c r="L113" s="2895"/>
      <c r="M113" s="2895"/>
    </row>
    <row r="114" spans="1:13">
      <c r="A114" s="908"/>
      <c r="B114" s="2896" t="s">
        <v>2971</v>
      </c>
      <c r="C114" s="2896" t="s">
        <v>2972</v>
      </c>
      <c r="D114" s="2896" t="s">
        <v>2973</v>
      </c>
      <c r="E114" s="2897" t="s">
        <v>2974</v>
      </c>
      <c r="F114" s="2897" t="s">
        <v>2975</v>
      </c>
      <c r="G114" s="2897" t="s">
        <v>2976</v>
      </c>
      <c r="H114" s="2898" t="s">
        <v>2977</v>
      </c>
      <c r="I114" s="2898" t="s">
        <v>2978</v>
      </c>
      <c r="J114" s="2899" t="s">
        <v>2979</v>
      </c>
      <c r="K114" s="2899" t="s">
        <v>2980</v>
      </c>
      <c r="L114" s="2899" t="s">
        <v>2981</v>
      </c>
      <c r="M114" s="2900" t="s">
        <v>2982</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1" t="s">
        <v>614</v>
      </c>
      <c r="C61" s="818" t="s">
        <v>615</v>
      </c>
      <c r="D61" s="818" t="s">
        <v>616</v>
      </c>
      <c r="E61" s="895">
        <v>0.5</v>
      </c>
      <c r="F61" s="882">
        <v>80</v>
      </c>
    </row>
    <row r="62" spans="1:8" s="878" customFormat="1" ht="24">
      <c r="A62" s="882">
        <v>2</v>
      </c>
      <c r="B62" s="3321"/>
      <c r="C62" s="818" t="s">
        <v>617</v>
      </c>
      <c r="D62" s="818" t="s">
        <v>618</v>
      </c>
      <c r="E62" s="895">
        <v>0.5</v>
      </c>
      <c r="F62" s="882">
        <v>80</v>
      </c>
    </row>
    <row r="63" spans="1:8" s="878" customFormat="1" ht="36">
      <c r="A63" s="882">
        <v>3</v>
      </c>
      <c r="B63" s="3321"/>
      <c r="C63" s="818" t="s">
        <v>619</v>
      </c>
      <c r="D63" s="818" t="s">
        <v>620</v>
      </c>
      <c r="E63" s="895">
        <v>0.5</v>
      </c>
      <c r="F63" s="882">
        <v>80</v>
      </c>
    </row>
    <row r="64" spans="1:8" s="878" customFormat="1" ht="36">
      <c r="A64" s="882">
        <v>4</v>
      </c>
      <c r="B64" s="3321"/>
      <c r="C64" s="818" t="s">
        <v>621</v>
      </c>
      <c r="D64" s="818" t="s">
        <v>622</v>
      </c>
      <c r="E64" s="895">
        <v>0.4</v>
      </c>
      <c r="F64" s="882">
        <v>60</v>
      </c>
    </row>
    <row r="65" spans="1:6" s="878" customFormat="1" ht="36">
      <c r="A65" s="882">
        <v>5</v>
      </c>
      <c r="B65" s="3321"/>
      <c r="C65" s="818" t="s">
        <v>623</v>
      </c>
      <c r="D65" s="818" t="s">
        <v>624</v>
      </c>
      <c r="E65" s="895">
        <v>0.2</v>
      </c>
      <c r="F65" s="882">
        <v>30</v>
      </c>
    </row>
    <row r="66" spans="1:6" s="878" customFormat="1" ht="36">
      <c r="A66" s="882">
        <v>6</v>
      </c>
      <c r="B66" s="3321"/>
      <c r="C66" s="818" t="s">
        <v>625</v>
      </c>
      <c r="D66" s="818" t="s">
        <v>626</v>
      </c>
      <c r="E66" s="895">
        <v>0.3</v>
      </c>
      <c r="F66" s="882">
        <v>50</v>
      </c>
    </row>
    <row r="67" spans="1:6" s="878" customFormat="1" ht="36">
      <c r="A67" s="882">
        <v>7</v>
      </c>
      <c r="B67" s="3321"/>
      <c r="C67" s="818" t="s">
        <v>627</v>
      </c>
      <c r="D67" s="818" t="s">
        <v>628</v>
      </c>
      <c r="E67" s="895">
        <v>0.2</v>
      </c>
      <c r="F67" s="882">
        <v>30</v>
      </c>
    </row>
    <row r="68" spans="1:6" s="878" customFormat="1" ht="36">
      <c r="A68" s="882">
        <v>8</v>
      </c>
      <c r="B68" s="3321"/>
      <c r="C68" s="818" t="s">
        <v>629</v>
      </c>
      <c r="D68" s="818" t="s">
        <v>630</v>
      </c>
      <c r="E68" s="895">
        <v>0.2</v>
      </c>
      <c r="F68" s="882">
        <v>30</v>
      </c>
    </row>
    <row r="69" spans="1:6" s="878" customFormat="1" ht="36">
      <c r="A69" s="882">
        <v>9</v>
      </c>
      <c r="B69" s="3321"/>
      <c r="C69" s="818" t="s">
        <v>631</v>
      </c>
      <c r="D69" s="818" t="s">
        <v>632</v>
      </c>
      <c r="E69" s="895">
        <v>0.2</v>
      </c>
      <c r="F69" s="882">
        <v>30</v>
      </c>
    </row>
    <row r="70" spans="1:6" s="878" customFormat="1" ht="48">
      <c r="A70" s="882">
        <v>10</v>
      </c>
      <c r="B70" s="3321"/>
      <c r="C70" s="818" t="s">
        <v>633</v>
      </c>
      <c r="D70" s="818" t="s">
        <v>634</v>
      </c>
      <c r="E70" s="895">
        <v>0.2</v>
      </c>
      <c r="F70" s="882">
        <v>30</v>
      </c>
    </row>
    <row r="71" spans="1:6" s="878" customFormat="1" ht="48">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24">
      <c r="A73" s="882">
        <v>13</v>
      </c>
      <c r="B73" s="3321"/>
      <c r="C73" s="818" t="s">
        <v>639</v>
      </c>
      <c r="D73" s="818" t="s">
        <v>640</v>
      </c>
      <c r="E73" s="895">
        <v>0.4</v>
      </c>
      <c r="F73" s="882">
        <v>60</v>
      </c>
    </row>
    <row r="74" spans="1:6" s="878" customFormat="1" ht="24">
      <c r="A74" s="882">
        <v>14</v>
      </c>
      <c r="B74" s="3321"/>
      <c r="C74" s="818" t="s">
        <v>641</v>
      </c>
      <c r="D74" s="818" t="s">
        <v>642</v>
      </c>
      <c r="E74" s="895">
        <v>0.2</v>
      </c>
      <c r="F74" s="882">
        <v>30</v>
      </c>
    </row>
    <row r="75" spans="1:6" s="878" customFormat="1" ht="24">
      <c r="A75" s="882">
        <v>15</v>
      </c>
      <c r="B75" s="3321"/>
      <c r="C75" s="818" t="s">
        <v>643</v>
      </c>
      <c r="D75" s="818" t="s">
        <v>644</v>
      </c>
      <c r="E75" s="895">
        <v>0.2</v>
      </c>
      <c r="F75" s="882">
        <v>30</v>
      </c>
    </row>
    <row r="76" spans="1:6" s="878" customFormat="1" ht="24">
      <c r="A76" s="882">
        <v>16</v>
      </c>
      <c r="B76" s="3321" t="s">
        <v>645</v>
      </c>
      <c r="C76" s="818" t="s">
        <v>646</v>
      </c>
      <c r="D76" s="818" t="s">
        <v>647</v>
      </c>
      <c r="E76" s="895">
        <v>0.5</v>
      </c>
      <c r="F76" s="882">
        <v>80</v>
      </c>
    </row>
    <row r="77" spans="1:6" s="878" customFormat="1" ht="24">
      <c r="A77" s="882">
        <v>17</v>
      </c>
      <c r="B77" s="3321"/>
      <c r="C77" s="818" t="s">
        <v>648</v>
      </c>
      <c r="D77" s="818" t="s">
        <v>649</v>
      </c>
      <c r="E77" s="895">
        <v>0.5</v>
      </c>
      <c r="F77" s="882">
        <v>80</v>
      </c>
    </row>
    <row r="78" spans="1:6" s="878" customFormat="1" ht="24">
      <c r="A78" s="882">
        <v>18</v>
      </c>
      <c r="B78" s="3321"/>
      <c r="C78" s="818" t="s">
        <v>650</v>
      </c>
      <c r="D78" s="818" t="s">
        <v>651</v>
      </c>
      <c r="E78" s="895">
        <v>0.2</v>
      </c>
      <c r="F78" s="882">
        <v>30</v>
      </c>
    </row>
    <row r="79" spans="1:6" s="878" customFormat="1" ht="24">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48">
      <c r="A82" s="882">
        <v>22</v>
      </c>
      <c r="B82" s="3321"/>
      <c r="C82" s="818" t="s">
        <v>658</v>
      </c>
      <c r="D82" s="818" t="s">
        <v>659</v>
      </c>
      <c r="E82" s="895">
        <v>0.2</v>
      </c>
      <c r="F82" s="882">
        <v>30</v>
      </c>
    </row>
    <row r="83" spans="1:6" s="878" customFormat="1" ht="48">
      <c r="A83" s="882">
        <v>23</v>
      </c>
      <c r="B83" s="3321"/>
      <c r="C83" s="818" t="s">
        <v>660</v>
      </c>
      <c r="D83" s="818" t="s">
        <v>661</v>
      </c>
      <c r="E83" s="895">
        <v>0.2</v>
      </c>
      <c r="F83" s="882">
        <v>30</v>
      </c>
    </row>
    <row r="84" spans="1:6" s="878" customFormat="1" ht="36">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24">
      <c r="A89" s="882">
        <v>29</v>
      </c>
      <c r="B89" s="3321"/>
      <c r="C89" s="818" t="s">
        <v>672</v>
      </c>
      <c r="D89" s="818" t="s">
        <v>673</v>
      </c>
      <c r="E89" s="895">
        <v>0.2</v>
      </c>
      <c r="F89" s="882">
        <v>30</v>
      </c>
    </row>
    <row r="90" spans="1:6" s="878" customFormat="1" ht="24">
      <c r="A90" s="882">
        <v>30</v>
      </c>
      <c r="B90" s="3321"/>
      <c r="C90" s="818" t="s">
        <v>674</v>
      </c>
      <c r="D90" s="818" t="s">
        <v>675</v>
      </c>
      <c r="E90" s="895">
        <v>0.2</v>
      </c>
      <c r="F90" s="882">
        <v>30</v>
      </c>
    </row>
    <row r="91" spans="1:6" s="878" customFormat="1" ht="36">
      <c r="A91" s="882">
        <v>31</v>
      </c>
      <c r="B91" s="3321"/>
      <c r="C91" s="818" t="s">
        <v>676</v>
      </c>
      <c r="D91" s="818" t="s">
        <v>677</v>
      </c>
      <c r="E91" s="895">
        <v>0.2</v>
      </c>
      <c r="F91" s="882">
        <v>30</v>
      </c>
    </row>
    <row r="92" spans="1:6" s="878" customFormat="1" ht="24">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48">
      <c r="A94" s="882">
        <v>34</v>
      </c>
      <c r="B94" s="3321"/>
      <c r="C94" s="882" t="s">
        <v>683</v>
      </c>
      <c r="D94" s="818" t="s">
        <v>684</v>
      </c>
      <c r="E94" s="895">
        <v>0.2</v>
      </c>
      <c r="F94" s="882">
        <v>30</v>
      </c>
    </row>
    <row r="95" spans="1:6" s="878" customFormat="1" ht="36">
      <c r="A95" s="882">
        <v>35</v>
      </c>
      <c r="B95" s="3321"/>
      <c r="C95" s="882" t="s">
        <v>685</v>
      </c>
      <c r="D95" s="818" t="s">
        <v>686</v>
      </c>
      <c r="E95" s="895">
        <v>0.2</v>
      </c>
      <c r="F95" s="882">
        <v>30</v>
      </c>
    </row>
    <row r="96" spans="1:6" s="878" customFormat="1" ht="48">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24">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1" t="s">
        <v>708</v>
      </c>
      <c r="C105" s="882" t="s">
        <v>709</v>
      </c>
      <c r="D105" s="818" t="s">
        <v>710</v>
      </c>
      <c r="E105" s="895">
        <v>0.2</v>
      </c>
      <c r="F105" s="882">
        <v>30</v>
      </c>
    </row>
    <row r="106" spans="1:6" s="878" customFormat="1" ht="36">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36">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1" t="s">
        <v>724</v>
      </c>
      <c r="C111" s="882" t="s">
        <v>725</v>
      </c>
      <c r="D111" s="818" t="s">
        <v>726</v>
      </c>
      <c r="E111" s="895">
        <v>0.2</v>
      </c>
      <c r="F111" s="882">
        <v>30</v>
      </c>
    </row>
    <row r="112" spans="1:6" s="878" customFormat="1" ht="24">
      <c r="A112" s="882">
        <v>52</v>
      </c>
      <c r="B112" s="3321"/>
      <c r="C112" s="882" t="s">
        <v>727</v>
      </c>
      <c r="D112" s="818" t="s">
        <v>728</v>
      </c>
      <c r="E112" s="895">
        <v>0.2</v>
      </c>
      <c r="F112" s="882">
        <v>30</v>
      </c>
    </row>
    <row r="113" spans="1:6" s="878" customFormat="1" ht="24">
      <c r="A113" s="882">
        <v>53</v>
      </c>
      <c r="B113" s="33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2991</v>
      </c>
    </row>
    <row r="2" spans="1:5" ht="15.75">
      <c r="A2" s="2901" t="s">
        <v>2983</v>
      </c>
      <c r="B2" s="2902" t="e">
        <f ca="1">SUMIF(B6:B13,"&lt;&gt;#ref!",B6:B13)</f>
        <v>#DIV/0!</v>
      </c>
      <c r="C2" s="2901" t="s">
        <v>2984</v>
      </c>
      <c r="D2" s="2901" t="s">
        <v>2985</v>
      </c>
      <c r="E2" s="2902">
        <f ca="1">SUMIF(E6:E13,"&lt;&gt;#ref!",E6:E13)</f>
        <v>0</v>
      </c>
    </row>
    <row r="3" spans="1:5" ht="15.75">
      <c r="A3" s="2901" t="s">
        <v>2986</v>
      </c>
      <c r="B3" s="2902" t="e">
        <f ca="1">ROUND(B2*10000/E2,0)</f>
        <v>#DIV/0!</v>
      </c>
      <c r="C3" s="2901" t="s">
        <v>2992</v>
      </c>
      <c r="D3" s="2903"/>
      <c r="E3" s="2903"/>
    </row>
    <row r="4" spans="1:5" ht="15.75">
      <c r="A4" s="2904"/>
      <c r="B4" s="2903"/>
      <c r="C4" s="2903"/>
      <c r="D4" s="2903"/>
      <c r="E4" s="2903"/>
    </row>
    <row r="5" spans="1:5" ht="28.5">
      <c r="A5" s="2905" t="s">
        <v>2987</v>
      </c>
      <c r="B5" s="2901" t="s">
        <v>2988</v>
      </c>
      <c r="C5" s="2902"/>
      <c r="D5" s="2903"/>
      <c r="E5" s="2901" t="s">
        <v>2989</v>
      </c>
    </row>
    <row r="6" spans="1:5" ht="15.75">
      <c r="A6" s="2906" t="s">
        <v>2990</v>
      </c>
      <c r="B6" s="2902" t="e">
        <f ca="1">SUMIF(INDIRECT("'"&amp;A6&amp;"'"&amp;"!A:A"),"总价",INDIRECT("'"&amp;A6&amp;"'"&amp;"!B:B"))</f>
        <v>#DIV/0!</v>
      </c>
      <c r="C6" s="2901" t="s">
        <v>2984</v>
      </c>
      <c r="D6" s="2903"/>
      <c r="E6" s="2574">
        <f ca="1">SUMIF(INDIRECT("'"&amp;A6&amp;"'"&amp;"!C:C"),"建筑面积",INDIRECT("'"&amp;A6&amp;"'"&amp;"!D:D"))</f>
        <v>0</v>
      </c>
    </row>
    <row r="7" spans="1:5" ht="15.75">
      <c r="A7" s="2906"/>
      <c r="B7" s="2902" t="e">
        <f ca="1">SUMIF(INDIRECT("'"&amp;A7&amp;"'"&amp;"!A:A"),"总价",INDIRECT("'"&amp;A7&amp;"'"&amp;"!B:B"))</f>
        <v>#REF!</v>
      </c>
      <c r="C7" s="2901" t="s">
        <v>2984</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2984</v>
      </c>
      <c r="D8" s="2903"/>
      <c r="E8" s="2574" t="e">
        <f t="shared" ca="1" si="0"/>
        <v>#REF!</v>
      </c>
    </row>
    <row r="9" spans="1:5" ht="15.75">
      <c r="A9" s="2906"/>
      <c r="B9" s="2902" t="e">
        <f t="shared" ca="1" si="1"/>
        <v>#REF!</v>
      </c>
      <c r="C9" s="2901" t="s">
        <v>2984</v>
      </c>
      <c r="D9" s="2903"/>
      <c r="E9" s="2574" t="e">
        <f t="shared" ca="1" si="0"/>
        <v>#REF!</v>
      </c>
    </row>
    <row r="10" spans="1:5" ht="15.75">
      <c r="A10" s="2906"/>
      <c r="B10" s="2902" t="e">
        <f t="shared" ca="1" si="1"/>
        <v>#REF!</v>
      </c>
      <c r="C10" s="2901" t="s">
        <v>2984</v>
      </c>
      <c r="D10" s="2903"/>
      <c r="E10" s="2574" t="e">
        <f t="shared" ca="1" si="0"/>
        <v>#REF!</v>
      </c>
    </row>
    <row r="11" spans="1:5" ht="15.75">
      <c r="A11" s="2906"/>
      <c r="B11" s="2902" t="e">
        <f t="shared" ca="1" si="1"/>
        <v>#REF!</v>
      </c>
      <c r="C11" s="2901" t="s">
        <v>2984</v>
      </c>
      <c r="D11" s="2903"/>
      <c r="E11" s="2574" t="e">
        <f t="shared" ca="1" si="0"/>
        <v>#REF!</v>
      </c>
    </row>
    <row r="12" spans="1:5" ht="15.75">
      <c r="A12" s="2906"/>
      <c r="B12" s="2902" t="e">
        <f t="shared" ca="1" si="1"/>
        <v>#REF!</v>
      </c>
      <c r="C12" s="2901" t="s">
        <v>2984</v>
      </c>
      <c r="D12" s="2903"/>
      <c r="E12" s="2574" t="e">
        <f t="shared" ca="1" si="0"/>
        <v>#REF!</v>
      </c>
    </row>
    <row r="13" spans="1:5" ht="15.75">
      <c r="A13" s="2906"/>
      <c r="B13" s="2902" t="e">
        <f t="shared" ca="1" si="1"/>
        <v>#REF!</v>
      </c>
      <c r="C13" s="2901" t="s">
        <v>2984</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7" t="s">
        <v>1145</v>
      </c>
      <c r="C1" s="3327"/>
      <c r="D1" s="3327"/>
      <c r="E1" s="3327"/>
      <c r="F1" s="3327"/>
      <c r="G1" s="3326" t="s">
        <v>1146</v>
      </c>
      <c r="H1" s="3326"/>
      <c r="I1" s="3326"/>
      <c r="J1" s="3326"/>
      <c r="K1" s="3326"/>
      <c r="L1" s="3326"/>
      <c r="N1" s="3326" t="s">
        <v>1147</v>
      </c>
      <c r="O1" s="3326"/>
      <c r="P1" s="3326"/>
      <c r="Q1" s="3326"/>
      <c r="R1" s="1446"/>
      <c r="S1" s="3326" t="s">
        <v>1148</v>
      </c>
      <c r="T1" s="3326"/>
      <c r="U1" s="3326"/>
      <c r="V1" s="3326"/>
      <c r="X1" s="3325" t="s">
        <v>1149</v>
      </c>
      <c r="Y1" s="3326"/>
      <c r="Z1" s="3326"/>
      <c r="AA1" s="3326"/>
      <c r="AB1" s="3326"/>
      <c r="AD1" s="3325" t="s">
        <v>1150</v>
      </c>
      <c r="AE1" s="3326"/>
      <c r="AF1" s="3326"/>
      <c r="AG1" s="3326"/>
      <c r="AH1" s="3326"/>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7" customFormat="1" ht="14.25">
      <c r="A3" s="2926" t="s">
        <v>3022</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1">
        <v>2020</v>
      </c>
      <c r="H5" s="1729">
        <v>1</v>
      </c>
      <c r="I5" s="2913">
        <v>0</v>
      </c>
      <c r="J5" s="2913">
        <v>0</v>
      </c>
      <c r="K5" s="2913">
        <v>0</v>
      </c>
      <c r="L5" s="2913">
        <v>0</v>
      </c>
      <c r="N5" s="1467">
        <f t="shared" ref="N5" si="7">I5/100</f>
        <v>0</v>
      </c>
      <c r="O5" s="1467">
        <f t="shared" ref="O5" si="8">J5/100</f>
        <v>0</v>
      </c>
      <c r="P5" s="1467">
        <f t="shared" ref="P5" si="9">K5/100</f>
        <v>0</v>
      </c>
      <c r="Q5" s="1467">
        <f t="shared" ref="Q5" si="10">L5/100</f>
        <v>0</v>
      </c>
      <c r="R5" s="1731"/>
      <c r="S5" s="1732"/>
      <c r="T5" s="1731"/>
      <c r="U5" s="1731"/>
      <c r="V5" s="1731"/>
      <c r="W5" s="2916" t="s">
        <v>3023</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3040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3.5" thickBot="1">
      <c r="A7" s="1461" t="s">
        <v>3036</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0">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3034</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6">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3032</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0">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3035</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323">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3029</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3"/>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3028</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3"/>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3021</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2"/>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3018</v>
      </c>
      <c r="B14" s="1469">
        <v>439</v>
      </c>
      <c r="C14" s="1469">
        <v>327</v>
      </c>
      <c r="D14" s="1469">
        <f>C14</f>
        <v>327</v>
      </c>
      <c r="E14" s="1469">
        <v>627</v>
      </c>
      <c r="F14" s="1470">
        <v>283</v>
      </c>
      <c r="G14" s="3328">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3019</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3"/>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3"/>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2"/>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328">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3"/>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3"/>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4"/>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2">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3"/>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3"/>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4"/>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2">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3"/>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3"/>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4"/>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19"/>
        <v>252</v>
      </c>
      <c r="E30" s="1469">
        <v>409</v>
      </c>
      <c r="F30" s="1470">
        <v>227</v>
      </c>
      <c r="G30" s="3329">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0"/>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0"/>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1"/>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2">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3"/>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3"/>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4"/>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2">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3">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3">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4">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2">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3">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3">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4">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2">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3">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3">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4">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2">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3">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3">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4">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2">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3">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3">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4">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2">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3">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3">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4">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2">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3">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3">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4">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2">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3">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3">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4">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2">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3">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3">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4">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2">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3">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3">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4">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132"/>
  <sheetViews>
    <sheetView topLeftCell="B1" zoomScale="80" zoomScaleNormal="8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8" t="s">
        <v>2674</v>
      </c>
      <c r="C1" s="1620" t="s">
        <v>2518</v>
      </c>
      <c r="D1" s="1621" t="s">
        <v>27</v>
      </c>
      <c r="E1" s="1630"/>
      <c r="F1" s="2583" t="s">
        <v>3089</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f>IF(C2="——",ROUND(C50*D3/10000,0),ROUND(C50*D3/10000,0)-D2)</f>
        <v>0</v>
      </c>
      <c r="C2" s="2585" t="s">
        <v>70</v>
      </c>
      <c r="D2" s="1365" t="e">
        <f ca="1">SUMIF(INDIRECT("'"&amp;F2&amp;"'"&amp;"!A:A"),"承租人权益价值",INDIRECT("'"&amp;F2&amp;"'"&amp;"!c:c"))</f>
        <v>#REF!</v>
      </c>
      <c r="E2" s="2586" t="s">
        <v>2316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6.4</v>
      </c>
      <c r="C3" s="400" t="s">
        <v>2632</v>
      </c>
      <c r="D3" s="399">
        <f>IF(D1="",'数据-汇总表'!E3,SUMIF('数据-汇总表'!$C19:$C33,D1,'数据-汇总表'!$E19:$E33))</f>
        <v>0</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31" t="s">
        <v>2639</v>
      </c>
      <c r="Q4" s="3232"/>
      <c r="R4" s="3214" t="s">
        <v>2635</v>
      </c>
      <c r="S4" s="3215"/>
      <c r="T4" s="3214" t="s">
        <v>2636</v>
      </c>
      <c r="U4" s="3215"/>
      <c r="V4" s="3212" t="s">
        <v>2637</v>
      </c>
      <c r="W4" s="3212"/>
      <c r="X4" s="2669"/>
      <c r="Y4" s="3214" t="s">
        <v>2639</v>
      </c>
      <c r="Z4" s="3215"/>
      <c r="AA4" s="3220" t="s">
        <v>2635</v>
      </c>
      <c r="AB4" s="3220" t="s">
        <v>2636</v>
      </c>
      <c r="AC4" s="3224" t="s">
        <v>2637</v>
      </c>
    </row>
    <row r="5" spans="1:29" ht="15">
      <c r="A5" s="404"/>
      <c r="B5" s="405"/>
      <c r="C5" s="3237" t="s">
        <v>3144</v>
      </c>
      <c r="D5" s="3238"/>
      <c r="E5" s="3239" t="s">
        <v>3134</v>
      </c>
      <c r="F5" s="3240"/>
      <c r="G5" s="3239" t="s">
        <v>3145</v>
      </c>
      <c r="H5" s="3240"/>
      <c r="I5" s="3237" t="s">
        <v>3168</v>
      </c>
      <c r="J5" s="3238"/>
      <c r="K5" s="610"/>
      <c r="L5" s="1130"/>
      <c r="M5" s="1131"/>
      <c r="N5" s="1131"/>
      <c r="O5" s="1131"/>
      <c r="P5" s="3233"/>
      <c r="Q5" s="3234"/>
      <c r="R5" s="3216"/>
      <c r="S5" s="3217"/>
      <c r="T5" s="3216"/>
      <c r="U5" s="3217"/>
      <c r="V5" s="3213"/>
      <c r="W5" s="3213"/>
      <c r="X5" s="1812"/>
      <c r="Y5" s="3216"/>
      <c r="Z5" s="3217"/>
      <c r="AA5" s="3221"/>
      <c r="AB5" s="3221"/>
      <c r="AC5" s="3225"/>
    </row>
    <row r="6" spans="1:29" ht="15.75" thickBot="1">
      <c r="A6" s="406"/>
      <c r="B6" s="407"/>
      <c r="C6" s="3245" t="s">
        <v>3090</v>
      </c>
      <c r="D6" s="3246"/>
      <c r="E6" s="3333" t="s">
        <v>3135</v>
      </c>
      <c r="F6" s="3287"/>
      <c r="G6" s="3245" t="s">
        <v>3090</v>
      </c>
      <c r="H6" s="3246"/>
      <c r="I6" s="3245" t="s">
        <v>3090</v>
      </c>
      <c r="J6" s="3246"/>
      <c r="K6" s="610" t="s">
        <v>2535</v>
      </c>
      <c r="L6" s="1130"/>
      <c r="M6" s="1131"/>
      <c r="N6" s="1131"/>
      <c r="O6" s="1131"/>
      <c r="P6" s="3235"/>
      <c r="Q6" s="3236"/>
      <c r="R6" s="3216"/>
      <c r="S6" s="3217"/>
      <c r="T6" s="3218"/>
      <c r="U6" s="3219"/>
      <c r="V6" s="3213"/>
      <c r="W6" s="3213"/>
      <c r="X6" s="1812"/>
      <c r="Y6" s="3218"/>
      <c r="Z6" s="3219"/>
      <c r="AA6" s="3222"/>
      <c r="AB6" s="3222"/>
      <c r="AC6" s="3226"/>
    </row>
    <row r="7" spans="1:29" s="117" customFormat="1" ht="15.75" thickBot="1">
      <c r="A7" s="408" t="s">
        <v>2536</v>
      </c>
      <c r="B7" s="409"/>
      <c r="C7" s="410">
        <f>'数据-取费表'!B2</f>
        <v>44552</v>
      </c>
      <c r="D7" s="411">
        <v>100</v>
      </c>
      <c r="E7" s="412">
        <v>44531</v>
      </c>
      <c r="F7" s="413">
        <f>SUMIF(59:59,YEAR(E7)&amp;"-"&amp;MONTH(E7),60:60)</f>
        <v>100</v>
      </c>
      <c r="G7" s="412">
        <v>44531</v>
      </c>
      <c r="H7" s="411">
        <f>SUMIF(59:59,YEAR(G7)&amp;"-"&amp;MONTH(G7),60:60)</f>
        <v>100</v>
      </c>
      <c r="I7" s="412">
        <v>44531</v>
      </c>
      <c r="J7" s="411">
        <f>SUMIF(59:59,YEAR(I7)&amp;"-"&amp;MONTH(I7),60:60)</f>
        <v>100</v>
      </c>
      <c r="K7" s="611"/>
      <c r="L7" s="1132"/>
      <c r="M7" s="1133"/>
      <c r="N7" s="1133"/>
      <c r="O7" s="1133"/>
      <c r="P7" s="3209" t="s">
        <v>2537</v>
      </c>
      <c r="Q7" s="3223"/>
      <c r="R7" s="770" t="s">
        <v>17</v>
      </c>
      <c r="S7" s="771">
        <f t="shared" ref="S7:S15" si="0">F7</f>
        <v>100</v>
      </c>
      <c r="T7" s="770" t="s">
        <v>17</v>
      </c>
      <c r="U7" s="771">
        <f t="shared" ref="U7:U15" si="1">H7</f>
        <v>100</v>
      </c>
      <c r="V7" s="770" t="s">
        <v>17</v>
      </c>
      <c r="W7" s="771">
        <f t="shared" ref="W7:W15" si="2">J7</f>
        <v>100</v>
      </c>
      <c r="X7" s="772"/>
      <c r="Y7" s="3211" t="s">
        <v>2537</v>
      </c>
      <c r="Z7" s="3210"/>
      <c r="AA7" s="773">
        <f>D7/F7</f>
        <v>1</v>
      </c>
      <c r="AB7" s="773">
        <f>D7/H7</f>
        <v>1</v>
      </c>
      <c r="AC7" s="2670">
        <f>D7/J7</f>
        <v>1</v>
      </c>
    </row>
    <row r="8" spans="1:29" s="117" customFormat="1" ht="15.75" thickBot="1">
      <c r="A8" s="408" t="s">
        <v>2538</v>
      </c>
      <c r="B8" s="409"/>
      <c r="C8" s="414" t="s">
        <v>2640</v>
      </c>
      <c r="D8" s="411">
        <v>100</v>
      </c>
      <c r="E8" s="414" t="s">
        <v>2575</v>
      </c>
      <c r="F8" s="413">
        <f>SUMIF(62:62,E8,63:63)-SUMIF(62:62,C8,63:63)+100</f>
        <v>100</v>
      </c>
      <c r="G8" s="414" t="s">
        <v>2575</v>
      </c>
      <c r="H8" s="411">
        <f>SUMIF(62:62,G8,63:63)-SUMIF(62:62,C8,63:63)+100</f>
        <v>100</v>
      </c>
      <c r="I8" s="414" t="s">
        <v>2575</v>
      </c>
      <c r="J8" s="411">
        <f>SUMIF(62:62,I8,63:63)-SUMIF(62:62,C8,63:63)+100</f>
        <v>100</v>
      </c>
      <c r="K8" s="611"/>
      <c r="L8" s="1132"/>
      <c r="M8" s="1133"/>
      <c r="N8" s="1133"/>
      <c r="O8" s="1133"/>
      <c r="P8" s="3209" t="s">
        <v>2540</v>
      </c>
      <c r="Q8" s="3210"/>
      <c r="R8" s="770" t="s">
        <v>17</v>
      </c>
      <c r="S8" s="771">
        <f t="shared" si="0"/>
        <v>100</v>
      </c>
      <c r="T8" s="770" t="s">
        <v>17</v>
      </c>
      <c r="U8" s="771">
        <f t="shared" si="1"/>
        <v>100</v>
      </c>
      <c r="V8" s="770" t="s">
        <v>17</v>
      </c>
      <c r="W8" s="771">
        <f t="shared" si="2"/>
        <v>100</v>
      </c>
      <c r="X8" s="772"/>
      <c r="Y8" s="3211" t="s">
        <v>2540</v>
      </c>
      <c r="Z8" s="3210"/>
      <c r="AA8" s="773">
        <f t="shared" ref="AA8:AA47" si="3">D8/F8</f>
        <v>1</v>
      </c>
      <c r="AB8" s="773">
        <f t="shared" ref="AB8:AB47" si="4">D8/H8</f>
        <v>1</v>
      </c>
      <c r="AC8" s="2670">
        <f t="shared" ref="AC8:AC47" si="5">D8/J8</f>
        <v>1</v>
      </c>
    </row>
    <row r="9" spans="1:29" s="117" customFormat="1">
      <c r="A9" s="415" t="s">
        <v>2541</v>
      </c>
      <c r="B9" s="71" t="s">
        <v>2542</v>
      </c>
      <c r="C9" s="2968" t="s">
        <v>3091</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94"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2670">
        <f t="shared" si="5"/>
        <v>1</v>
      </c>
    </row>
    <row r="10" spans="1:29" s="427" customFormat="1" ht="27.75" thickBot="1">
      <c r="A10" s="421"/>
      <c r="B10" s="422" t="s">
        <v>2545</v>
      </c>
      <c r="C10" s="423" t="s">
        <v>3133</v>
      </c>
      <c r="D10" s="136">
        <v>100</v>
      </c>
      <c r="E10" s="423" t="s">
        <v>3092</v>
      </c>
      <c r="F10" s="136">
        <f>SUMIF(66:66,E10,67:67)-SUMIF(66:66,C10,67:67)+100</f>
        <v>101</v>
      </c>
      <c r="G10" s="423" t="s">
        <v>3133</v>
      </c>
      <c r="H10" s="136">
        <f>SUMIF(66:66,G10,67:67)-SUMIF(66:66,C10,67:67)+100</f>
        <v>100</v>
      </c>
      <c r="I10" s="423" t="s">
        <v>3133</v>
      </c>
      <c r="J10" s="136">
        <f>SUMIF(66:66,I10,67:67)-SUMIF(66:66,C10,67:67)+100</f>
        <v>100</v>
      </c>
      <c r="K10" s="612">
        <f>'比较法-办公（售价)'!K10</f>
        <v>1</v>
      </c>
      <c r="L10" s="1135"/>
      <c r="M10" s="1136"/>
      <c r="N10" s="1136"/>
      <c r="O10" s="1136"/>
      <c r="P10" s="3194"/>
      <c r="Q10" s="1794" t="str">
        <f t="shared" si="6"/>
        <v>土地使用年限（年）</v>
      </c>
      <c r="R10" s="770" t="s">
        <v>17</v>
      </c>
      <c r="S10" s="771">
        <f t="shared" si="0"/>
        <v>101</v>
      </c>
      <c r="T10" s="770" t="s">
        <v>17</v>
      </c>
      <c r="U10" s="771">
        <f t="shared" si="1"/>
        <v>100</v>
      </c>
      <c r="V10" s="770" t="s">
        <v>17</v>
      </c>
      <c r="W10" s="771">
        <f t="shared" si="2"/>
        <v>100</v>
      </c>
      <c r="X10" s="772"/>
      <c r="Y10" s="3049"/>
      <c r="Z10" s="55" t="str">
        <f t="shared" si="7"/>
        <v>土地使用年限（年）</v>
      </c>
      <c r="AA10" s="773">
        <f t="shared" si="3"/>
        <v>0.99009900990099009</v>
      </c>
      <c r="AB10" s="773">
        <f t="shared" si="4"/>
        <v>1</v>
      </c>
      <c r="AC10" s="2670">
        <f t="shared" si="5"/>
        <v>1</v>
      </c>
    </row>
    <row r="11" spans="1:29" ht="15" hidden="1">
      <c r="A11" s="428"/>
      <c r="B11" s="422"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8"/>
      <c r="M11" s="1131"/>
      <c r="N11" s="1131"/>
      <c r="O11" s="1131"/>
      <c r="P11" s="3194"/>
      <c r="Q11" s="1794" t="str">
        <f t="shared" si="6"/>
        <v>容积率</v>
      </c>
      <c r="R11" s="770" t="s">
        <v>17</v>
      </c>
      <c r="S11" s="771">
        <f t="shared" si="0"/>
        <v>100</v>
      </c>
      <c r="T11" s="770" t="s">
        <v>17</v>
      </c>
      <c r="U11" s="771">
        <f t="shared" si="1"/>
        <v>100</v>
      </c>
      <c r="V11" s="770" t="s">
        <v>17</v>
      </c>
      <c r="W11" s="771">
        <f t="shared" si="2"/>
        <v>100</v>
      </c>
      <c r="X11" s="772"/>
      <c r="Y11" s="3049"/>
      <c r="Z11" s="55" t="str">
        <f t="shared" si="7"/>
        <v>容积率</v>
      </c>
      <c r="AA11" s="773">
        <f t="shared" si="3"/>
        <v>1</v>
      </c>
      <c r="AB11" s="773">
        <f t="shared" si="4"/>
        <v>1</v>
      </c>
      <c r="AC11" s="2670">
        <f t="shared" si="5"/>
        <v>1</v>
      </c>
    </row>
    <row r="12" spans="1:29" s="117" customFormat="1" ht="15" hidden="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2670">
        <f>D12/J12</f>
        <v>1</v>
      </c>
    </row>
    <row r="13" spans="1:29" ht="15" hidden="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4"/>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2670">
        <f t="shared" si="5"/>
        <v>1</v>
      </c>
    </row>
    <row r="15" spans="1:29" ht="15">
      <c r="A15" s="440" t="s">
        <v>2547</v>
      </c>
      <c r="B15" s="629" t="s">
        <v>2675</v>
      </c>
      <c r="C15" s="2672" t="str">
        <f>估价对象房地状况!C5</f>
        <v>一般</v>
      </c>
      <c r="D15" s="441">
        <v>100</v>
      </c>
      <c r="E15" s="442"/>
      <c r="F15" s="441">
        <f>SUMIF(77:77,E16,78:78)-SUMIF(77:77,C16,78:78)+100</f>
        <v>100</v>
      </c>
      <c r="G15" s="442"/>
      <c r="H15" s="441">
        <f>SUMIF(77:77,G16,78:78)-SUMIF(77:77,C16,78:78)+100</f>
        <v>100</v>
      </c>
      <c r="I15" s="442"/>
      <c r="J15" s="441">
        <f>SUMIF(77:77,I16,78:78)-SUMIF(77:77,C16,78:78)+100</f>
        <v>100</v>
      </c>
      <c r="K15" s="612">
        <f>'比较法-办公（售价)'!K15</f>
        <v>1</v>
      </c>
      <c r="L15" s="1140"/>
      <c r="M15" s="1131"/>
      <c r="N15" s="1131"/>
      <c r="O15" s="1131"/>
      <c r="P15" s="3200" t="s">
        <v>2548</v>
      </c>
      <c r="Q15" s="1809" t="str">
        <f t="shared" si="6"/>
        <v>办公集聚程度</v>
      </c>
      <c r="R15" s="774" t="s">
        <v>17</v>
      </c>
      <c r="S15" s="775">
        <f t="shared" si="0"/>
        <v>100</v>
      </c>
      <c r="T15" s="774" t="s">
        <v>17</v>
      </c>
      <c r="U15" s="775">
        <f t="shared" si="1"/>
        <v>100</v>
      </c>
      <c r="V15" s="774" t="s">
        <v>17</v>
      </c>
      <c r="W15" s="775">
        <f t="shared" si="2"/>
        <v>100</v>
      </c>
      <c r="X15" s="1812"/>
      <c r="Y15" s="3202" t="s">
        <v>2548</v>
      </c>
      <c r="Z15" s="1813" t="str">
        <f t="shared" si="7"/>
        <v>办公集聚程度</v>
      </c>
      <c r="AA15" s="1810">
        <f t="shared" si="3"/>
        <v>1</v>
      </c>
      <c r="AB15" s="1810">
        <f t="shared" si="4"/>
        <v>1</v>
      </c>
      <c r="AC15" s="2673">
        <f t="shared" si="5"/>
        <v>1</v>
      </c>
    </row>
    <row r="16" spans="1:29" ht="15">
      <c r="A16" s="428"/>
      <c r="B16" s="630"/>
      <c r="C16" s="2610" t="s">
        <v>3158</v>
      </c>
      <c r="D16" s="448"/>
      <c r="E16" s="2610" t="s">
        <v>3158</v>
      </c>
      <c r="F16" s="448"/>
      <c r="G16" s="2610" t="s">
        <v>3158</v>
      </c>
      <c r="H16" s="450"/>
      <c r="I16" s="2610" t="s">
        <v>3158</v>
      </c>
      <c r="J16" s="448"/>
      <c r="K16" s="615"/>
      <c r="L16" s="1140"/>
      <c r="M16" s="1131"/>
      <c r="N16" s="1131"/>
      <c r="O16" s="1131"/>
      <c r="P16" s="3201"/>
      <c r="Q16" s="1809"/>
      <c r="R16" s="774"/>
      <c r="S16" s="775"/>
      <c r="T16" s="774"/>
      <c r="U16" s="775"/>
      <c r="V16" s="774"/>
      <c r="W16" s="775"/>
      <c r="X16" s="1812"/>
      <c r="Y16" s="3203"/>
      <c r="Z16" s="1813"/>
      <c r="AA16" s="1810">
        <v>1</v>
      </c>
      <c r="AB16" s="1810">
        <v>1</v>
      </c>
      <c r="AC16" s="2673">
        <v>1</v>
      </c>
    </row>
    <row r="17" spans="1:29" ht="15">
      <c r="A17" s="428"/>
      <c r="B17" s="631" t="s">
        <v>2085</v>
      </c>
      <c r="C17" s="2674" t="str">
        <f>估价对象房地状况!C6</f>
        <v>较好</v>
      </c>
      <c r="D17" s="450">
        <v>100</v>
      </c>
      <c r="E17" s="452"/>
      <c r="F17" s="450">
        <f>SUMIF(79:79,E18,80:80)-SUMIF(79:79,C18,80:80)+100</f>
        <v>100</v>
      </c>
      <c r="G17" s="452"/>
      <c r="H17" s="455">
        <f>SUMIF(79:79,G18,80:80)-SUMIF(79:79,C18,80:80)+100</f>
        <v>100</v>
      </c>
      <c r="I17" s="452"/>
      <c r="J17" s="455">
        <f>SUMIF(79:79,I18,80:80)-SUMIF(79:79,C18,80:80)+100</f>
        <v>100</v>
      </c>
      <c r="K17" s="612">
        <f>'比较法-办公（售价)'!K17</f>
        <v>1</v>
      </c>
      <c r="L17" s="1140"/>
      <c r="M17" s="1131"/>
      <c r="N17" s="1131"/>
      <c r="O17" s="1131"/>
      <c r="P17" s="3201"/>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2673">
        <f t="shared" si="5"/>
        <v>1</v>
      </c>
    </row>
    <row r="18" spans="1:29" ht="15">
      <c r="A18" s="428"/>
      <c r="B18" s="632"/>
      <c r="C18" s="2675" t="s">
        <v>3093</v>
      </c>
      <c r="D18" s="450"/>
      <c r="E18" s="2675" t="s">
        <v>3093</v>
      </c>
      <c r="F18" s="450"/>
      <c r="G18" s="2675" t="s">
        <v>3093</v>
      </c>
      <c r="H18" s="448"/>
      <c r="I18" s="2675" t="s">
        <v>3093</v>
      </c>
      <c r="J18" s="448"/>
      <c r="K18" s="615"/>
      <c r="L18" s="1140"/>
      <c r="M18" s="1131"/>
      <c r="N18" s="1131"/>
      <c r="O18" s="1131"/>
      <c r="P18" s="3201"/>
      <c r="Q18" s="1809"/>
      <c r="R18" s="774"/>
      <c r="S18" s="775"/>
      <c r="T18" s="774"/>
      <c r="U18" s="775"/>
      <c r="V18" s="774"/>
      <c r="W18" s="775"/>
      <c r="X18" s="1812"/>
      <c r="Y18" s="3203"/>
      <c r="Z18" s="1813"/>
      <c r="AA18" s="1810">
        <v>1</v>
      </c>
      <c r="AB18" s="1810">
        <v>1</v>
      </c>
      <c r="AC18" s="2673">
        <v>1</v>
      </c>
    </row>
    <row r="19" spans="1:29" ht="15">
      <c r="A19" s="428"/>
      <c r="B19" s="631" t="s">
        <v>2676</v>
      </c>
      <c r="C19" s="2674" t="str">
        <f>估价对象房地状况!C7</f>
        <v>一般</v>
      </c>
      <c r="D19" s="455">
        <v>100</v>
      </c>
      <c r="E19" s="457"/>
      <c r="F19" s="455">
        <f>SUMIF(81:81,E20,82:82)-SUMIF(81:81,C20,82:82)+100</f>
        <v>100</v>
      </c>
      <c r="G19" s="457"/>
      <c r="H19" s="450">
        <f>SUMIF(81:81,G20,82:82)-SUMIF(81:81,C20,82:82)+100</f>
        <v>100</v>
      </c>
      <c r="I19" s="457"/>
      <c r="J19" s="450">
        <f>SUMIF(81:81,I20,82:82)-SUMIF(81:81,C20,82:82)+100</f>
        <v>100</v>
      </c>
      <c r="K19" s="612">
        <f>'比较法-办公（售价)'!K19</f>
        <v>1</v>
      </c>
      <c r="L19" s="1140"/>
      <c r="M19" s="1131"/>
      <c r="N19" s="1131"/>
      <c r="O19" s="1131"/>
      <c r="P19" s="3201"/>
      <c r="Q19" s="1809" t="str">
        <f>B19</f>
        <v>公共配套设施</v>
      </c>
      <c r="R19" s="774" t="s">
        <v>17</v>
      </c>
      <c r="S19" s="775">
        <f>F19</f>
        <v>100</v>
      </c>
      <c r="T19" s="774" t="s">
        <v>17</v>
      </c>
      <c r="U19" s="775">
        <f>H19</f>
        <v>100</v>
      </c>
      <c r="V19" s="774" t="s">
        <v>17</v>
      </c>
      <c r="W19" s="775">
        <f>J19</f>
        <v>100</v>
      </c>
      <c r="X19" s="1812"/>
      <c r="Y19" s="3203"/>
      <c r="Z19" s="1813" t="str">
        <f>Q19</f>
        <v>公共配套设施</v>
      </c>
      <c r="AA19" s="1810">
        <f t="shared" si="3"/>
        <v>1</v>
      </c>
      <c r="AB19" s="1810">
        <f t="shared" si="4"/>
        <v>1</v>
      </c>
      <c r="AC19" s="2673">
        <f t="shared" si="5"/>
        <v>1</v>
      </c>
    </row>
    <row r="20" spans="1:29" ht="15">
      <c r="A20" s="428"/>
      <c r="B20" s="632"/>
      <c r="C20" s="2610" t="s">
        <v>3158</v>
      </c>
      <c r="D20" s="448"/>
      <c r="E20" s="2610" t="s">
        <v>3158</v>
      </c>
      <c r="F20" s="448"/>
      <c r="G20" s="2610" t="s">
        <v>3158</v>
      </c>
      <c r="H20" s="448"/>
      <c r="I20" s="2610" t="s">
        <v>3158</v>
      </c>
      <c r="J20" s="448"/>
      <c r="K20" s="615"/>
      <c r="L20" s="1140"/>
      <c r="M20" s="1131"/>
      <c r="N20" s="1131"/>
      <c r="O20" s="1131"/>
      <c r="P20" s="3201"/>
      <c r="Q20" s="1809"/>
      <c r="R20" s="774"/>
      <c r="S20" s="775"/>
      <c r="T20" s="774"/>
      <c r="U20" s="775"/>
      <c r="V20" s="774"/>
      <c r="W20" s="775"/>
      <c r="X20" s="1812"/>
      <c r="Y20" s="3203"/>
      <c r="Z20" s="1813"/>
      <c r="AA20" s="1810">
        <v>1</v>
      </c>
      <c r="AB20" s="1810">
        <v>1</v>
      </c>
      <c r="AC20" s="2673">
        <v>1</v>
      </c>
    </row>
    <row r="21" spans="1:29" ht="15">
      <c r="A21" s="428"/>
      <c r="B21" s="633" t="s">
        <v>2677</v>
      </c>
      <c r="C21" s="2674" t="str">
        <f>估价对象房地状况!C8</f>
        <v>七通</v>
      </c>
      <c r="D21" s="450">
        <v>100</v>
      </c>
      <c r="E21" s="457"/>
      <c r="F21" s="455">
        <f>SUMIF(83:83,E22,84:84)-SUMIF(83:83,C22,84:84)+100</f>
        <v>100</v>
      </c>
      <c r="G21" s="457"/>
      <c r="H21" s="450">
        <f>SUMIF(83:83,G22,84:84)-SUMIF(83:83,C22,84:84)+100</f>
        <v>100</v>
      </c>
      <c r="I21" s="457"/>
      <c r="J21" s="450">
        <f>SUMIF(83:83,I22,84:84)-SUMIF(83:83,C22,84:84)+100</f>
        <v>100</v>
      </c>
      <c r="K21" s="612">
        <f>'比较法-办公（售价)'!K21</f>
        <v>1</v>
      </c>
      <c r="L21" s="1140"/>
      <c r="M21" s="1131"/>
      <c r="N21" s="1131"/>
      <c r="O21" s="1131"/>
      <c r="P21" s="3201"/>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 t="shared" ref="AA21" si="8">D21/F21</f>
        <v>1</v>
      </c>
      <c r="AB21" s="1810">
        <f t="shared" ref="AB21" si="9">D21/H21</f>
        <v>1</v>
      </c>
      <c r="AC21" s="2673">
        <f t="shared" ref="AC21" si="10">D21/J21</f>
        <v>1</v>
      </c>
    </row>
    <row r="22" spans="1:29" ht="15">
      <c r="A22" s="428"/>
      <c r="B22" s="633"/>
      <c r="C22" s="2675" t="s">
        <v>3095</v>
      </c>
      <c r="D22" s="448"/>
      <c r="E22" s="2675" t="s">
        <v>3095</v>
      </c>
      <c r="F22" s="448"/>
      <c r="G22" s="2675" t="s">
        <v>3095</v>
      </c>
      <c r="H22" s="448"/>
      <c r="I22" s="2675" t="s">
        <v>3095</v>
      </c>
      <c r="J22" s="448"/>
      <c r="K22" s="1383"/>
      <c r="L22" s="1140"/>
      <c r="M22" s="1131"/>
      <c r="N22" s="1131"/>
      <c r="O22" s="1131"/>
      <c r="P22" s="3201"/>
      <c r="Q22" s="1809"/>
      <c r="R22" s="774"/>
      <c r="S22" s="775"/>
      <c r="T22" s="774"/>
      <c r="U22" s="775"/>
      <c r="V22" s="774"/>
      <c r="W22" s="775"/>
      <c r="X22" s="1812"/>
      <c r="Y22" s="3203"/>
      <c r="Z22" s="1813"/>
      <c r="AA22" s="1810">
        <v>1</v>
      </c>
      <c r="AB22" s="1810">
        <v>1</v>
      </c>
      <c r="AC22" s="2673">
        <v>1</v>
      </c>
    </row>
    <row r="23" spans="1:29" ht="15">
      <c r="A23" s="428"/>
      <c r="B23" s="631" t="s">
        <v>2678</v>
      </c>
      <c r="C23" s="2674" t="str">
        <f>估价对象房地状况!C9</f>
        <v>较好</v>
      </c>
      <c r="D23" s="450">
        <v>100</v>
      </c>
      <c r="E23" s="452"/>
      <c r="F23" s="450">
        <f>SUMIF(85:85,E24,86:86)-SUMIF(85:85,C24,86:86)+100</f>
        <v>100</v>
      </c>
      <c r="G23" s="452"/>
      <c r="H23" s="450">
        <f>SUMIF(85:85,G24,86:86)-SUMIF(85:85,C24,86:86)+100</f>
        <v>100</v>
      </c>
      <c r="I23" s="452"/>
      <c r="J23" s="450">
        <f>SUMIF(85:85,I24,86:86)-SUMIF(85:85,C24,86:86)+100</f>
        <v>100</v>
      </c>
      <c r="K23" s="612">
        <f>'比较法-办公（售价)'!K23</f>
        <v>1</v>
      </c>
      <c r="L23" s="1140"/>
      <c r="M23" s="1131"/>
      <c r="N23" s="1131"/>
      <c r="O23" s="1131"/>
      <c r="P23" s="3201"/>
      <c r="Q23" s="1809" t="str">
        <f>B23</f>
        <v>环境质量</v>
      </c>
      <c r="R23" s="774" t="s">
        <v>17</v>
      </c>
      <c r="S23" s="775">
        <f>F23</f>
        <v>100</v>
      </c>
      <c r="T23" s="774" t="s">
        <v>17</v>
      </c>
      <c r="U23" s="775">
        <f>H23</f>
        <v>100</v>
      </c>
      <c r="V23" s="774" t="s">
        <v>17</v>
      </c>
      <c r="W23" s="775">
        <f>J23</f>
        <v>100</v>
      </c>
      <c r="X23" s="1812"/>
      <c r="Y23" s="3203"/>
      <c r="Z23" s="1813" t="str">
        <f>Q23</f>
        <v>环境质量</v>
      </c>
      <c r="AA23" s="1810">
        <f t="shared" si="3"/>
        <v>1</v>
      </c>
      <c r="AB23" s="1810">
        <f t="shared" si="4"/>
        <v>1</v>
      </c>
      <c r="AC23" s="2673">
        <f t="shared" si="5"/>
        <v>1</v>
      </c>
    </row>
    <row r="24" spans="1:29" ht="15">
      <c r="A24" s="428"/>
      <c r="B24" s="633"/>
      <c r="C24" s="2610" t="s">
        <v>3093</v>
      </c>
      <c r="D24" s="448"/>
      <c r="E24" s="2610" t="s">
        <v>3093</v>
      </c>
      <c r="F24" s="448"/>
      <c r="G24" s="2610" t="s">
        <v>3093</v>
      </c>
      <c r="H24" s="448"/>
      <c r="I24" s="2610" t="s">
        <v>3093</v>
      </c>
      <c r="J24" s="448"/>
      <c r="K24" s="615"/>
      <c r="L24" s="1140"/>
      <c r="M24" s="1131"/>
      <c r="N24" s="1131"/>
      <c r="O24" s="1131"/>
      <c r="P24" s="3201"/>
      <c r="Q24" s="1809"/>
      <c r="R24" s="774"/>
      <c r="S24" s="775"/>
      <c r="T24" s="774"/>
      <c r="U24" s="775"/>
      <c r="V24" s="774"/>
      <c r="W24" s="775"/>
      <c r="X24" s="1812"/>
      <c r="Y24" s="3203"/>
      <c r="Z24" s="1813"/>
      <c r="AA24" s="1810">
        <v>1</v>
      </c>
      <c r="AB24" s="1810">
        <v>1</v>
      </c>
      <c r="AC24" s="2673">
        <v>1</v>
      </c>
    </row>
    <row r="25" spans="1:29" ht="27.75">
      <c r="A25" s="404"/>
      <c r="B25" s="631" t="s">
        <v>2679</v>
      </c>
      <c r="C25" s="2614" t="s">
        <v>3097</v>
      </c>
      <c r="D25" s="435">
        <v>100</v>
      </c>
      <c r="E25" s="2614" t="s">
        <v>3097</v>
      </c>
      <c r="F25" s="435">
        <f>SUMIF(87:87,E26,88:88)-SUMIF(87:87,C26,88:88)+100</f>
        <v>100</v>
      </c>
      <c r="G25" s="2614" t="s">
        <v>3097</v>
      </c>
      <c r="H25" s="435">
        <f>SUMIF(87:87,G26,88:88)-SUMIF(87:87,C26,88:88)+100</f>
        <v>100</v>
      </c>
      <c r="I25" s="2614" t="s">
        <v>3097</v>
      </c>
      <c r="J25" s="435">
        <f>SUMIF(87:87,I26,88:88)-SUMIF(87:87,C26,88:88)+100</f>
        <v>100</v>
      </c>
      <c r="K25" s="612">
        <f>'比较法-办公（售价)'!K25</f>
        <v>2</v>
      </c>
      <c r="L25" s="1140"/>
      <c r="M25" s="1131"/>
      <c r="N25" s="1131"/>
      <c r="O25" s="1131"/>
      <c r="P25" s="3201"/>
      <c r="Q25" s="1809" t="str">
        <f>B25</f>
        <v>毗邻道路的类型与等级</v>
      </c>
      <c r="R25" s="774" t="s">
        <v>17</v>
      </c>
      <c r="S25" s="775">
        <f>F25</f>
        <v>100</v>
      </c>
      <c r="T25" s="774" t="s">
        <v>17</v>
      </c>
      <c r="U25" s="775">
        <f>H25</f>
        <v>100</v>
      </c>
      <c r="V25" s="774" t="s">
        <v>17</v>
      </c>
      <c r="W25" s="775">
        <f>J25</f>
        <v>100</v>
      </c>
      <c r="X25" s="1812"/>
      <c r="Y25" s="3203"/>
      <c r="Z25" s="1813" t="str">
        <f>Q25</f>
        <v>毗邻道路的类型与等级</v>
      </c>
      <c r="AA25" s="1810">
        <f t="shared" si="3"/>
        <v>1</v>
      </c>
      <c r="AB25" s="1810">
        <f t="shared" si="4"/>
        <v>1</v>
      </c>
      <c r="AC25" s="2673">
        <f t="shared" si="5"/>
        <v>1</v>
      </c>
    </row>
    <row r="26" spans="1:29" ht="15">
      <c r="A26" s="404"/>
      <c r="B26" s="632"/>
      <c r="C26" s="634" t="s">
        <v>3099</v>
      </c>
      <c r="D26" s="435"/>
      <c r="E26" s="634" t="s">
        <v>3099</v>
      </c>
      <c r="F26" s="435"/>
      <c r="G26" s="634" t="s">
        <v>3099</v>
      </c>
      <c r="H26" s="435"/>
      <c r="I26" s="634" t="s">
        <v>3099</v>
      </c>
      <c r="J26" s="435"/>
      <c r="K26" s="615"/>
      <c r="L26" s="1140"/>
      <c r="M26" s="1131"/>
      <c r="N26" s="1131"/>
      <c r="O26" s="1131"/>
      <c r="P26" s="3201"/>
      <c r="Q26" s="1809"/>
      <c r="R26" s="774"/>
      <c r="S26" s="775"/>
      <c r="T26" s="774"/>
      <c r="U26" s="775"/>
      <c r="V26" s="774"/>
      <c r="W26" s="775"/>
      <c r="X26" s="1812"/>
      <c r="Y26" s="3203"/>
      <c r="Z26" s="1813"/>
      <c r="AA26" s="1810">
        <v>1</v>
      </c>
      <c r="AB26" s="1810">
        <v>1</v>
      </c>
      <c r="AC26" s="2673">
        <v>1</v>
      </c>
    </row>
    <row r="27" spans="1:29" ht="15.75" thickBot="1">
      <c r="A27" s="428"/>
      <c r="B27" s="632" t="s">
        <v>2647</v>
      </c>
      <c r="C27" s="634" t="s">
        <v>3105</v>
      </c>
      <c r="D27" s="435">
        <v>100</v>
      </c>
      <c r="E27" s="634" t="s">
        <v>3105</v>
      </c>
      <c r="F27" s="435">
        <f>SUMIF(89:89,E27,90:90)-SUMIF(89:89,C27,90:90)+100</f>
        <v>100</v>
      </c>
      <c r="G27" s="634" t="s">
        <v>3107</v>
      </c>
      <c r="H27" s="435">
        <f>SUMIF(89:89,G27,90:90)-SUMIF(89:89,C27,90:90)+100</f>
        <v>98</v>
      </c>
      <c r="I27" s="634" t="s">
        <v>3105</v>
      </c>
      <c r="J27" s="435">
        <f>SUMIF(89:89,I27,90:90)-SUMIF(89:89,C27,90:90)+100</f>
        <v>100</v>
      </c>
      <c r="K27" s="612">
        <f>'比较法-办公（售价)'!K27</f>
        <v>2</v>
      </c>
      <c r="L27" s="1140"/>
      <c r="M27" s="1131"/>
      <c r="N27" s="1131"/>
      <c r="O27" s="1131"/>
      <c r="P27" s="3201"/>
      <c r="Q27" s="1809" t="str">
        <f t="shared" ref="Q27:Q47" si="11">B27</f>
        <v>楼层</v>
      </c>
      <c r="R27" s="774" t="s">
        <v>17</v>
      </c>
      <c r="S27" s="775">
        <f>F27</f>
        <v>100</v>
      </c>
      <c r="T27" s="774" t="s">
        <v>17</v>
      </c>
      <c r="U27" s="775">
        <f>H27</f>
        <v>98</v>
      </c>
      <c r="V27" s="774" t="s">
        <v>17</v>
      </c>
      <c r="W27" s="775">
        <f>J27</f>
        <v>100</v>
      </c>
      <c r="X27" s="1812"/>
      <c r="Y27" s="3203"/>
      <c r="Z27" s="1813" t="str">
        <f>Q27</f>
        <v>楼层</v>
      </c>
      <c r="AA27" s="1810">
        <f t="shared" si="3"/>
        <v>1</v>
      </c>
      <c r="AB27" s="1810">
        <f t="shared" si="4"/>
        <v>1.0204081632653061</v>
      </c>
      <c r="AC27" s="2673">
        <f t="shared" si="5"/>
        <v>1</v>
      </c>
    </row>
    <row r="28" spans="1:29" s="117" customFormat="1" ht="15" hidden="1">
      <c r="A28" s="431"/>
      <c r="B28" s="631" t="s">
        <v>2680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01"/>
      <c r="Q28" s="1794" t="str">
        <f t="shared" si="11"/>
        <v>朝向</v>
      </c>
      <c r="R28" s="770" t="s">
        <v>17</v>
      </c>
      <c r="S28" s="771">
        <f>F28</f>
        <v>100</v>
      </c>
      <c r="T28" s="770" t="s">
        <v>17</v>
      </c>
      <c r="U28" s="771">
        <f>H28</f>
        <v>100</v>
      </c>
      <c r="V28" s="770" t="s">
        <v>17</v>
      </c>
      <c r="W28" s="771">
        <f>J28</f>
        <v>100</v>
      </c>
      <c r="X28" s="772"/>
      <c r="Y28" s="3203"/>
      <c r="Z28" s="55" t="str">
        <f>Q28</f>
        <v>朝向</v>
      </c>
      <c r="AA28" s="1810">
        <f>D28/F28</f>
        <v>1</v>
      </c>
      <c r="AB28" s="1810">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01"/>
      <c r="Q29" s="1809">
        <f t="shared" si="11"/>
        <v>111</v>
      </c>
      <c r="R29" s="774" t="s">
        <v>17</v>
      </c>
      <c r="S29" s="775">
        <f t="shared" ref="S29:S47" si="12">F29</f>
        <v>100</v>
      </c>
      <c r="T29" s="774" t="s">
        <v>17</v>
      </c>
      <c r="U29" s="775">
        <f t="shared" ref="U29:U47" si="13">H29</f>
        <v>100</v>
      </c>
      <c r="V29" s="774" t="s">
        <v>17</v>
      </c>
      <c r="W29" s="775">
        <f t="shared" ref="W29:W47" si="14">J29</f>
        <v>100</v>
      </c>
      <c r="X29" s="1812"/>
      <c r="Y29" s="3203"/>
      <c r="Z29" s="1813">
        <f t="shared" ref="Z29:Z47" si="15">Q29</f>
        <v>111</v>
      </c>
      <c r="AA29" s="1810">
        <f t="shared" si="3"/>
        <v>1</v>
      </c>
      <c r="AB29" s="1810">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01"/>
      <c r="Q30" s="1809">
        <f t="shared" si="11"/>
        <v>111</v>
      </c>
      <c r="R30" s="774" t="s">
        <v>17</v>
      </c>
      <c r="S30" s="775">
        <f t="shared" si="12"/>
        <v>100</v>
      </c>
      <c r="T30" s="774" t="s">
        <v>17</v>
      </c>
      <c r="U30" s="775">
        <f t="shared" si="13"/>
        <v>100</v>
      </c>
      <c r="V30" s="774" t="s">
        <v>17</v>
      </c>
      <c r="W30" s="775">
        <f t="shared" si="14"/>
        <v>100</v>
      </c>
      <c r="X30" s="1812"/>
      <c r="Y30" s="3203"/>
      <c r="Z30" s="1813">
        <f t="shared" si="15"/>
        <v>111</v>
      </c>
      <c r="AA30" s="1810">
        <f t="shared" si="3"/>
        <v>1</v>
      </c>
      <c r="AB30" s="1810">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01"/>
      <c r="Q31" s="1809">
        <f t="shared" si="11"/>
        <v>111</v>
      </c>
      <c r="R31" s="774" t="s">
        <v>17</v>
      </c>
      <c r="S31" s="775">
        <f t="shared" si="12"/>
        <v>100</v>
      </c>
      <c r="T31" s="774" t="s">
        <v>17</v>
      </c>
      <c r="U31" s="775">
        <f t="shared" si="13"/>
        <v>100</v>
      </c>
      <c r="V31" s="774" t="s">
        <v>17</v>
      </c>
      <c r="W31" s="775">
        <f t="shared" si="14"/>
        <v>100</v>
      </c>
      <c r="X31" s="1812"/>
      <c r="Y31" s="3203"/>
      <c r="Z31" s="1813">
        <f t="shared" si="15"/>
        <v>111</v>
      </c>
      <c r="AA31" s="1810">
        <f t="shared" si="3"/>
        <v>1</v>
      </c>
      <c r="AB31" s="1810">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01"/>
      <c r="Q32" s="1809">
        <f t="shared" si="11"/>
        <v>111</v>
      </c>
      <c r="R32" s="774" t="s">
        <v>17</v>
      </c>
      <c r="S32" s="775">
        <f t="shared" si="12"/>
        <v>100</v>
      </c>
      <c r="T32" s="774" t="s">
        <v>17</v>
      </c>
      <c r="U32" s="775">
        <f t="shared" si="13"/>
        <v>100</v>
      </c>
      <c r="V32" s="774" t="s">
        <v>17</v>
      </c>
      <c r="W32" s="775">
        <f t="shared" si="14"/>
        <v>100</v>
      </c>
      <c r="X32" s="1812"/>
      <c r="Y32" s="3203"/>
      <c r="Z32" s="1813">
        <f t="shared" si="15"/>
        <v>111</v>
      </c>
      <c r="AA32" s="1810">
        <f t="shared" si="3"/>
        <v>1</v>
      </c>
      <c r="AB32" s="1810">
        <f t="shared" si="4"/>
        <v>1</v>
      </c>
      <c r="AC32" s="2673">
        <f t="shared" si="5"/>
        <v>1</v>
      </c>
    </row>
    <row r="33" spans="1:29" ht="15">
      <c r="A33" s="440" t="s">
        <v>2551</v>
      </c>
      <c r="B33" s="71" t="s">
        <v>2681</v>
      </c>
      <c r="C33" s="2678" t="s">
        <v>3109</v>
      </c>
      <c r="D33" s="467">
        <v>100</v>
      </c>
      <c r="E33" s="2678" t="s">
        <v>3109</v>
      </c>
      <c r="F33" s="461">
        <f>SUMIF(101:101,E33,102:102)-SUMIF(101:101,C33,102:102)+100</f>
        <v>100</v>
      </c>
      <c r="G33" s="2678" t="s">
        <v>3109</v>
      </c>
      <c r="H33" s="435">
        <f>SUMIF(101:101,G33,102:102)-SUMIF(101:101,C33,102:102)+100</f>
        <v>100</v>
      </c>
      <c r="I33" s="2678" t="s">
        <v>3109</v>
      </c>
      <c r="J33" s="467">
        <f>SUMIF(101:101,I33,102:102)-SUMIF(101:101,C33,102:102)+100</f>
        <v>100</v>
      </c>
      <c r="K33" s="612">
        <f>'比较法-办公（售价)'!K33</f>
        <v>5</v>
      </c>
      <c r="L33" s="1140"/>
      <c r="M33" s="1131"/>
      <c r="N33" s="1131"/>
      <c r="O33" s="1131"/>
      <c r="P33" s="3204" t="s">
        <v>2553</v>
      </c>
      <c r="Q33" s="1809" t="str">
        <f t="shared" si="11"/>
        <v>建筑类型</v>
      </c>
      <c r="R33" s="774" t="s">
        <v>17</v>
      </c>
      <c r="S33" s="775">
        <f t="shared" si="12"/>
        <v>100</v>
      </c>
      <c r="T33" s="774" t="s">
        <v>17</v>
      </c>
      <c r="U33" s="775">
        <f t="shared" si="13"/>
        <v>100</v>
      </c>
      <c r="V33" s="774" t="s">
        <v>17</v>
      </c>
      <c r="W33" s="775">
        <f t="shared" si="14"/>
        <v>100</v>
      </c>
      <c r="X33" s="1812"/>
      <c r="Y33" s="3207" t="s">
        <v>2553</v>
      </c>
      <c r="Z33" s="1813" t="str">
        <f t="shared" si="15"/>
        <v>建筑类型</v>
      </c>
      <c r="AA33" s="1810">
        <f t="shared" si="3"/>
        <v>1</v>
      </c>
      <c r="AB33" s="1810">
        <f t="shared" si="4"/>
        <v>1</v>
      </c>
      <c r="AC33" s="2673">
        <f t="shared" si="5"/>
        <v>1</v>
      </c>
    </row>
    <row r="34" spans="1:29" s="471" customFormat="1" ht="15">
      <c r="A34" s="468"/>
      <c r="B34" s="422" t="s">
        <v>2554</v>
      </c>
      <c r="C34" s="469"/>
      <c r="D34" s="136">
        <v>100</v>
      </c>
      <c r="E34" s="469"/>
      <c r="F34" s="425">
        <f>LOOKUP(E34,104:104,105:105)-LOOKUP(C34,104:104,105:105)+100</f>
        <v>100</v>
      </c>
      <c r="G34" s="469"/>
      <c r="H34" s="136">
        <f>LOOKUP(G34,104:104,105:105)-LOOKUP(C34,104:104,105:105)+100</f>
        <v>100</v>
      </c>
      <c r="I34" s="469"/>
      <c r="J34" s="136">
        <f>LOOKUP(I34,104:104,105:105)-LOOKUP(C34,104:104,105:105)+100</f>
        <v>100</v>
      </c>
      <c r="K34" s="613"/>
      <c r="L34" s="1138"/>
      <c r="M34" s="1141"/>
      <c r="N34" s="1141"/>
      <c r="O34" s="1141"/>
      <c r="P34" s="3205"/>
      <c r="Q34" s="776" t="str">
        <f t="shared" si="11"/>
        <v>项目建筑规模</v>
      </c>
      <c r="R34" s="777" t="s">
        <v>17</v>
      </c>
      <c r="S34" s="778">
        <f t="shared" si="12"/>
        <v>100</v>
      </c>
      <c r="T34" s="777" t="s">
        <v>17</v>
      </c>
      <c r="U34" s="778">
        <f t="shared" si="13"/>
        <v>100</v>
      </c>
      <c r="V34" s="777" t="s">
        <v>17</v>
      </c>
      <c r="W34" s="778">
        <f t="shared" si="14"/>
        <v>100</v>
      </c>
      <c r="X34" s="779"/>
      <c r="Y34" s="3207"/>
      <c r="Z34" s="780" t="str">
        <f t="shared" si="15"/>
        <v>项目建筑规模</v>
      </c>
      <c r="AA34" s="1810">
        <f t="shared" si="3"/>
        <v>1</v>
      </c>
      <c r="AB34" s="1810">
        <f t="shared" si="4"/>
        <v>1</v>
      </c>
      <c r="AC34" s="2673">
        <f t="shared" si="5"/>
        <v>1</v>
      </c>
    </row>
    <row r="35" spans="1:29" ht="15">
      <c r="A35" s="472"/>
      <c r="B35" s="422" t="s">
        <v>2555</v>
      </c>
      <c r="C35" s="460" t="s">
        <v>3111</v>
      </c>
      <c r="D35" s="435">
        <v>100</v>
      </c>
      <c r="E35" s="460" t="s">
        <v>3111</v>
      </c>
      <c r="F35" s="461">
        <f>SUMIF(106:106,E35,107:107)-SUMIF(106:106,C35,107:107)+100</f>
        <v>100</v>
      </c>
      <c r="G35" s="460" t="s">
        <v>3111</v>
      </c>
      <c r="H35" s="435">
        <f>SUMIF(106:106,G35,107:107)-SUMIF(106:106,C35,107:107)+100</f>
        <v>100</v>
      </c>
      <c r="I35" s="460" t="s">
        <v>3111</v>
      </c>
      <c r="J35" s="435">
        <f>SUMIF(106:106,I35,107:107)-SUMIF(106:106,C35,107:107)+100</f>
        <v>100</v>
      </c>
      <c r="K35" s="612">
        <f>'比较法-办公（售价)'!K35</f>
        <v>1</v>
      </c>
      <c r="L35" s="1140"/>
      <c r="M35" s="1131"/>
      <c r="N35" s="1131"/>
      <c r="O35" s="1131"/>
      <c r="P35" s="3205"/>
      <c r="Q35" s="1809" t="str">
        <f t="shared" si="11"/>
        <v>建筑结构</v>
      </c>
      <c r="R35" s="774" t="s">
        <v>17</v>
      </c>
      <c r="S35" s="775">
        <f t="shared" si="12"/>
        <v>100</v>
      </c>
      <c r="T35" s="774" t="s">
        <v>17</v>
      </c>
      <c r="U35" s="775">
        <f t="shared" si="13"/>
        <v>100</v>
      </c>
      <c r="V35" s="774" t="s">
        <v>17</v>
      </c>
      <c r="W35" s="775">
        <f t="shared" si="14"/>
        <v>100</v>
      </c>
      <c r="X35" s="1812"/>
      <c r="Y35" s="3207"/>
      <c r="Z35" s="1813" t="str">
        <f t="shared" si="15"/>
        <v>建筑结构</v>
      </c>
      <c r="AA35" s="1810">
        <f t="shared" si="3"/>
        <v>1</v>
      </c>
      <c r="AB35" s="1810">
        <f t="shared" si="4"/>
        <v>1</v>
      </c>
      <c r="AC35" s="2673">
        <f t="shared" si="5"/>
        <v>1</v>
      </c>
    </row>
    <row r="36" spans="1:29" ht="15">
      <c r="A36" s="472"/>
      <c r="B36" s="422" t="s">
        <v>2649</v>
      </c>
      <c r="C36" s="460" t="s">
        <v>3113</v>
      </c>
      <c r="D36" s="435">
        <v>100</v>
      </c>
      <c r="E36" s="460" t="s">
        <v>3113</v>
      </c>
      <c r="F36" s="461">
        <f>SUMIF(108:108,E36,109:109)-SUMIF(108:108,C36,109:109)+100</f>
        <v>100</v>
      </c>
      <c r="G36" s="460" t="s">
        <v>3113</v>
      </c>
      <c r="H36" s="435">
        <f>SUMIF(108:108,G36,109:109)-SUMIF(108:108,C36,109:109)+100</f>
        <v>100</v>
      </c>
      <c r="I36" s="460" t="s">
        <v>3113</v>
      </c>
      <c r="J36" s="435">
        <f>SUMIF(108:108,I36,109:109)-SUMIF(108:108,C36,109:109)+100</f>
        <v>100</v>
      </c>
      <c r="K36" s="612">
        <f>'比较法-办公（售价)'!K36</f>
        <v>1</v>
      </c>
      <c r="L36" s="1140"/>
      <c r="M36" s="1131"/>
      <c r="N36" s="1131"/>
      <c r="O36" s="1131"/>
      <c r="P36" s="3205"/>
      <c r="Q36" s="1809" t="str">
        <f t="shared" si="11"/>
        <v>公共部分装修</v>
      </c>
      <c r="R36" s="774" t="s">
        <v>17</v>
      </c>
      <c r="S36" s="775">
        <f t="shared" si="12"/>
        <v>100</v>
      </c>
      <c r="T36" s="774" t="s">
        <v>17</v>
      </c>
      <c r="U36" s="775">
        <f t="shared" si="13"/>
        <v>100</v>
      </c>
      <c r="V36" s="774" t="s">
        <v>17</v>
      </c>
      <c r="W36" s="775">
        <f t="shared" si="14"/>
        <v>100</v>
      </c>
      <c r="X36" s="1812"/>
      <c r="Y36" s="3207"/>
      <c r="Z36" s="1813" t="str">
        <f t="shared" si="15"/>
        <v>公共部分装修</v>
      </c>
      <c r="AA36" s="1810">
        <f t="shared" si="3"/>
        <v>1</v>
      </c>
      <c r="AB36" s="1810">
        <f t="shared" si="4"/>
        <v>1</v>
      </c>
      <c r="AC36" s="2673">
        <f t="shared" si="5"/>
        <v>1</v>
      </c>
    </row>
    <row r="37" spans="1:29" ht="15">
      <c r="A37" s="472"/>
      <c r="B37" s="422" t="s">
        <v>2650</v>
      </c>
      <c r="C37" s="474">
        <f>'数据-取费表'!N6</f>
        <v>0.82</v>
      </c>
      <c r="D37" s="435">
        <v>100</v>
      </c>
      <c r="E37" s="474">
        <f>ROUND(1-(1-0%)*(2020-2018)/60,2)</f>
        <v>0.97</v>
      </c>
      <c r="F37" s="461">
        <f>LOOKUP(E37,111:111,112:112)-LOOKUP(C37,111:111,112:112)+100</f>
        <v>102</v>
      </c>
      <c r="G37" s="474">
        <f>C37</f>
        <v>0.82</v>
      </c>
      <c r="H37" s="461">
        <f>LOOKUP(G37,111:111,112:112)-LOOKUP(C37,111:111,112:112)+100</f>
        <v>100</v>
      </c>
      <c r="I37" s="474">
        <f>G37</f>
        <v>0.82</v>
      </c>
      <c r="J37" s="435">
        <f>LOOKUP(I37,111:111,112:112)-LOOKUP(C37,111:111,112:112)+100</f>
        <v>100</v>
      </c>
      <c r="K37" s="612">
        <f>'比较法-办公（售价)'!K37</f>
        <v>2</v>
      </c>
      <c r="L37" s="1140"/>
      <c r="M37" s="1131"/>
      <c r="N37" s="1131"/>
      <c r="O37" s="1131"/>
      <c r="P37" s="3205"/>
      <c r="Q37" s="1809" t="str">
        <f t="shared" si="11"/>
        <v>成新度</v>
      </c>
      <c r="R37" s="774" t="s">
        <v>17</v>
      </c>
      <c r="S37" s="775">
        <f t="shared" si="12"/>
        <v>102</v>
      </c>
      <c r="T37" s="774" t="s">
        <v>17</v>
      </c>
      <c r="U37" s="775">
        <f t="shared" si="13"/>
        <v>100</v>
      </c>
      <c r="V37" s="774" t="s">
        <v>17</v>
      </c>
      <c r="W37" s="775">
        <f t="shared" si="14"/>
        <v>100</v>
      </c>
      <c r="X37" s="1812"/>
      <c r="Y37" s="3207"/>
      <c r="Z37" s="1813" t="str">
        <f t="shared" si="15"/>
        <v>成新度</v>
      </c>
      <c r="AA37" s="1810">
        <f t="shared" si="3"/>
        <v>0.98039215686274506</v>
      </c>
      <c r="AB37" s="1810">
        <f t="shared" si="4"/>
        <v>1</v>
      </c>
      <c r="AC37" s="2673">
        <f t="shared" si="5"/>
        <v>1</v>
      </c>
    </row>
    <row r="38" spans="1:29" s="117" customFormat="1" ht="15">
      <c r="A38" s="473"/>
      <c r="B38" s="422" t="s">
        <v>2682</v>
      </c>
      <c r="C38" s="460" t="s">
        <v>3115</v>
      </c>
      <c r="D38" s="136">
        <v>100</v>
      </c>
      <c r="E38" s="460" t="s">
        <v>3115</v>
      </c>
      <c r="F38" s="461">
        <f>SUMIF(113:113,E38,114:114)-SUMIF(113:113,C38,114:114)+100</f>
        <v>100</v>
      </c>
      <c r="G38" s="460" t="s">
        <v>3115</v>
      </c>
      <c r="H38" s="435">
        <f>SUMIF(113:113,G38,114:114)-SUMIF(113:113,C38,114:114)+100</f>
        <v>100</v>
      </c>
      <c r="I38" s="460" t="s">
        <v>3115</v>
      </c>
      <c r="J38" s="435">
        <f>SUMIF(113:113,I38,114:114)-SUMIF(113:113,C38,114:114)+100</f>
        <v>100</v>
      </c>
      <c r="K38" s="612">
        <f>'比较法-办公（售价)'!K38</f>
        <v>5</v>
      </c>
      <c r="L38" s="1132"/>
      <c r="M38" s="1133"/>
      <c r="N38" s="1133"/>
      <c r="O38" s="1133"/>
      <c r="P38" s="3205"/>
      <c r="Q38" s="1794"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0">
        <f t="shared" si="5"/>
        <v>1</v>
      </c>
    </row>
    <row r="39" spans="1:29" ht="15">
      <c r="A39" s="472"/>
      <c r="B39" s="422" t="s">
        <v>2683</v>
      </c>
      <c r="C39" s="460" t="s">
        <v>3117</v>
      </c>
      <c r="D39" s="435">
        <v>100</v>
      </c>
      <c r="E39" s="460" t="s">
        <v>3117</v>
      </c>
      <c r="F39" s="461">
        <f>SUMIF(115:115,E39,116:116)-SUMIF(115:115,C39,116:116)+100</f>
        <v>100</v>
      </c>
      <c r="G39" s="460" t="s">
        <v>3117</v>
      </c>
      <c r="H39" s="435">
        <f>SUMIF(115:115,G39,116:116)-SUMIF(115:115,C39,116:116)+100</f>
        <v>100</v>
      </c>
      <c r="I39" s="460" t="s">
        <v>3117</v>
      </c>
      <c r="J39" s="435">
        <f>SUMIF(115:115,I39,116:116)-SUMIF(115:115,C39,116:116)+100</f>
        <v>100</v>
      </c>
      <c r="K39" s="612">
        <f>'比较法-办公（售价)'!K39</f>
        <v>1</v>
      </c>
      <c r="L39" s="1140"/>
      <c r="M39" s="1131"/>
      <c r="N39" s="1131"/>
      <c r="O39" s="1131"/>
      <c r="P39" s="3205" t="s">
        <v>2553</v>
      </c>
      <c r="Q39" s="1809" t="str">
        <f t="shared" si="11"/>
        <v>物业管理</v>
      </c>
      <c r="R39" s="774" t="s">
        <v>17</v>
      </c>
      <c r="S39" s="775">
        <f t="shared" si="12"/>
        <v>100</v>
      </c>
      <c r="T39" s="774" t="s">
        <v>17</v>
      </c>
      <c r="U39" s="775">
        <f t="shared" si="13"/>
        <v>100</v>
      </c>
      <c r="V39" s="774" t="s">
        <v>17</v>
      </c>
      <c r="W39" s="775">
        <f t="shared" si="14"/>
        <v>100</v>
      </c>
      <c r="X39" s="1812"/>
      <c r="Y39" s="3207" t="s">
        <v>2553</v>
      </c>
      <c r="Z39" s="1813" t="str">
        <f t="shared" si="15"/>
        <v>物业管理</v>
      </c>
      <c r="AA39" s="1810">
        <f t="shared" si="3"/>
        <v>1</v>
      </c>
      <c r="AB39" s="1810">
        <f t="shared" si="4"/>
        <v>1</v>
      </c>
      <c r="AC39" s="2673">
        <f t="shared" si="5"/>
        <v>1</v>
      </c>
    </row>
    <row r="40" spans="1:29" ht="15">
      <c r="A40" s="472"/>
      <c r="B40" s="422" t="s">
        <v>2651</v>
      </c>
      <c r="C40" s="460" t="s">
        <v>3120</v>
      </c>
      <c r="D40" s="435">
        <v>100</v>
      </c>
      <c r="E40" s="460" t="s">
        <v>3120</v>
      </c>
      <c r="F40" s="461">
        <f>SUMIF(117:117,E40,118:118)-SUMIF(117:117,C40,118:118)+100</f>
        <v>100</v>
      </c>
      <c r="G40" s="460" t="s">
        <v>3120</v>
      </c>
      <c r="H40" s="435">
        <f>SUMIF(117:117,G40,118:118)-SUMIF(117:117,C40,118:118)+100</f>
        <v>100</v>
      </c>
      <c r="I40" s="460" t="s">
        <v>3120</v>
      </c>
      <c r="J40" s="435">
        <f>SUMIF(117:117,I40,118:118)-SUMIF(117:117,C40,118:118)+100</f>
        <v>100</v>
      </c>
      <c r="K40" s="612">
        <f>'比较法-办公（售价)'!K40</f>
        <v>1</v>
      </c>
      <c r="L40" s="1140"/>
      <c r="M40" s="1131"/>
      <c r="N40" s="1131"/>
      <c r="O40" s="1131"/>
      <c r="P40" s="3205"/>
      <c r="Q40" s="1809" t="str">
        <f t="shared" si="11"/>
        <v>市政基础设施</v>
      </c>
      <c r="R40" s="774" t="s">
        <v>17</v>
      </c>
      <c r="S40" s="775">
        <f t="shared" si="12"/>
        <v>100</v>
      </c>
      <c r="T40" s="774" t="s">
        <v>17</v>
      </c>
      <c r="U40" s="775">
        <f t="shared" si="13"/>
        <v>100</v>
      </c>
      <c r="V40" s="774" t="s">
        <v>17</v>
      </c>
      <c r="W40" s="775">
        <f t="shared" si="14"/>
        <v>100</v>
      </c>
      <c r="X40" s="1812"/>
      <c r="Y40" s="3207"/>
      <c r="Z40" s="1813" t="str">
        <f t="shared" si="15"/>
        <v>市政基础设施</v>
      </c>
      <c r="AA40" s="1810">
        <f t="shared" si="3"/>
        <v>1</v>
      </c>
      <c r="AB40" s="1810">
        <f t="shared" si="4"/>
        <v>1</v>
      </c>
      <c r="AC40" s="2673">
        <f t="shared" si="5"/>
        <v>1</v>
      </c>
    </row>
    <row r="41" spans="1:29" ht="15">
      <c r="A41" s="472"/>
      <c r="B41" s="422" t="s">
        <v>2653</v>
      </c>
      <c r="C41" s="616" t="s">
        <v>3123</v>
      </c>
      <c r="D41" s="435">
        <v>100</v>
      </c>
      <c r="E41" s="616" t="s">
        <v>3123</v>
      </c>
      <c r="F41" s="461">
        <f>SUMIF(119:119,E41,120:120)-SUMIF(119:119,C41,120:120)+100</f>
        <v>100</v>
      </c>
      <c r="G41" s="616" t="s">
        <v>3123</v>
      </c>
      <c r="H41" s="435">
        <f>SUMIF(119:119,G41,120:120)-SUMIF(119:119,C41,120:120)+100</f>
        <v>100</v>
      </c>
      <c r="I41" s="616" t="s">
        <v>3123</v>
      </c>
      <c r="J41" s="435">
        <f>SUMIF(119:119,I41,120:120)-SUMIF(119:119,C41,120:120)+100</f>
        <v>100</v>
      </c>
      <c r="K41" s="612">
        <f>'比较法-办公（售价)'!K41</f>
        <v>5</v>
      </c>
      <c r="L41" s="1140"/>
      <c r="M41" s="1131"/>
      <c r="N41" s="1131"/>
      <c r="O41" s="1131"/>
      <c r="P41" s="3205"/>
      <c r="Q41" s="1809" t="str">
        <f t="shared" si="11"/>
        <v>层高</v>
      </c>
      <c r="R41" s="774" t="s">
        <v>17</v>
      </c>
      <c r="S41" s="775">
        <f t="shared" si="12"/>
        <v>100</v>
      </c>
      <c r="T41" s="774" t="s">
        <v>17</v>
      </c>
      <c r="U41" s="775">
        <f t="shared" si="13"/>
        <v>100</v>
      </c>
      <c r="V41" s="774" t="s">
        <v>17</v>
      </c>
      <c r="W41" s="775">
        <f t="shared" si="14"/>
        <v>100</v>
      </c>
      <c r="X41" s="1812"/>
      <c r="Y41" s="3207"/>
      <c r="Z41" s="1813" t="str">
        <f t="shared" si="15"/>
        <v>层高</v>
      </c>
      <c r="AA41" s="1810">
        <f t="shared" si="3"/>
        <v>1</v>
      </c>
      <c r="AB41" s="1810">
        <f t="shared" si="4"/>
        <v>1</v>
      </c>
      <c r="AC41" s="2673">
        <f t="shared" si="5"/>
        <v>1</v>
      </c>
    </row>
    <row r="42" spans="1:29" s="471" customFormat="1" ht="15">
      <c r="A42" s="468"/>
      <c r="B42" s="1811" t="s">
        <v>2684</v>
      </c>
      <c r="C42" s="434" t="s">
        <v>3132</v>
      </c>
      <c r="D42" s="435">
        <v>100</v>
      </c>
      <c r="E42" s="434" t="s">
        <v>3164</v>
      </c>
      <c r="F42" s="461">
        <f>SUMIF(121:121,E42,122:122)-SUMIF(121:121,C42,122:122)+100</f>
        <v>100</v>
      </c>
      <c r="G42" s="434" t="s">
        <v>3125</v>
      </c>
      <c r="H42" s="435">
        <f>SUMIF(121:121,G42,122:122)-SUMIF(121:121,C42,122:122)+100</f>
        <v>101</v>
      </c>
      <c r="I42" s="434" t="s">
        <v>3169</v>
      </c>
      <c r="J42" s="435">
        <f>SUMIF(121:121,I42,122:122)-SUMIF(121:121,C42,122:122)+100</f>
        <v>101</v>
      </c>
      <c r="K42" s="613"/>
      <c r="L42" s="1138"/>
      <c r="M42" s="1141"/>
      <c r="N42" s="1141"/>
      <c r="O42" s="1141"/>
      <c r="P42" s="3205"/>
      <c r="Q42" s="776" t="str">
        <f t="shared" si="11"/>
        <v>单套建筑面积</v>
      </c>
      <c r="R42" s="777" t="s">
        <v>17</v>
      </c>
      <c r="S42" s="778">
        <f t="shared" si="12"/>
        <v>100</v>
      </c>
      <c r="T42" s="777" t="s">
        <v>17</v>
      </c>
      <c r="U42" s="778">
        <f t="shared" si="13"/>
        <v>101</v>
      </c>
      <c r="V42" s="777" t="s">
        <v>17</v>
      </c>
      <c r="W42" s="778">
        <f t="shared" si="14"/>
        <v>101</v>
      </c>
      <c r="X42" s="779"/>
      <c r="Y42" s="3207"/>
      <c r="Z42" s="780" t="str">
        <f t="shared" si="15"/>
        <v>单套建筑面积</v>
      </c>
      <c r="AA42" s="1810">
        <f t="shared" si="3"/>
        <v>1</v>
      </c>
      <c r="AB42" s="1810">
        <f t="shared" si="4"/>
        <v>0.99009900990099009</v>
      </c>
      <c r="AC42" s="2673">
        <f t="shared" si="5"/>
        <v>0.99009900990099009</v>
      </c>
    </row>
    <row r="43" spans="1:29" ht="15">
      <c r="A43" s="472"/>
      <c r="B43" s="422" t="s">
        <v>2656</v>
      </c>
      <c r="C43" s="460" t="s">
        <v>3128</v>
      </c>
      <c r="D43" s="435">
        <v>100</v>
      </c>
      <c r="E43" s="460" t="s">
        <v>3128</v>
      </c>
      <c r="F43" s="461">
        <f>SUMIF(123:123,E43,124:124)-SUMIF(123:123,C43,124:124)+100</f>
        <v>100</v>
      </c>
      <c r="G43" s="460" t="s">
        <v>3128</v>
      </c>
      <c r="H43" s="435">
        <f>SUMIF(123:123,G43,124:124)-SUMIF(123:123,C43,124:124)+100</f>
        <v>100</v>
      </c>
      <c r="I43" s="460" t="s">
        <v>3128</v>
      </c>
      <c r="J43" s="435">
        <f>SUMIF(123:123,I43,124:124)-SUMIF(123:123,C43,124:124)+100</f>
        <v>100</v>
      </c>
      <c r="K43" s="612">
        <f>'比较法-办公（售价)'!K43</f>
        <v>1</v>
      </c>
      <c r="L43" s="1140"/>
      <c r="M43" s="1131"/>
      <c r="N43" s="1131"/>
      <c r="O43" s="1131"/>
      <c r="P43" s="3205"/>
      <c r="Q43" s="1809" t="str">
        <f t="shared" si="11"/>
        <v>内部装修</v>
      </c>
      <c r="R43" s="774" t="s">
        <v>17</v>
      </c>
      <c r="S43" s="775">
        <f t="shared" si="12"/>
        <v>100</v>
      </c>
      <c r="T43" s="774" t="s">
        <v>17</v>
      </c>
      <c r="U43" s="775">
        <f t="shared" si="13"/>
        <v>100</v>
      </c>
      <c r="V43" s="774" t="s">
        <v>17</v>
      </c>
      <c r="W43" s="775">
        <f t="shared" si="14"/>
        <v>100</v>
      </c>
      <c r="X43" s="1812"/>
      <c r="Y43" s="3207"/>
      <c r="Z43" s="1813" t="str">
        <f t="shared" si="15"/>
        <v>内部装修</v>
      </c>
      <c r="AA43" s="1810">
        <f t="shared" si="3"/>
        <v>1</v>
      </c>
      <c r="AB43" s="1810">
        <f t="shared" si="4"/>
        <v>1</v>
      </c>
      <c r="AC43" s="2673">
        <f t="shared" si="5"/>
        <v>1</v>
      </c>
    </row>
    <row r="44" spans="1:29" ht="15.75" thickBot="1">
      <c r="A44" s="472"/>
      <c r="B44" s="422" t="s">
        <v>2564</v>
      </c>
      <c r="C44" s="460" t="s">
        <v>3093</v>
      </c>
      <c r="D44" s="435">
        <v>100</v>
      </c>
      <c r="E44" s="460" t="s">
        <v>3093</v>
      </c>
      <c r="F44" s="461">
        <f>SUMIF(125:125,E44,126:126)-SUMIF(125:125,C44,126:126)+100</f>
        <v>100</v>
      </c>
      <c r="G44" s="460" t="s">
        <v>3093</v>
      </c>
      <c r="H44" s="435">
        <f>SUMIF(125:125,G44,126:126)-SUMIF(125:125,C44,126:126)+100</f>
        <v>100</v>
      </c>
      <c r="I44" s="460" t="s">
        <v>3093</v>
      </c>
      <c r="J44" s="435">
        <f>SUMIF(125:125,I44,126:126)-SUMIF(125:125,C44,126:126)+100</f>
        <v>100</v>
      </c>
      <c r="K44" s="612">
        <f>'比较法-办公（售价)'!K44</f>
        <v>1</v>
      </c>
      <c r="L44" s="1140"/>
      <c r="M44" s="1131"/>
      <c r="N44" s="1131"/>
      <c r="O44" s="1131"/>
      <c r="P44" s="3205"/>
      <c r="Q44" s="1809" t="str">
        <f t="shared" si="11"/>
        <v>内部装修维护情况</v>
      </c>
      <c r="R44" s="774" t="s">
        <v>17</v>
      </c>
      <c r="S44" s="775">
        <f t="shared" si="12"/>
        <v>100</v>
      </c>
      <c r="T44" s="774" t="s">
        <v>17</v>
      </c>
      <c r="U44" s="775">
        <f t="shared" si="13"/>
        <v>100</v>
      </c>
      <c r="V44" s="774" t="s">
        <v>17</v>
      </c>
      <c r="W44" s="775">
        <f t="shared" si="14"/>
        <v>100</v>
      </c>
      <c r="X44" s="1812"/>
      <c r="Y44" s="3207"/>
      <c r="Z44" s="1813" t="str">
        <f t="shared" si="15"/>
        <v>内部装修维护情况</v>
      </c>
      <c r="AA44" s="1810">
        <f t="shared" si="3"/>
        <v>1</v>
      </c>
      <c r="AB44" s="1810">
        <f t="shared" si="4"/>
        <v>1</v>
      </c>
      <c r="AC44" s="2673">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5"/>
      <c r="Q45" s="1794">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0">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5"/>
      <c r="Q46" s="1809">
        <f t="shared" si="11"/>
        <v>111</v>
      </c>
      <c r="R46" s="774" t="s">
        <v>17</v>
      </c>
      <c r="S46" s="775">
        <f t="shared" si="12"/>
        <v>100</v>
      </c>
      <c r="T46" s="774" t="s">
        <v>17</v>
      </c>
      <c r="U46" s="775">
        <f t="shared" si="13"/>
        <v>100</v>
      </c>
      <c r="V46" s="774" t="s">
        <v>17</v>
      </c>
      <c r="W46" s="775">
        <f t="shared" si="14"/>
        <v>100</v>
      </c>
      <c r="X46" s="1812"/>
      <c r="Y46" s="3207"/>
      <c r="Z46" s="1813">
        <f t="shared" si="15"/>
        <v>111</v>
      </c>
      <c r="AA46" s="1810">
        <f t="shared" si="3"/>
        <v>1</v>
      </c>
      <c r="AB46" s="1810">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6"/>
      <c r="Q47" s="1809">
        <f t="shared" si="11"/>
        <v>111</v>
      </c>
      <c r="R47" s="774" t="s">
        <v>17</v>
      </c>
      <c r="S47" s="775">
        <f t="shared" si="12"/>
        <v>100</v>
      </c>
      <c r="T47" s="774" t="s">
        <v>17</v>
      </c>
      <c r="U47" s="775">
        <f t="shared" si="13"/>
        <v>100</v>
      </c>
      <c r="V47" s="774" t="s">
        <v>17</v>
      </c>
      <c r="W47" s="775">
        <f t="shared" si="14"/>
        <v>100</v>
      </c>
      <c r="X47" s="1812"/>
      <c r="Y47" s="3208"/>
      <c r="Z47" s="1813">
        <f t="shared" si="15"/>
        <v>111</v>
      </c>
      <c r="AA47" s="1810">
        <f t="shared" si="3"/>
        <v>1</v>
      </c>
      <c r="AB47" s="1810">
        <f t="shared" si="4"/>
        <v>1</v>
      </c>
      <c r="AC47" s="2673">
        <f t="shared" si="5"/>
        <v>1</v>
      </c>
    </row>
    <row r="48" spans="1:29" ht="15">
      <c r="A48" s="479" t="s">
        <v>2565</v>
      </c>
      <c r="B48" s="480"/>
      <c r="C48" s="1407" t="s">
        <v>1</v>
      </c>
      <c r="D48" s="1408"/>
      <c r="E48" s="1409">
        <v>7</v>
      </c>
      <c r="F48" s="1410"/>
      <c r="G48" s="1411">
        <v>6</v>
      </c>
      <c r="H48" s="1412"/>
      <c r="I48" s="1409">
        <v>6.5</v>
      </c>
      <c r="J48" s="485"/>
      <c r="K48" s="783"/>
      <c r="L48" s="1143"/>
      <c r="M48" s="1131"/>
      <c r="N48" s="1131"/>
      <c r="O48" s="1131"/>
      <c r="P48" s="3194" t="str">
        <f>A48</f>
        <v>成交单价（元/平方米）</v>
      </c>
      <c r="Q48" s="3195"/>
      <c r="R48" s="3196">
        <f>E48</f>
        <v>7</v>
      </c>
      <c r="S48" s="3196"/>
      <c r="T48" s="3196">
        <f>G48</f>
        <v>6</v>
      </c>
      <c r="U48" s="3196"/>
      <c r="V48" s="3196">
        <f>I48</f>
        <v>6.5</v>
      </c>
      <c r="W48" s="3196"/>
      <c r="X48" s="446"/>
      <c r="Y48" s="781"/>
      <c r="Z48" s="446"/>
      <c r="AA48" s="446"/>
      <c r="AB48" s="446"/>
      <c r="AC48" s="630"/>
    </row>
    <row r="49" spans="1:29" ht="15.75" thickBot="1">
      <c r="A49" s="486" t="s">
        <v>2657</v>
      </c>
      <c r="B49" s="487"/>
      <c r="C49" s="1413">
        <f>R50</f>
        <v>6.4</v>
      </c>
      <c r="D49" s="1414"/>
      <c r="E49" s="1415">
        <f>R49</f>
        <v>6.8</v>
      </c>
      <c r="F49" s="1415"/>
      <c r="G49" s="1413">
        <f>T49</f>
        <v>6.1</v>
      </c>
      <c r="H49" s="1414"/>
      <c r="I49" s="1415">
        <f>V49</f>
        <v>6.4</v>
      </c>
      <c r="J49" s="489"/>
      <c r="K49" s="784"/>
      <c r="L49" s="1143"/>
      <c r="M49" s="1131"/>
      <c r="N49" s="1131"/>
      <c r="O49" s="1131"/>
      <c r="P49" s="3194" t="str">
        <f>A49</f>
        <v>比较价值（元/平方米）</v>
      </c>
      <c r="Q49" s="3195"/>
      <c r="R49" s="3196">
        <f>IF(F1="售价",ROUND(PRODUCT(R48,AA7:AA47),0),ROUND(PRODUCT(R48,AA7:AA47),1))</f>
        <v>6.8</v>
      </c>
      <c r="S49" s="3196"/>
      <c r="T49" s="3196">
        <f>IF(F1="售价",ROUND(PRODUCT(T48,AB7:AB47),0),ROUND(PRODUCT(T48,AB7:AB47),1))</f>
        <v>6.1</v>
      </c>
      <c r="U49" s="3196"/>
      <c r="V49" s="3196">
        <f>IF(F1="售价",ROUND(PRODUCT(V48,AC7:AC47),0),ROUND(PRODUCT(V48,AC7:AC47),1))</f>
        <v>6.4</v>
      </c>
      <c r="W49" s="3196"/>
      <c r="X49" s="446"/>
      <c r="Y49" s="446"/>
      <c r="Z49" s="446"/>
      <c r="AA49" s="446"/>
      <c r="AB49" s="446"/>
      <c r="AC49" s="630"/>
    </row>
    <row r="50" spans="1:29" ht="15.75" thickBot="1">
      <c r="A50" s="492" t="s">
        <v>2658</v>
      </c>
      <c r="B50" s="493"/>
      <c r="C50" s="1417">
        <f>R50</f>
        <v>6.4</v>
      </c>
      <c r="D50" s="1417"/>
      <c r="E50" s="1417"/>
      <c r="F50" s="1417"/>
      <c r="G50" s="1417"/>
      <c r="H50" s="1417"/>
      <c r="I50" s="1417"/>
      <c r="J50" s="494"/>
      <c r="K50" s="785"/>
      <c r="L50" s="1143"/>
      <c r="M50" s="1131"/>
      <c r="N50" s="1131"/>
      <c r="O50" s="1131"/>
      <c r="P50" s="3197" t="str">
        <f>A50</f>
        <v>估价对象XX用房的比较价值（楼面单价，元/平方米）</v>
      </c>
      <c r="Q50" s="3198"/>
      <c r="R50" s="3199">
        <f>IF(F1="售价",ROUND(AVERAGE(R49:V49),0),ROUND(AVERAGE(R49:V49),1))</f>
        <v>6.4</v>
      </c>
      <c r="S50" s="3199"/>
      <c r="T50" s="3199"/>
      <c r="U50" s="3199"/>
      <c r="V50" s="3199"/>
      <c r="W50" s="319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2659</v>
      </c>
      <c r="D53" s="498"/>
      <c r="E53" s="499">
        <f>IF(E48&lt;E49,E49/E48-1,E48/E49-1)</f>
        <v>2.941176470588247E-2</v>
      </c>
      <c r="F53" s="500" t="str">
        <f>IF(OR(E53&gt;=0.3,E53&lt;=-0.3),"超过30%","")</f>
        <v/>
      </c>
      <c r="G53" s="499">
        <f>IF(G48&lt;G49,G49/G48-1,G48/G49-1)</f>
        <v>1.6666666666666607E-2</v>
      </c>
      <c r="H53" s="500" t="str">
        <f>IF(OR(G53&gt;=0.3,G53&lt;=-0.3),"超过30%","")</f>
        <v/>
      </c>
      <c r="I53" s="499">
        <f>IF(I48&lt;I49,I49/I48-1,I48/I49-1)</f>
        <v>1.5625E-2</v>
      </c>
      <c r="J53" s="500" t="str">
        <f>IF(OR(I53&gt;=0.3,I53&lt;=-0.3),"超过30%","")</f>
        <v/>
      </c>
      <c r="K53" s="1105"/>
      <c r="L53" s="1106"/>
      <c r="M53" s="1144"/>
      <c r="N53" s="1144"/>
      <c r="O53" s="1144"/>
    </row>
    <row r="54" spans="1:29" ht="13.5" customHeight="1">
      <c r="A54" s="1144"/>
      <c r="B54" s="1144"/>
      <c r="C54" s="497" t="s">
        <v>2660</v>
      </c>
      <c r="D54" s="501"/>
      <c r="E54" s="499">
        <f>IF(E49&lt;G49,G49/E49-1,E49/G49-1)</f>
        <v>0.11475409836065587</v>
      </c>
      <c r="F54" s="500" t="str">
        <f>IF(OR(E54&gt;=0.2,E54&lt;=-0.2),"超过20%","")</f>
        <v/>
      </c>
      <c r="G54" s="499">
        <f>IF(G49&lt;I49,I49/G49-1,G49/I49-1)</f>
        <v>4.9180327868852514E-2</v>
      </c>
      <c r="H54" s="500" t="str">
        <f>IF(OR(G54&gt;=0.2,G54&lt;=-0.2),"超过20%","")</f>
        <v/>
      </c>
      <c r="I54" s="499">
        <f>IF(I49&lt;E49,E49/I49-1,I49/E49-1)</f>
        <v>6.25E-2</v>
      </c>
      <c r="J54" s="500" t="str">
        <f>IF(OR(I54&gt;=0.2,I54&lt;=-0.2),"超过20%","")</f>
        <v/>
      </c>
      <c r="K54" s="1105"/>
      <c r="L54" s="1106"/>
      <c r="M54" s="1144"/>
      <c r="N54" s="1144"/>
      <c r="O54" s="1144"/>
    </row>
    <row r="55" spans="1:29" s="502" customFormat="1" ht="13.5" customHeight="1">
      <c r="A55" s="1145"/>
      <c r="B55" s="1145"/>
      <c r="C55" s="497" t="s">
        <v>2661</v>
      </c>
      <c r="D55" s="501"/>
      <c r="E55" s="499">
        <f>IF(E48&lt;G48,G48/E48-1,E48/G48-1)</f>
        <v>0.16666666666666674</v>
      </c>
      <c r="F55" s="500" t="str">
        <f>IF(OR(E55&gt;=0.3,E55&lt;=-0.3),"超过30%","")</f>
        <v/>
      </c>
      <c r="G55" s="499">
        <f>IF(G48&lt;I48,I48/G48-1,G48/I48-1)</f>
        <v>8.3333333333333259E-2</v>
      </c>
      <c r="H55" s="500" t="str">
        <f>IF(OR(G55&gt;=0.3,G55&lt;=-0.3),"超过30%","")</f>
        <v/>
      </c>
      <c r="I55" s="499">
        <f>IF(I48&lt;E48,E48/I48-1,I48/E48-1)</f>
        <v>7.6923076923076872E-2</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2662</v>
      </c>
      <c r="B58" s="759"/>
      <c r="C58" s="764"/>
      <c r="D58" s="764"/>
      <c r="E58" s="764"/>
      <c r="F58" s="765"/>
      <c r="G58" s="765"/>
      <c r="H58" s="764"/>
      <c r="I58" s="764"/>
      <c r="J58" s="764"/>
      <c r="K58" s="766"/>
      <c r="L58" s="1161"/>
      <c r="M58" s="1159"/>
      <c r="N58" s="1159"/>
      <c r="O58" s="1159"/>
      <c r="P58" s="2680"/>
      <c r="Q58" s="504"/>
    </row>
    <row r="59" spans="1:29" s="508" customFormat="1" ht="15">
      <c r="A59" s="505" t="s">
        <v>2536</v>
      </c>
      <c r="B59" s="506"/>
      <c r="C59" s="1574" t="str">
        <f>YEAR(C7)&amp;"-"&amp;MONTH(C7)</f>
        <v>2021-12</v>
      </c>
      <c r="D59" s="1575">
        <f>EDATE(C59,-1)</f>
        <v>44501</v>
      </c>
      <c r="E59" s="1575">
        <f>EDATE(D59,-1)</f>
        <v>44470</v>
      </c>
      <c r="F59" s="1575">
        <f t="shared" ref="F59:O59" si="16">EDATE(E59,-1)</f>
        <v>44440</v>
      </c>
      <c r="G59" s="1575">
        <f t="shared" si="16"/>
        <v>44409</v>
      </c>
      <c r="H59" s="1575">
        <f t="shared" si="16"/>
        <v>44378</v>
      </c>
      <c r="I59" s="1575">
        <f t="shared" si="16"/>
        <v>44348</v>
      </c>
      <c r="J59" s="1575">
        <f t="shared" si="16"/>
        <v>44317</v>
      </c>
      <c r="K59" s="1575">
        <f t="shared" si="16"/>
        <v>44287</v>
      </c>
      <c r="L59" s="1575">
        <f t="shared" si="16"/>
        <v>44256</v>
      </c>
      <c r="M59" s="1575">
        <f t="shared" si="16"/>
        <v>44228</v>
      </c>
      <c r="N59" s="1575">
        <f t="shared" si="16"/>
        <v>44197</v>
      </c>
      <c r="O59" s="1575">
        <f t="shared" si="16"/>
        <v>44166</v>
      </c>
      <c r="P59" s="1571"/>
    </row>
    <row r="60" spans="1:29" s="117" customFormat="1" ht="15">
      <c r="A60" s="509"/>
      <c r="B60" s="510"/>
      <c r="C60" s="1573">
        <v>100</v>
      </c>
      <c r="D60" s="512">
        <f>C60</f>
        <v>100</v>
      </c>
      <c r="E60" s="512">
        <f>D60</f>
        <v>100</v>
      </c>
      <c r="F60" s="512">
        <f>E60</f>
        <v>100</v>
      </c>
      <c r="G60" s="512"/>
      <c r="H60" s="512"/>
      <c r="I60" s="512"/>
      <c r="J60" s="512"/>
      <c r="K60" s="512"/>
      <c r="L60" s="512"/>
      <c r="M60" s="513"/>
      <c r="N60" s="512"/>
      <c r="O60" s="513"/>
      <c r="P60" s="2681"/>
    </row>
    <row r="61" spans="1:29" s="117" customFormat="1" ht="15.75" thickBot="1">
      <c r="A61" s="515" t="s">
        <v>2573</v>
      </c>
      <c r="B61" s="516"/>
      <c r="C61" s="517"/>
      <c r="D61" s="518"/>
      <c r="E61" s="518"/>
      <c r="F61" s="518"/>
      <c r="G61" s="518"/>
      <c r="H61" s="518"/>
      <c r="I61" s="518"/>
      <c r="J61" s="518"/>
      <c r="K61" s="518"/>
      <c r="L61" s="518"/>
      <c r="M61" s="519"/>
      <c r="N61" s="518"/>
      <c r="O61" s="519"/>
      <c r="P61" s="2681"/>
      <c r="Q61" s="504"/>
    </row>
    <row r="62" spans="1:29" s="117" customFormat="1" ht="15">
      <c r="A62" s="521" t="s">
        <v>2538</v>
      </c>
      <c r="B62" s="510"/>
      <c r="C62" s="522" t="s">
        <v>2640</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2576</v>
      </c>
      <c r="B64" s="528" t="s">
        <v>2542</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7"/>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3"/>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3"/>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3"/>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3"/>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3"/>
      <c r="Q86" s="504"/>
    </row>
    <row r="87" spans="1:17" s="117" customFormat="1" ht="27.75" thickTop="1">
      <c r="A87" s="579"/>
      <c r="B87" s="538" t="s">
        <v>2687</v>
      </c>
      <c r="C87" s="2971" t="s">
        <v>3098</v>
      </c>
      <c r="D87" s="2971" t="s">
        <v>3100</v>
      </c>
      <c r="E87" s="2971" t="s">
        <v>3101</v>
      </c>
      <c r="F87" s="2971" t="s">
        <v>3102</v>
      </c>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71" t="s">
        <v>3104</v>
      </c>
      <c r="D89" s="2971" t="s">
        <v>3106</v>
      </c>
      <c r="E89" s="2971" t="s">
        <v>3108</v>
      </c>
      <c r="F89" s="2634"/>
      <c r="G89" s="554"/>
      <c r="H89" s="554"/>
      <c r="I89" s="554"/>
      <c r="J89" s="554"/>
      <c r="K89" s="554"/>
      <c r="L89" s="554"/>
      <c r="M89" s="581"/>
      <c r="N89" s="1151"/>
      <c r="O89" s="1151"/>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2551</v>
      </c>
      <c r="B101" s="528" t="s">
        <v>2600</v>
      </c>
      <c r="C101" s="2972" t="s">
        <v>3110</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3"/>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4"/>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4"/>
      <c r="Q105" s="559"/>
    </row>
    <row r="106" spans="1:17" ht="15" thickTop="1">
      <c r="A106" s="599"/>
      <c r="B106" s="538" t="s">
        <v>2602</v>
      </c>
      <c r="C106" s="2971" t="s">
        <v>3112</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2604</v>
      </c>
      <c r="C108" s="2971" t="s">
        <v>3114</v>
      </c>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3"/>
      <c r="Q112" s="504"/>
    </row>
    <row r="113" spans="1:17" s="471" customFormat="1" ht="15" thickTop="1">
      <c r="A113" s="593"/>
      <c r="B113" s="538" t="s">
        <v>2688</v>
      </c>
      <c r="C113" s="2971" t="s">
        <v>3116</v>
      </c>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4"/>
      <c r="Q114" s="559"/>
    </row>
    <row r="115" spans="1:17" ht="15" thickTop="1">
      <c r="A115" s="599"/>
      <c r="B115" s="538" t="s">
        <v>2605</v>
      </c>
      <c r="C115" s="2971" t="s">
        <v>3118</v>
      </c>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3"/>
      <c r="Q116" s="504"/>
    </row>
    <row r="117" spans="1:17" ht="15" thickTop="1">
      <c r="A117" s="599"/>
      <c r="B117" s="538" t="s">
        <v>2606</v>
      </c>
      <c r="C117" s="2971" t="s">
        <v>3119</v>
      </c>
      <c r="D117" s="2971" t="s">
        <v>3121</v>
      </c>
      <c r="E117" s="2971" t="s">
        <v>3122</v>
      </c>
      <c r="F117" s="554"/>
      <c r="G117" s="554"/>
      <c r="H117" s="583"/>
      <c r="I117" s="583"/>
      <c r="J117" s="583"/>
      <c r="K117" s="584"/>
      <c r="L117" s="585"/>
      <c r="M117" s="586"/>
      <c r="N117" s="1152"/>
      <c r="O117" s="1152"/>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3"/>
      <c r="Q118" s="504"/>
    </row>
    <row r="119" spans="1:17" ht="15" thickTop="1">
      <c r="A119" s="599"/>
      <c r="B119" s="636" t="s">
        <v>2689</v>
      </c>
      <c r="C119" s="2973" t="s">
        <v>3124</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3"/>
      <c r="O120" s="1153"/>
      <c r="P120" s="2683"/>
      <c r="Q120" s="504"/>
    </row>
    <row r="121" spans="1:17" s="471" customFormat="1" ht="15" thickTop="1">
      <c r="A121" s="593"/>
      <c r="B121" s="538" t="s">
        <v>2672</v>
      </c>
      <c r="C121" s="554" t="s">
        <v>3127</v>
      </c>
      <c r="D121" s="554" t="s">
        <v>3126</v>
      </c>
      <c r="E121" s="554" t="s">
        <v>3125</v>
      </c>
      <c r="F121" s="583" t="str">
        <f>'比较法-办公（售价)'!F121</f>
        <v>500-800</v>
      </c>
      <c r="G121" s="583" t="str">
        <f>'比较法-办公（售价)'!G121</f>
        <v>800-1500</v>
      </c>
      <c r="H121" s="583" t="str">
        <f>'比较法-办公（售价)'!H121</f>
        <v>1500-3000</v>
      </c>
      <c r="I121" s="555"/>
      <c r="J121" s="555"/>
      <c r="K121" s="555"/>
      <c r="L121" s="556"/>
      <c r="M121" s="557"/>
      <c r="N121" s="1154"/>
      <c r="O121" s="1154"/>
      <c r="P121" s="2684"/>
      <c r="Q121" s="559"/>
    </row>
    <row r="122" spans="1:17" s="471" customFormat="1" ht="15.75" thickBot="1">
      <c r="A122" s="553"/>
      <c r="B122" s="535"/>
      <c r="C122" s="560">
        <f>D122-1</f>
        <v>98</v>
      </c>
      <c r="D122" s="560">
        <f>E122-1</f>
        <v>99</v>
      </c>
      <c r="E122" s="560">
        <v>100</v>
      </c>
      <c r="F122" s="560">
        <f>'比较法-办公（售价)'!F122</f>
        <v>99</v>
      </c>
      <c r="G122" s="560">
        <f>'比较法-办公（售价)'!G122</f>
        <v>98</v>
      </c>
      <c r="H122" s="560">
        <f>'比较法-办公（售价)'!H122</f>
        <v>97</v>
      </c>
      <c r="I122" s="560"/>
      <c r="J122" s="560"/>
      <c r="K122" s="560"/>
      <c r="L122" s="560"/>
      <c r="M122" s="560"/>
      <c r="N122" s="1154"/>
      <c r="O122" s="1154"/>
      <c r="P122" s="2684"/>
      <c r="Q122" s="559"/>
    </row>
    <row r="123" spans="1:17" ht="15" thickTop="1">
      <c r="A123" s="599"/>
      <c r="B123" s="538" t="s">
        <v>2608</v>
      </c>
      <c r="C123" s="2971" t="s">
        <v>3114</v>
      </c>
      <c r="D123" s="2971" t="s">
        <v>3129</v>
      </c>
      <c r="E123" s="2971" t="s">
        <v>3130</v>
      </c>
      <c r="F123" s="2973" t="s">
        <v>3131</v>
      </c>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1614</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9"/>
      <c r="B4" s="3009" t="s">
        <v>1623</v>
      </c>
      <c r="C4" s="3009"/>
      <c r="D4" s="3009"/>
      <c r="E4" s="1959"/>
    </row>
    <row r="5" spans="1:5" ht="16.5" thickTop="1">
      <c r="A5" s="1957"/>
      <c r="B5" s="3007" t="s">
        <v>1615</v>
      </c>
      <c r="C5" s="1960" t="s">
        <v>1616</v>
      </c>
      <c r="D5" s="1040">
        <f ca="1">结果表!H101</f>
        <v>1204</v>
      </c>
      <c r="E5" s="1957"/>
    </row>
    <row r="6" spans="1:5" ht="15.75">
      <c r="A6" s="1957"/>
      <c r="B6" s="3007"/>
      <c r="C6" s="1960" t="s">
        <v>1617</v>
      </c>
      <c r="D6" s="1040" t="str">
        <f ca="1">NUMBERSTRING(INT(D5*10000),2)&amp;"元整"</f>
        <v>壹仟贰佰零肆万元整</v>
      </c>
      <c r="E6" s="1957"/>
    </row>
    <row r="7" spans="1:5" ht="15.75">
      <c r="A7" s="1957"/>
      <c r="B7" s="3012"/>
      <c r="C7" s="1961" t="s">
        <v>1618</v>
      </c>
      <c r="D7" s="1041">
        <f ca="1">结果表!H102</f>
        <v>36145</v>
      </c>
      <c r="E7" s="1957"/>
    </row>
    <row r="8" spans="1:5" ht="15.75">
      <c r="A8" s="1957"/>
      <c r="B8" s="3013" t="str">
        <f>结果表!E103</f>
        <v>2.估价师知悉的法定优先受偿款</v>
      </c>
      <c r="C8" s="1962" t="s">
        <v>1619</v>
      </c>
      <c r="D8" s="1041">
        <f>结果表!H103</f>
        <v>0</v>
      </c>
      <c r="E8" s="1957"/>
    </row>
    <row r="9" spans="1:5" ht="15.75">
      <c r="A9" s="1957"/>
      <c r="B9" s="3015"/>
      <c r="C9" s="1960" t="s">
        <v>1617</v>
      </c>
      <c r="D9" s="1040" t="str">
        <f>NUMBERSTRING(INT(D8*10000),2)&amp;"元整"</f>
        <v>零元整</v>
      </c>
      <c r="E9" s="1957"/>
    </row>
    <row r="10" spans="1:5" ht="15">
      <c r="A10" s="1957"/>
      <c r="B10" s="1963" t="s">
        <v>1622</v>
      </c>
      <c r="C10" s="1964" t="s">
        <v>1620</v>
      </c>
      <c r="D10" s="1042">
        <f>结果表!H104</f>
        <v>0</v>
      </c>
      <c r="E10" s="1957"/>
    </row>
    <row r="11" spans="1:5" ht="15">
      <c r="A11" s="1957"/>
      <c r="B11" s="1963" t="s">
        <v>1624</v>
      </c>
      <c r="C11" s="1964" t="s">
        <v>1625</v>
      </c>
      <c r="D11" s="1042">
        <f>结果表!H105</f>
        <v>0</v>
      </c>
      <c r="E11" s="1957"/>
    </row>
    <row r="12" spans="1:5" ht="15">
      <c r="A12" s="1957"/>
      <c r="B12" s="1963" t="s">
        <v>1626</v>
      </c>
      <c r="C12" s="1964" t="s">
        <v>1625</v>
      </c>
      <c r="D12" s="1042">
        <f>结果表!H106</f>
        <v>0</v>
      </c>
      <c r="E12" s="1957"/>
    </row>
    <row r="13" spans="1:5" ht="15.75">
      <c r="A13" s="1957"/>
      <c r="B13" s="3006" t="str">
        <f>结果表!E107</f>
        <v>3.房地产抵押价值</v>
      </c>
      <c r="C13" s="1965" t="s">
        <v>1616</v>
      </c>
      <c r="D13" s="1043">
        <f ca="1">结果表!H107</f>
        <v>1204</v>
      </c>
      <c r="E13" s="1957"/>
    </row>
    <row r="14" spans="1:5" ht="15.75">
      <c r="A14" s="1957"/>
      <c r="B14" s="3007"/>
      <c r="C14" s="1960" t="s">
        <v>1617</v>
      </c>
      <c r="D14" s="1040" t="str">
        <f ca="1">NUMBERSTRING(INT(D13*10000),2)&amp;"元整"</f>
        <v>壹仟贰佰零肆万元整</v>
      </c>
      <c r="E14" s="1957"/>
    </row>
    <row r="15" spans="1:5" ht="15">
      <c r="A15" s="1957"/>
      <c r="B15" s="3012"/>
      <c r="C15" s="1961" t="s">
        <v>1627</v>
      </c>
      <c r="D15" s="1052">
        <f ca="1">结果表!H108</f>
        <v>36145</v>
      </c>
      <c r="E15" s="1957"/>
    </row>
    <row r="16" spans="1:5" ht="15">
      <c r="A16" s="1957"/>
      <c r="B16" s="3013" t="str">
        <f>结果表!E109</f>
        <v>——</v>
      </c>
      <c r="C16" s="1965" t="s">
        <v>1628</v>
      </c>
      <c r="D16" s="1966" t="str">
        <f>结果表!H109</f>
        <v>——</v>
      </c>
      <c r="E16" s="1957"/>
    </row>
    <row r="17" spans="1:5" ht="15.75">
      <c r="A17" s="1957"/>
      <c r="B17" s="3014"/>
      <c r="C17" s="1960" t="s">
        <v>1629</v>
      </c>
      <c r="D17" s="1040" t="e">
        <f>NUMBERSTRING(INT(D16*10000),2)&amp;"元整"</f>
        <v>#VALUE!</v>
      </c>
      <c r="E17" s="1957"/>
    </row>
    <row r="18" spans="1:5" ht="15">
      <c r="A18" s="1957"/>
      <c r="B18" s="3015"/>
      <c r="C18" s="1961" t="s">
        <v>1618</v>
      </c>
      <c r="D18" s="1052" t="str">
        <f>结果表!H110</f>
        <v>——</v>
      </c>
      <c r="E18" s="1957"/>
    </row>
    <row r="19" spans="1:5" ht="15.75">
      <c r="A19" s="1957"/>
      <c r="B19" s="3006" t="str">
        <f>结果表!E111</f>
        <v>——</v>
      </c>
      <c r="C19" s="1965" t="s">
        <v>1616</v>
      </c>
      <c r="D19" s="1041" t="str">
        <f>结果表!H111</f>
        <v>——</v>
      </c>
      <c r="E19" s="1957"/>
    </row>
    <row r="20" spans="1:5" ht="15.75">
      <c r="A20" s="1957"/>
      <c r="B20" s="3007"/>
      <c r="C20" s="1960" t="s">
        <v>1629</v>
      </c>
      <c r="D20" s="1040" t="e">
        <f>NUMBERSTRING(INT(D19*10000),2)&amp;"元整"</f>
        <v>#VALUE!</v>
      </c>
      <c r="E20" s="1957"/>
    </row>
    <row r="21" spans="1:5" ht="15.75" thickBot="1">
      <c r="A21" s="1957"/>
      <c r="B21" s="3008"/>
      <c r="C21" s="1967" t="s">
        <v>1627</v>
      </c>
      <c r="D21" s="1053" t="str">
        <f>结果表!H112</f>
        <v>——</v>
      </c>
      <c r="E21" s="1957"/>
    </row>
    <row r="22" spans="1:5" ht="15" thickTop="1">
      <c r="A22" s="1957"/>
      <c r="B22" s="1968" t="s">
        <v>1630</v>
      </c>
      <c r="C22" s="1957"/>
      <c r="D22" s="1957"/>
      <c r="E22" s="1957"/>
    </row>
    <row r="23" spans="1:5">
      <c r="A23" s="1957"/>
      <c r="B23" s="1957"/>
      <c r="C23" s="1957"/>
      <c r="D23" s="1957"/>
      <c r="E23" s="1957"/>
    </row>
    <row r="24" spans="1:5" ht="18.75">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B45" sqref="B4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20" width="9" style="795"/>
    <col min="21" max="21" width="31" style="795" customWidth="1"/>
    <col min="22" max="45" width="9" style="795"/>
    <col min="46" max="16384" width="9" style="139"/>
  </cols>
  <sheetData>
    <row r="1" spans="1:45" ht="14.25" customHeight="1" thickBot="1">
      <c r="A1" s="155"/>
      <c r="B1" s="1204" t="s">
        <v>2993</v>
      </c>
      <c r="C1" s="3335" t="s">
        <v>2994</v>
      </c>
      <c r="D1" s="3336"/>
      <c r="E1" s="3336"/>
      <c r="F1" s="3336"/>
      <c r="G1" s="3336"/>
      <c r="H1" s="3336"/>
      <c r="I1" s="3336"/>
      <c r="J1" s="3336"/>
      <c r="K1" s="3336"/>
      <c r="L1" s="3336"/>
      <c r="M1" s="3336"/>
      <c r="N1" s="3336"/>
      <c r="O1" s="3336"/>
      <c r="P1" s="3336"/>
      <c r="Q1" s="3336"/>
      <c r="R1" s="3336"/>
      <c r="S1" s="3337"/>
      <c r="T1" s="1204" t="s">
        <v>2995</v>
      </c>
    </row>
    <row r="2" spans="1:45" s="707" customFormat="1" ht="38.25">
      <c r="A2" s="1205"/>
      <c r="B2" s="703" t="s">
        <v>2996</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(含)-3000</v>
      </c>
      <c r="Q2" s="705" t="str">
        <f t="shared" ref="Q2" si="5">Q3&amp;"(含)"&amp;"-"&amp;R3</f>
        <v>3000(含)-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4">
        <v>500</v>
      </c>
      <c r="G3" s="1704">
        <v>800</v>
      </c>
      <c r="H3" s="1704">
        <v>1500</v>
      </c>
      <c r="I3" s="1704"/>
      <c r="J3" s="1704"/>
      <c r="K3" s="1704"/>
      <c r="L3" s="1705"/>
      <c r="M3" s="1706"/>
      <c r="N3" s="1706"/>
      <c r="O3" s="1704"/>
      <c r="P3" s="1704"/>
      <c r="Q3" s="1704">
        <v>3000</v>
      </c>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'比较法-办公（售价)'!C122</f>
        <v>98</v>
      </c>
      <c r="D4" s="1210">
        <f>'比较法-办公（售价)'!D122</f>
        <v>99</v>
      </c>
      <c r="E4" s="1210">
        <f>'比较法-办公（售价)'!E122</f>
        <v>100</v>
      </c>
      <c r="F4" s="1210">
        <f>'比较法-办公（售价)'!F122</f>
        <v>99</v>
      </c>
      <c r="G4" s="1210">
        <f>'比较法-办公（售价)'!G122</f>
        <v>98</v>
      </c>
      <c r="H4" s="1210">
        <f>'比较法-办公（售价)'!H122</f>
        <v>97</v>
      </c>
      <c r="I4" s="1210">
        <f>'比较法-办公（售价)'!I122</f>
        <v>0</v>
      </c>
      <c r="J4" s="1210">
        <f>'比较法-办公（售价)'!J122</f>
        <v>0</v>
      </c>
      <c r="K4" s="1210">
        <f>'比较法-办公（售价)'!K122</f>
        <v>0</v>
      </c>
      <c r="L4" s="1210">
        <f>'比较法-办公（售价)'!L122</f>
        <v>0</v>
      </c>
      <c r="M4" s="1210">
        <f>'比较法-办公（售价)'!M122</f>
        <v>0</v>
      </c>
      <c r="N4" s="1210">
        <f>'比较法-办公（售价)'!N122</f>
        <v>0</v>
      </c>
      <c r="O4" s="1210">
        <f>'比较法-办公（售价)'!O122</f>
        <v>0</v>
      </c>
      <c r="P4" s="1210">
        <f>'比较法-办公（售价)'!P122</f>
        <v>0</v>
      </c>
      <c r="Q4" s="1708"/>
      <c r="R4" s="1708"/>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75" t="s">
        <v>3147</v>
      </c>
      <c r="C5" s="2976" t="s">
        <v>3148</v>
      </c>
      <c r="D5" s="2977" t="s">
        <v>3149</v>
      </c>
      <c r="E5" s="1217"/>
      <c r="F5" s="1710"/>
      <c r="G5" s="1710"/>
      <c r="H5" s="1710"/>
      <c r="I5" s="1710"/>
      <c r="J5" s="1710"/>
      <c r="K5" s="1710"/>
      <c r="L5" s="1711"/>
      <c r="M5" s="1712"/>
      <c r="N5" s="1712"/>
      <c r="O5" s="1710"/>
      <c r="P5" s="1710"/>
      <c r="Q5" s="1710"/>
      <c r="R5" s="1710"/>
      <c r="S5" s="1713"/>
      <c r="T5" s="1219">
        <f>'比较法-办公（售价)'!K27</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5"/>
      <c r="B7" s="2978" t="s">
        <v>3150</v>
      </c>
      <c r="C7" s="2979" t="s">
        <v>3151</v>
      </c>
      <c r="D7" s="2980" t="s">
        <v>3152</v>
      </c>
      <c r="E7" s="1115"/>
      <c r="F7" s="1715"/>
      <c r="G7" s="1715"/>
      <c r="H7" s="1715"/>
      <c r="I7" s="1715"/>
      <c r="J7" s="1715"/>
      <c r="K7" s="1715"/>
      <c r="L7" s="1715"/>
      <c r="M7" s="1716"/>
      <c r="N7" s="1717"/>
      <c r="O7" s="1718"/>
      <c r="P7" s="1719"/>
      <c r="Q7" s="1720"/>
      <c r="R7" s="1721"/>
      <c r="S7" s="1722"/>
      <c r="T7" s="713">
        <f>'比较法-办公（售价)'!K43</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99</v>
      </c>
      <c r="E8" s="1119">
        <f t="shared" ref="E8:S8" si="8">D8-$T7</f>
        <v>98</v>
      </c>
      <c r="F8" s="1714">
        <f t="shared" si="8"/>
        <v>97</v>
      </c>
      <c r="G8" s="1714">
        <f t="shared" si="8"/>
        <v>96</v>
      </c>
      <c r="H8" s="1714">
        <f t="shared" si="8"/>
        <v>95</v>
      </c>
      <c r="I8" s="1714">
        <f t="shared" si="8"/>
        <v>94</v>
      </c>
      <c r="J8" s="1714">
        <f t="shared" si="8"/>
        <v>93</v>
      </c>
      <c r="K8" s="1714">
        <f t="shared" si="8"/>
        <v>92</v>
      </c>
      <c r="L8" s="1714">
        <f t="shared" si="8"/>
        <v>91</v>
      </c>
      <c r="M8" s="1714">
        <f t="shared" si="8"/>
        <v>90</v>
      </c>
      <c r="N8" s="1714">
        <f t="shared" si="8"/>
        <v>89</v>
      </c>
      <c r="O8" s="1714">
        <f t="shared" si="8"/>
        <v>88</v>
      </c>
      <c r="P8" s="1714">
        <f t="shared" si="8"/>
        <v>87</v>
      </c>
      <c r="Q8" s="1714">
        <f t="shared" si="8"/>
        <v>86</v>
      </c>
      <c r="R8" s="1714">
        <f t="shared" si="8"/>
        <v>85</v>
      </c>
      <c r="S8" s="1714">
        <f t="shared" si="8"/>
        <v>84</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3001</v>
      </c>
      <c r="B17" s="2908" t="s">
        <v>3002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3003</v>
      </c>
      <c r="E19" s="1791"/>
      <c r="F19" s="1791"/>
      <c r="G19" s="1791"/>
      <c r="H19" s="1280"/>
      <c r="I19" s="168"/>
      <c r="J19" s="168"/>
      <c r="K19" s="168"/>
      <c r="L19" s="168"/>
      <c r="M19" s="168"/>
      <c r="N19" s="168"/>
      <c r="O19" s="168"/>
      <c r="P19" s="168"/>
      <c r="Q19" s="168"/>
      <c r="R19" s="788"/>
      <c r="S19" s="138"/>
    </row>
    <row r="20" spans="1:45" ht="16.5" thickBot="1">
      <c r="A20" s="715" t="s">
        <v>3004</v>
      </c>
      <c r="B20" s="338">
        <f ca="1">IF(D20="——",S22,S22-F20)</f>
        <v>1204</v>
      </c>
      <c r="C20" s="168"/>
      <c r="D20" s="2910" t="s">
        <v>70</v>
      </c>
      <c r="E20" s="1792"/>
      <c r="F20" s="1204" t="e">
        <f ca="1">SUMIF(INDIRECT("'"&amp;H20&amp;"'"&amp;"!A:A"),"承租人权益价值",INDIRECT("'"&amp;H20&amp;"'"&amp;"!c:c"))</f>
        <v>#REF!</v>
      </c>
      <c r="G20" s="1204" t="s">
        <v>3005</v>
      </c>
      <c r="H20" s="2911"/>
      <c r="I20" s="168"/>
      <c r="J20" s="168"/>
      <c r="K20" s="168"/>
      <c r="L20" s="168"/>
      <c r="M20" s="168"/>
      <c r="N20" s="168"/>
      <c r="O20" s="168"/>
      <c r="P20" s="168"/>
      <c r="Q20" s="168"/>
      <c r="R20" s="788"/>
      <c r="S20" s="138"/>
    </row>
    <row r="21" spans="1:45" ht="15.75">
      <c r="A21" s="715" t="s">
        <v>3006</v>
      </c>
      <c r="B21" s="338">
        <f ca="1">R22</f>
        <v>36145</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333.1</v>
      </c>
      <c r="C22" s="3186" t="s">
        <v>33</v>
      </c>
      <c r="D22" s="3187"/>
      <c r="E22" s="3187"/>
      <c r="F22" s="3187"/>
      <c r="G22" s="3187"/>
      <c r="H22" s="3187"/>
      <c r="I22" s="3187"/>
      <c r="J22" s="3187"/>
      <c r="K22" s="3187"/>
      <c r="L22" s="3187"/>
      <c r="M22" s="3187"/>
      <c r="N22" s="3187"/>
      <c r="O22" s="3187"/>
      <c r="P22" s="3187"/>
      <c r="Q22" s="3334"/>
      <c r="R22" s="716">
        <f ca="1">ROUND(S22*10000/B22,0)</f>
        <v>36145</v>
      </c>
      <c r="S22" s="24">
        <f ca="1">SUM(S24:S10000)</f>
        <v>1204</v>
      </c>
    </row>
    <row r="23" spans="1:45" s="12" customFormat="1" ht="24">
      <c r="A23" s="11" t="s">
        <v>3008</v>
      </c>
      <c r="B23" s="11" t="s">
        <v>3009</v>
      </c>
      <c r="C23" s="11" t="s">
        <v>3010</v>
      </c>
      <c r="D23" s="11" t="str">
        <f>B5</f>
        <v>楼层</v>
      </c>
      <c r="E23" s="11" t="s">
        <v>3010</v>
      </c>
      <c r="F23" s="11" t="str">
        <f>B7</f>
        <v>装修</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2-805</v>
      </c>
      <c r="B24" s="718">
        <f>'数据-基础表'!I13</f>
        <v>333.1</v>
      </c>
      <c r="C24" s="719">
        <v>1</v>
      </c>
      <c r="D24" s="720" t="s">
        <v>3105</v>
      </c>
      <c r="E24" s="719">
        <v>1</v>
      </c>
      <c r="F24" s="720" t="s">
        <v>3128</v>
      </c>
      <c r="G24" s="719">
        <v>1</v>
      </c>
      <c r="H24" s="720"/>
      <c r="I24" s="719">
        <v>1</v>
      </c>
      <c r="J24" s="720"/>
      <c r="K24" s="719">
        <v>1</v>
      </c>
      <c r="L24" s="720"/>
      <c r="M24" s="719">
        <v>1</v>
      </c>
      <c r="N24" s="720"/>
      <c r="O24" s="719">
        <v>1</v>
      </c>
      <c r="P24" s="720"/>
      <c r="Q24" s="719">
        <v>1</v>
      </c>
      <c r="R24" s="721">
        <f ca="1">结果表!G20</f>
        <v>36144</v>
      </c>
      <c r="S24" s="719">
        <f t="shared" ref="S24:S54" ca="1" si="11">ROUND(R24*B24/10000,0)</f>
        <v>1204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'数据-基础表'!C14</f>
        <v>0</v>
      </c>
      <c r="B25" s="718">
        <f>'数据-基础表'!I14</f>
        <v>0</v>
      </c>
      <c r="C25" s="24">
        <f>IF(B25="",1,(LOOKUP(B25,$3:$3,$4:$4)-LOOKUP($B$24,$3:$3,$4:$4)+100)/100)</f>
        <v>0.98</v>
      </c>
      <c r="D25" s="720" t="s">
        <v>3105</v>
      </c>
      <c r="E25" s="24">
        <f>(SUMIF($5:$5,D25,$6:$6)-SUMIF($5:$5,$D$24,$6:$6)+100)/100</f>
        <v>1</v>
      </c>
      <c r="F25" s="720" t="s">
        <v>3128</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35421</v>
      </c>
      <c r="S25" s="361">
        <f t="shared" ca="1" si="11"/>
        <v>0</v>
      </c>
      <c r="U25" s="795">
        <f ca="1">B20</f>
        <v>1204</v>
      </c>
    </row>
    <row r="26" spans="1:45">
      <c r="A26" s="718">
        <f>'数据-基础表'!C15</f>
        <v>0</v>
      </c>
      <c r="B26" s="718">
        <f>'数据-基础表'!I15</f>
        <v>0</v>
      </c>
      <c r="C26" s="24">
        <f t="shared" ref="C26:C89" si="12">IF(B26="",1,(LOOKUP(B26,$3:$3,$4:$4)-LOOKUP($B$24,$3:$3,$4:$4)+100)/100)</f>
        <v>0.98</v>
      </c>
      <c r="D26" s="720" t="s">
        <v>3105</v>
      </c>
      <c r="E26" s="24">
        <f t="shared" ref="E26:E89" si="13">(SUMIF($5:$5,D26,$6:$6)-SUMIF($5:$5,$D$24,$6:$6)+100)/100</f>
        <v>1</v>
      </c>
      <c r="F26" s="720" t="s">
        <v>3128</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35421</v>
      </c>
      <c r="S26" s="361">
        <f t="shared" ca="1" si="11"/>
        <v>0</v>
      </c>
      <c r="U26" s="2981">
        <f ca="1">U25*10000</f>
        <v>12040000</v>
      </c>
    </row>
    <row r="27" spans="1:45">
      <c r="A27" s="718">
        <f>'数据-基础表'!C16</f>
        <v>0</v>
      </c>
      <c r="B27" s="718">
        <f>'数据-基础表'!I16</f>
        <v>0</v>
      </c>
      <c r="C27" s="24">
        <f t="shared" si="12"/>
        <v>0.98</v>
      </c>
      <c r="D27" s="720" t="s">
        <v>3105</v>
      </c>
      <c r="E27" s="24">
        <f t="shared" si="13"/>
        <v>1</v>
      </c>
      <c r="F27" s="720" t="s">
        <v>3128</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35421</v>
      </c>
      <c r="S27" s="361">
        <f t="shared" ca="1" si="11"/>
        <v>0</v>
      </c>
    </row>
    <row r="28" spans="1:45">
      <c r="A28" s="718">
        <f>'数据-基础表'!C17</f>
        <v>0</v>
      </c>
      <c r="B28" s="718">
        <f>'数据-基础表'!I17</f>
        <v>0</v>
      </c>
      <c r="C28" s="24">
        <f t="shared" si="12"/>
        <v>0.98</v>
      </c>
      <c r="D28" s="720" t="s">
        <v>3105</v>
      </c>
      <c r="E28" s="24">
        <f t="shared" si="13"/>
        <v>1</v>
      </c>
      <c r="F28" s="720" t="s">
        <v>3128</v>
      </c>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35421</v>
      </c>
      <c r="S28" s="361">
        <f t="shared" ca="1" si="11"/>
        <v>0</v>
      </c>
    </row>
    <row r="29" spans="1:45">
      <c r="A29" s="718">
        <f>'数据-基础表'!C18</f>
        <v>0</v>
      </c>
      <c r="B29" s="718">
        <f>'数据-基础表'!I18</f>
        <v>0</v>
      </c>
      <c r="C29" s="24">
        <f t="shared" si="12"/>
        <v>0.98</v>
      </c>
      <c r="D29" s="720" t="s">
        <v>3105</v>
      </c>
      <c r="E29" s="24">
        <f t="shared" si="13"/>
        <v>1</v>
      </c>
      <c r="F29" s="720" t="s">
        <v>3128</v>
      </c>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35421</v>
      </c>
      <c r="S29" s="361">
        <f t="shared" ca="1" si="11"/>
        <v>0</v>
      </c>
    </row>
    <row r="30" spans="1:45">
      <c r="A30" s="718">
        <f>'数据-基础表'!C19</f>
        <v>0</v>
      </c>
      <c r="B30" s="718">
        <f>'数据-基础表'!I19</f>
        <v>0</v>
      </c>
      <c r="C30" s="24">
        <f t="shared" si="12"/>
        <v>0.98</v>
      </c>
      <c r="D30" s="720" t="s">
        <v>3105</v>
      </c>
      <c r="E30" s="24">
        <f t="shared" si="13"/>
        <v>1</v>
      </c>
      <c r="F30" s="720" t="s">
        <v>3128</v>
      </c>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35421</v>
      </c>
      <c r="S30" s="361">
        <f t="shared" ca="1" si="11"/>
        <v>0</v>
      </c>
    </row>
    <row r="31" spans="1:45">
      <c r="A31" s="718">
        <f>'数据-基础表'!C20</f>
        <v>0</v>
      </c>
      <c r="B31" s="718">
        <f>'数据-基础表'!I20</f>
        <v>0</v>
      </c>
      <c r="C31" s="24">
        <f t="shared" si="12"/>
        <v>0.98</v>
      </c>
      <c r="D31" s="720" t="s">
        <v>3105</v>
      </c>
      <c r="E31" s="24">
        <f t="shared" si="13"/>
        <v>1</v>
      </c>
      <c r="F31" s="720" t="s">
        <v>3128</v>
      </c>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35421</v>
      </c>
      <c r="S31" s="361">
        <f t="shared" ca="1" si="11"/>
        <v>0</v>
      </c>
    </row>
    <row r="32" spans="1:45">
      <c r="A32" s="718">
        <f>'数据-基础表'!C21</f>
        <v>0</v>
      </c>
      <c r="B32" s="718">
        <f>'数据-基础表'!I21</f>
        <v>0</v>
      </c>
      <c r="C32" s="24">
        <f t="shared" si="12"/>
        <v>0.98</v>
      </c>
      <c r="D32" s="720" t="s">
        <v>3105</v>
      </c>
      <c r="E32" s="24">
        <f t="shared" si="13"/>
        <v>1</v>
      </c>
      <c r="F32" s="720" t="s">
        <v>3128</v>
      </c>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35421</v>
      </c>
      <c r="S32" s="361">
        <f t="shared" ca="1" si="11"/>
        <v>0</v>
      </c>
    </row>
    <row r="33" spans="1:19">
      <c r="A33" s="718">
        <f>'数据-基础表'!C22</f>
        <v>0</v>
      </c>
      <c r="B33" s="718">
        <f>'数据-基础表'!I22</f>
        <v>0</v>
      </c>
      <c r="C33" s="24">
        <f t="shared" si="12"/>
        <v>0.98</v>
      </c>
      <c r="D33" s="720" t="s">
        <v>3105</v>
      </c>
      <c r="E33" s="24">
        <f t="shared" si="13"/>
        <v>1</v>
      </c>
      <c r="F33" s="720" t="s">
        <v>3128</v>
      </c>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35421</v>
      </c>
      <c r="S33" s="361">
        <f t="shared" ca="1" si="11"/>
        <v>0</v>
      </c>
    </row>
    <row r="34" spans="1:19">
      <c r="A34" s="718">
        <f>'数据-基础表'!C23</f>
        <v>0</v>
      </c>
      <c r="B34" s="718">
        <f>'数据-基础表'!I23</f>
        <v>0</v>
      </c>
      <c r="C34" s="24">
        <f t="shared" si="12"/>
        <v>0.98</v>
      </c>
      <c r="D34" s="720" t="s">
        <v>3105</v>
      </c>
      <c r="E34" s="24">
        <f t="shared" si="13"/>
        <v>1</v>
      </c>
      <c r="F34" s="720" t="s">
        <v>3128</v>
      </c>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35421</v>
      </c>
      <c r="S34" s="361">
        <f t="shared" ca="1" si="11"/>
        <v>0</v>
      </c>
    </row>
    <row r="35" spans="1:19">
      <c r="A35" s="718">
        <f>'数据-基础表'!C24</f>
        <v>0</v>
      </c>
      <c r="B35" s="718">
        <f>'数据-基础表'!I24</f>
        <v>0</v>
      </c>
      <c r="C35" s="24">
        <f t="shared" si="12"/>
        <v>0.98</v>
      </c>
      <c r="D35" s="720" t="s">
        <v>3105</v>
      </c>
      <c r="E35" s="24">
        <f t="shared" si="13"/>
        <v>1</v>
      </c>
      <c r="F35" s="720" t="s">
        <v>3128</v>
      </c>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35421</v>
      </c>
      <c r="S35" s="361">
        <f t="shared" ca="1" si="11"/>
        <v>0</v>
      </c>
    </row>
    <row r="36" spans="1:19">
      <c r="A36" s="718">
        <f>'数据-基础表'!C25</f>
        <v>0</v>
      </c>
      <c r="B36" s="718">
        <f>'数据-基础表'!I25</f>
        <v>0</v>
      </c>
      <c r="C36" s="24">
        <f t="shared" si="12"/>
        <v>0.98</v>
      </c>
      <c r="D36" s="720" t="s">
        <v>3105</v>
      </c>
      <c r="E36" s="24">
        <f t="shared" si="13"/>
        <v>1</v>
      </c>
      <c r="F36" s="720" t="s">
        <v>3128</v>
      </c>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35421</v>
      </c>
      <c r="S36" s="361">
        <f t="shared" ca="1" si="11"/>
        <v>0</v>
      </c>
    </row>
    <row r="37" spans="1:19">
      <c r="A37" s="718">
        <f>'数据-基础表'!C26</f>
        <v>0</v>
      </c>
      <c r="B37" s="718">
        <f>'数据-基础表'!I26</f>
        <v>0</v>
      </c>
      <c r="C37" s="24">
        <f t="shared" si="12"/>
        <v>0.98</v>
      </c>
      <c r="D37" s="720" t="s">
        <v>3105</v>
      </c>
      <c r="E37" s="24">
        <f t="shared" si="13"/>
        <v>1</v>
      </c>
      <c r="F37" s="720" t="s">
        <v>3128</v>
      </c>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35421</v>
      </c>
      <c r="S37" s="361">
        <f t="shared" ca="1" si="11"/>
        <v>0</v>
      </c>
    </row>
    <row r="38" spans="1:19">
      <c r="A38" s="718">
        <f>'数据-基础表'!C27</f>
        <v>0</v>
      </c>
      <c r="B38" s="718">
        <f>'数据-基础表'!I27</f>
        <v>0</v>
      </c>
      <c r="C38" s="24">
        <f t="shared" si="12"/>
        <v>0.98</v>
      </c>
      <c r="D38" s="720" t="s">
        <v>3105</v>
      </c>
      <c r="E38" s="24">
        <f t="shared" si="13"/>
        <v>1</v>
      </c>
      <c r="F38" s="720" t="s">
        <v>3128</v>
      </c>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35421</v>
      </c>
      <c r="S38" s="361">
        <f t="shared" ca="1" si="11"/>
        <v>0</v>
      </c>
    </row>
    <row r="39" spans="1:19">
      <c r="A39" s="718">
        <f>'数据-基础表'!C28</f>
        <v>0</v>
      </c>
      <c r="B39" s="718">
        <f>'数据-基础表'!I28</f>
        <v>0</v>
      </c>
      <c r="C39" s="24">
        <f t="shared" si="12"/>
        <v>0.98</v>
      </c>
      <c r="D39" s="720" t="s">
        <v>3105</v>
      </c>
      <c r="E39" s="24">
        <f t="shared" si="13"/>
        <v>1</v>
      </c>
      <c r="F39" s="720" t="s">
        <v>3128</v>
      </c>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35421</v>
      </c>
      <c r="S39" s="361">
        <f t="shared" ca="1" si="11"/>
        <v>0</v>
      </c>
    </row>
    <row r="40" spans="1:19">
      <c r="A40" s="718">
        <f>'数据-基础表'!C29</f>
        <v>0</v>
      </c>
      <c r="B40" s="718">
        <f>'数据-基础表'!I29</f>
        <v>0</v>
      </c>
      <c r="C40" s="24">
        <f t="shared" si="12"/>
        <v>0.98</v>
      </c>
      <c r="D40" s="720" t="s">
        <v>3105</v>
      </c>
      <c r="E40" s="24">
        <f t="shared" si="13"/>
        <v>1</v>
      </c>
      <c r="F40" s="720" t="s">
        <v>3128</v>
      </c>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35421</v>
      </c>
      <c r="S40" s="361">
        <f t="shared" ca="1" si="11"/>
        <v>0</v>
      </c>
    </row>
    <row r="41" spans="1:19">
      <c r="A41" s="718">
        <f>'数据-基础表'!C30</f>
        <v>0</v>
      </c>
      <c r="B41" s="718">
        <f>'数据-基础表'!I30</f>
        <v>0</v>
      </c>
      <c r="C41" s="24">
        <f t="shared" si="12"/>
        <v>0.98</v>
      </c>
      <c r="D41" s="720" t="s">
        <v>3105</v>
      </c>
      <c r="E41" s="24">
        <f t="shared" si="13"/>
        <v>1</v>
      </c>
      <c r="F41" s="720" t="s">
        <v>3128</v>
      </c>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35421</v>
      </c>
      <c r="S41" s="361">
        <f t="shared" ca="1" si="11"/>
        <v>0</v>
      </c>
    </row>
    <row r="42" spans="1:19">
      <c r="A42" s="718"/>
      <c r="B42" s="59"/>
      <c r="C42" s="24">
        <f t="shared" si="12"/>
        <v>1</v>
      </c>
      <c r="D42" s="720"/>
      <c r="E42" s="24">
        <f t="shared" si="13"/>
        <v>0.02</v>
      </c>
      <c r="F42" s="720"/>
      <c r="G42" s="24">
        <f t="shared" si="14"/>
        <v>0.01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718"/>
      <c r="B43" s="59"/>
      <c r="C43" s="24">
        <f t="shared" si="12"/>
        <v>1</v>
      </c>
      <c r="D43" s="720"/>
      <c r="E43" s="24">
        <f t="shared" si="13"/>
        <v>0.02</v>
      </c>
      <c r="F43" s="720"/>
      <c r="G43" s="24">
        <f t="shared" si="14"/>
        <v>0.01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718"/>
      <c r="B44" s="59"/>
      <c r="C44" s="24">
        <f t="shared" si="12"/>
        <v>1</v>
      </c>
      <c r="D44" s="720"/>
      <c r="E44" s="24">
        <f t="shared" si="13"/>
        <v>0.02</v>
      </c>
      <c r="F44" s="720"/>
      <c r="G44" s="24">
        <f t="shared" si="14"/>
        <v>0.01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718"/>
      <c r="B45" s="59"/>
      <c r="C45" s="24">
        <f t="shared" si="12"/>
        <v>1</v>
      </c>
      <c r="D45" s="720"/>
      <c r="E45" s="24">
        <f t="shared" si="13"/>
        <v>0.02</v>
      </c>
      <c r="F45" s="720"/>
      <c r="G45" s="24">
        <f t="shared" si="14"/>
        <v>0.01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718"/>
      <c r="B46" s="59"/>
      <c r="C46" s="24">
        <f t="shared" si="12"/>
        <v>1</v>
      </c>
      <c r="D46" s="720"/>
      <c r="E46" s="24">
        <f t="shared" si="13"/>
        <v>0.02</v>
      </c>
      <c r="F46" s="720"/>
      <c r="G46" s="24">
        <f t="shared" si="14"/>
        <v>0.01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718"/>
      <c r="B47" s="59"/>
      <c r="C47" s="24">
        <f t="shared" si="12"/>
        <v>1</v>
      </c>
      <c r="D47" s="720"/>
      <c r="E47" s="24">
        <f t="shared" si="13"/>
        <v>0.02</v>
      </c>
      <c r="F47" s="720"/>
      <c r="G47" s="24">
        <f t="shared" si="14"/>
        <v>0.01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0.02</v>
      </c>
      <c r="F48" s="720"/>
      <c r="G48" s="24">
        <f t="shared" si="14"/>
        <v>0.01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0.02</v>
      </c>
      <c r="F49" s="720"/>
      <c r="G49" s="24">
        <f t="shared" si="14"/>
        <v>0.01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0.02</v>
      </c>
      <c r="F50" s="720"/>
      <c r="G50" s="24">
        <f t="shared" si="14"/>
        <v>0.01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0.02</v>
      </c>
      <c r="F51" s="720"/>
      <c r="G51" s="24">
        <f t="shared" si="14"/>
        <v>0.01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0.02</v>
      </c>
      <c r="F52" s="720"/>
      <c r="G52" s="24">
        <f t="shared" si="14"/>
        <v>0.01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0.02</v>
      </c>
      <c r="F53" s="720"/>
      <c r="G53" s="24">
        <f t="shared" si="14"/>
        <v>0.01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0.02</v>
      </c>
      <c r="F54" s="720"/>
      <c r="G54" s="24">
        <f t="shared" si="14"/>
        <v>0.01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0.02</v>
      </c>
      <c r="F55" s="720"/>
      <c r="G55" s="24">
        <f t="shared" si="14"/>
        <v>0.01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0.02</v>
      </c>
      <c r="F56" s="720"/>
      <c r="G56" s="24">
        <f t="shared" si="14"/>
        <v>0.01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0.02</v>
      </c>
      <c r="F57" s="720"/>
      <c r="G57" s="24">
        <f t="shared" si="14"/>
        <v>0.01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0.02</v>
      </c>
      <c r="F58" s="720"/>
      <c r="G58" s="24">
        <f t="shared" si="14"/>
        <v>0.01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0.02</v>
      </c>
      <c r="F59" s="720"/>
      <c r="G59" s="24">
        <f t="shared" si="14"/>
        <v>0.01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0.02</v>
      </c>
      <c r="F60" s="720"/>
      <c r="G60" s="24">
        <f t="shared" si="14"/>
        <v>0.01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0.02</v>
      </c>
      <c r="F61" s="720"/>
      <c r="G61" s="24">
        <f t="shared" si="14"/>
        <v>0.01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0.02</v>
      </c>
      <c r="F62" s="720"/>
      <c r="G62" s="24">
        <f t="shared" si="14"/>
        <v>0.01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0.02</v>
      </c>
      <c r="F63" s="720"/>
      <c r="G63" s="24">
        <f t="shared" si="14"/>
        <v>0.01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0.02</v>
      </c>
      <c r="F64" s="720"/>
      <c r="G64" s="24">
        <f t="shared" si="14"/>
        <v>0.01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0.02</v>
      </c>
      <c r="F65" s="720"/>
      <c r="G65" s="24">
        <f t="shared" si="14"/>
        <v>0.01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0.02</v>
      </c>
      <c r="F66" s="720"/>
      <c r="G66" s="24">
        <f t="shared" si="14"/>
        <v>0.01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0.02</v>
      </c>
      <c r="F67" s="720"/>
      <c r="G67" s="24">
        <f t="shared" si="14"/>
        <v>0.01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0.02</v>
      </c>
      <c r="F68" s="720"/>
      <c r="G68" s="24">
        <f t="shared" si="14"/>
        <v>0.01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0.02</v>
      </c>
      <c r="F69" s="720"/>
      <c r="G69" s="24">
        <f t="shared" si="14"/>
        <v>0.01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0.02</v>
      </c>
      <c r="F70" s="720"/>
      <c r="G70" s="24">
        <f t="shared" si="14"/>
        <v>0.01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0.02</v>
      </c>
      <c r="F71" s="720"/>
      <c r="G71" s="24">
        <f t="shared" si="14"/>
        <v>0.01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0.02</v>
      </c>
      <c r="F72" s="720"/>
      <c r="G72" s="24">
        <f t="shared" si="14"/>
        <v>0.01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0.02</v>
      </c>
      <c r="F73" s="720"/>
      <c r="G73" s="24">
        <f t="shared" si="14"/>
        <v>0.01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0.02</v>
      </c>
      <c r="F74" s="720"/>
      <c r="G74" s="24">
        <f t="shared" si="14"/>
        <v>0.01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0.02</v>
      </c>
      <c r="F75" s="720"/>
      <c r="G75" s="24">
        <f t="shared" si="14"/>
        <v>0.01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0.02</v>
      </c>
      <c r="F76" s="720"/>
      <c r="G76" s="24">
        <f t="shared" si="14"/>
        <v>0.01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0.02</v>
      </c>
      <c r="F77" s="720"/>
      <c r="G77" s="24">
        <f t="shared" si="14"/>
        <v>0.01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0.02</v>
      </c>
      <c r="F78" s="720"/>
      <c r="G78" s="24">
        <f t="shared" si="14"/>
        <v>0.01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0.02</v>
      </c>
      <c r="F79" s="720"/>
      <c r="G79" s="24">
        <f t="shared" si="14"/>
        <v>0.01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0.02</v>
      </c>
      <c r="F80" s="720"/>
      <c r="G80" s="24">
        <f t="shared" si="14"/>
        <v>0.01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0.02</v>
      </c>
      <c r="F81" s="720"/>
      <c r="G81" s="24">
        <f t="shared" si="14"/>
        <v>0.01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0.02</v>
      </c>
      <c r="F82" s="720"/>
      <c r="G82" s="24">
        <f t="shared" si="14"/>
        <v>0.01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0.02</v>
      </c>
      <c r="F83" s="720"/>
      <c r="G83" s="24">
        <f t="shared" si="14"/>
        <v>0.01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0.02</v>
      </c>
      <c r="F84" s="720"/>
      <c r="G84" s="24">
        <f t="shared" si="14"/>
        <v>0.01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0.02</v>
      </c>
      <c r="F85" s="720"/>
      <c r="G85" s="24">
        <f t="shared" si="14"/>
        <v>0.01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0.02</v>
      </c>
      <c r="F86" s="720"/>
      <c r="G86" s="24">
        <f t="shared" si="14"/>
        <v>0.01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0.02</v>
      </c>
      <c r="F87" s="720"/>
      <c r="G87" s="24">
        <f t="shared" si="14"/>
        <v>0.01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0.02</v>
      </c>
      <c r="F88" s="720"/>
      <c r="G88" s="24">
        <f t="shared" si="14"/>
        <v>0.01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0.02</v>
      </c>
      <c r="F89" s="720"/>
      <c r="G89" s="24">
        <f t="shared" si="14"/>
        <v>0.01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0.01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0.01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0.02</v>
      </c>
      <c r="F92" s="720"/>
      <c r="G92" s="24">
        <f t="shared" si="25"/>
        <v>0.01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0.02</v>
      </c>
      <c r="F93" s="720"/>
      <c r="G93" s="24">
        <f t="shared" si="25"/>
        <v>0.01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0.02</v>
      </c>
      <c r="F94" s="720"/>
      <c r="G94" s="24">
        <f t="shared" si="25"/>
        <v>0.01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0.02</v>
      </c>
      <c r="F95" s="720"/>
      <c r="G95" s="24">
        <f t="shared" si="25"/>
        <v>0.01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0.02</v>
      </c>
      <c r="F96" s="720"/>
      <c r="G96" s="24">
        <f t="shared" si="25"/>
        <v>0.01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0.02</v>
      </c>
      <c r="F97" s="720"/>
      <c r="G97" s="24">
        <f t="shared" si="25"/>
        <v>0.01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0.02</v>
      </c>
      <c r="F98" s="720"/>
      <c r="G98" s="24">
        <f t="shared" si="25"/>
        <v>0.01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0.02</v>
      </c>
      <c r="F99" s="720"/>
      <c r="G99" s="24">
        <f t="shared" si="25"/>
        <v>0.01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0.02</v>
      </c>
      <c r="F100" s="720"/>
      <c r="G100" s="24">
        <f t="shared" si="25"/>
        <v>0.01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0.02</v>
      </c>
      <c r="F101" s="720"/>
      <c r="G101" s="24">
        <f t="shared" si="25"/>
        <v>0.01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0.02</v>
      </c>
      <c r="F102" s="720"/>
      <c r="G102" s="24">
        <f t="shared" si="25"/>
        <v>0.01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0.02</v>
      </c>
      <c r="F103" s="720"/>
      <c r="G103" s="24">
        <f t="shared" si="25"/>
        <v>0.01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0.02</v>
      </c>
      <c r="F104" s="720"/>
      <c r="G104" s="24">
        <f t="shared" si="25"/>
        <v>0.01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0.02</v>
      </c>
      <c r="F105" s="720"/>
      <c r="G105" s="24">
        <f t="shared" si="25"/>
        <v>0.01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0.02</v>
      </c>
      <c r="F106" s="720"/>
      <c r="G106" s="24">
        <f t="shared" si="25"/>
        <v>0.01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0.02</v>
      </c>
      <c r="F107" s="720"/>
      <c r="G107" s="24">
        <f t="shared" si="25"/>
        <v>0.01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0.02</v>
      </c>
      <c r="F108" s="720"/>
      <c r="G108" s="24">
        <f t="shared" si="25"/>
        <v>0.01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0.02</v>
      </c>
      <c r="F109" s="720"/>
      <c r="G109" s="24">
        <f t="shared" si="25"/>
        <v>0.01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0.02</v>
      </c>
      <c r="F110" s="720"/>
      <c r="G110" s="24">
        <f t="shared" si="25"/>
        <v>0.01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0.02</v>
      </c>
      <c r="F111" s="720"/>
      <c r="G111" s="24">
        <f t="shared" si="25"/>
        <v>0.01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0.02</v>
      </c>
      <c r="F112" s="720"/>
      <c r="G112" s="24">
        <f t="shared" si="25"/>
        <v>0.01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0.02</v>
      </c>
      <c r="F113" s="720"/>
      <c r="G113" s="24">
        <f t="shared" si="25"/>
        <v>0.01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0.02</v>
      </c>
      <c r="F114" s="720"/>
      <c r="G114" s="24">
        <f t="shared" si="25"/>
        <v>0.01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0.02</v>
      </c>
      <c r="F115" s="720"/>
      <c r="G115" s="24">
        <f t="shared" si="25"/>
        <v>0.01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0.02</v>
      </c>
      <c r="F116" s="720"/>
      <c r="G116" s="24">
        <f t="shared" si="25"/>
        <v>0.01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0.02</v>
      </c>
      <c r="F117" s="720"/>
      <c r="G117" s="24">
        <f t="shared" si="25"/>
        <v>0.01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0.02</v>
      </c>
      <c r="F118" s="720"/>
      <c r="G118" s="24">
        <f t="shared" si="25"/>
        <v>0.01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0.02</v>
      </c>
      <c r="F119" s="720"/>
      <c r="G119" s="24">
        <f t="shared" si="25"/>
        <v>0.01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0.02</v>
      </c>
      <c r="F120" s="720"/>
      <c r="G120" s="24">
        <f t="shared" si="25"/>
        <v>0.01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0.02</v>
      </c>
      <c r="F121" s="720"/>
      <c r="G121" s="24">
        <f t="shared" si="25"/>
        <v>0.01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0.02</v>
      </c>
      <c r="F122" s="720"/>
      <c r="G122" s="24">
        <f t="shared" si="25"/>
        <v>0.01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0.02</v>
      </c>
      <c r="F123" s="720"/>
      <c r="G123" s="24">
        <f t="shared" si="25"/>
        <v>0.01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0.02</v>
      </c>
      <c r="F124" s="720"/>
      <c r="G124" s="24">
        <f t="shared" si="25"/>
        <v>0.01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0.02</v>
      </c>
      <c r="F125" s="720"/>
      <c r="G125" s="24">
        <f t="shared" si="25"/>
        <v>0.01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0.02</v>
      </c>
      <c r="F126" s="720"/>
      <c r="G126" s="24">
        <f t="shared" si="25"/>
        <v>0.01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0.02</v>
      </c>
      <c r="F127" s="720"/>
      <c r="G127" s="24">
        <f t="shared" si="25"/>
        <v>0.01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0.02</v>
      </c>
      <c r="F128" s="720"/>
      <c r="G128" s="24">
        <f t="shared" si="25"/>
        <v>0.01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0.02</v>
      </c>
      <c r="F129" s="720"/>
      <c r="G129" s="24">
        <f t="shared" si="25"/>
        <v>0.01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0.02</v>
      </c>
      <c r="F130" s="720"/>
      <c r="G130" s="24">
        <f t="shared" si="25"/>
        <v>0.01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0.02</v>
      </c>
      <c r="F131" s="720"/>
      <c r="G131" s="24">
        <f t="shared" si="25"/>
        <v>0.01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0.02</v>
      </c>
      <c r="F132" s="720"/>
      <c r="G132" s="24">
        <f t="shared" si="25"/>
        <v>0.01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0.02</v>
      </c>
      <c r="F133" s="720"/>
      <c r="G133" s="24">
        <f t="shared" si="25"/>
        <v>0.01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0.02</v>
      </c>
      <c r="F134" s="720"/>
      <c r="G134" s="24">
        <f t="shared" si="25"/>
        <v>0.01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0.02</v>
      </c>
      <c r="F135" s="720"/>
      <c r="G135" s="24">
        <f t="shared" si="25"/>
        <v>0.01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0.02</v>
      </c>
      <c r="F136" s="720"/>
      <c r="G136" s="24">
        <f t="shared" si="25"/>
        <v>0.01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0.02</v>
      </c>
      <c r="F137" s="720"/>
      <c r="G137" s="24">
        <f t="shared" si="25"/>
        <v>0.01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0.02</v>
      </c>
      <c r="F138" s="720"/>
      <c r="G138" s="24">
        <f t="shared" si="25"/>
        <v>0.01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0.02</v>
      </c>
      <c r="F139" s="720"/>
      <c r="G139" s="24">
        <f t="shared" si="25"/>
        <v>0.01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0.02</v>
      </c>
      <c r="F140" s="720"/>
      <c r="G140" s="24">
        <f t="shared" si="25"/>
        <v>0.01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0.02</v>
      </c>
      <c r="F141" s="720"/>
      <c r="G141" s="24">
        <f t="shared" si="25"/>
        <v>0.01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0.02</v>
      </c>
      <c r="F142" s="720"/>
      <c r="G142" s="24">
        <f t="shared" si="25"/>
        <v>0.01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0.02</v>
      </c>
      <c r="F143" s="720"/>
      <c r="G143" s="24">
        <f t="shared" si="25"/>
        <v>0.01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0.02</v>
      </c>
      <c r="F144" s="720"/>
      <c r="G144" s="24">
        <f t="shared" si="25"/>
        <v>0.01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0.02</v>
      </c>
      <c r="F145" s="720"/>
      <c r="G145" s="24">
        <f t="shared" si="25"/>
        <v>0.01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0.02</v>
      </c>
      <c r="F146" s="720"/>
      <c r="G146" s="24">
        <f t="shared" si="25"/>
        <v>0.01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0.02</v>
      </c>
      <c r="F147" s="720"/>
      <c r="G147" s="24">
        <f t="shared" si="25"/>
        <v>0.01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0.02</v>
      </c>
      <c r="F148" s="720"/>
      <c r="G148" s="24">
        <f t="shared" si="25"/>
        <v>0.01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0.02</v>
      </c>
      <c r="F149" s="720"/>
      <c r="G149" s="24">
        <f t="shared" si="25"/>
        <v>0.01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0.02</v>
      </c>
      <c r="F150" s="720"/>
      <c r="G150" s="24">
        <f t="shared" si="25"/>
        <v>0.01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0.02</v>
      </c>
      <c r="F151" s="720"/>
      <c r="G151" s="24">
        <f t="shared" si="25"/>
        <v>0.01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0.02</v>
      </c>
      <c r="F152" s="720"/>
      <c r="G152" s="24">
        <f t="shared" si="25"/>
        <v>0.01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0.02</v>
      </c>
      <c r="F153" s="720"/>
      <c r="G153" s="24">
        <f t="shared" si="25"/>
        <v>0.01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0.01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0.01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0.02</v>
      </c>
      <c r="F156" s="720"/>
      <c r="G156" s="24">
        <f t="shared" si="35"/>
        <v>0.01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0.02</v>
      </c>
      <c r="F157" s="720"/>
      <c r="G157" s="24">
        <f t="shared" si="35"/>
        <v>0.01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0.02</v>
      </c>
      <c r="F158" s="720"/>
      <c r="G158" s="24">
        <f t="shared" si="35"/>
        <v>0.01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0.02</v>
      </c>
      <c r="F159" s="720"/>
      <c r="G159" s="24">
        <f t="shared" si="35"/>
        <v>0.01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0.02</v>
      </c>
      <c r="F160" s="720"/>
      <c r="G160" s="24">
        <f t="shared" si="35"/>
        <v>0.01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0.02</v>
      </c>
      <c r="F161" s="720"/>
      <c r="G161" s="24">
        <f t="shared" si="35"/>
        <v>0.01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0.02</v>
      </c>
      <c r="F162" s="720"/>
      <c r="G162" s="24">
        <f t="shared" si="35"/>
        <v>0.01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0.02</v>
      </c>
      <c r="F163" s="720"/>
      <c r="G163" s="24">
        <f t="shared" si="35"/>
        <v>0.01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0.02</v>
      </c>
      <c r="F164" s="720"/>
      <c r="G164" s="24">
        <f t="shared" si="35"/>
        <v>0.01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0.02</v>
      </c>
      <c r="F165" s="720"/>
      <c r="G165" s="24">
        <f t="shared" si="35"/>
        <v>0.01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0.02</v>
      </c>
      <c r="F166" s="720"/>
      <c r="G166" s="24">
        <f t="shared" si="35"/>
        <v>0.01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0.02</v>
      </c>
      <c r="F167" s="720"/>
      <c r="G167" s="24">
        <f t="shared" si="35"/>
        <v>0.01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0.02</v>
      </c>
      <c r="F168" s="720"/>
      <c r="G168" s="24">
        <f t="shared" si="35"/>
        <v>0.01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0.02</v>
      </c>
      <c r="F169" s="720"/>
      <c r="G169" s="24">
        <f t="shared" si="35"/>
        <v>0.01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0.02</v>
      </c>
      <c r="F170" s="720"/>
      <c r="G170" s="24">
        <f t="shared" si="35"/>
        <v>0.01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0.02</v>
      </c>
      <c r="F171" s="720"/>
      <c r="G171" s="24">
        <f t="shared" si="35"/>
        <v>0.01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0.02</v>
      </c>
      <c r="F172" s="720"/>
      <c r="G172" s="24">
        <f t="shared" si="35"/>
        <v>0.01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0.02</v>
      </c>
      <c r="F173" s="720"/>
      <c r="G173" s="24">
        <f t="shared" si="35"/>
        <v>0.01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0.02</v>
      </c>
      <c r="F174" s="720"/>
      <c r="G174" s="24">
        <f t="shared" si="35"/>
        <v>0.01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0.02</v>
      </c>
      <c r="F175" s="720"/>
      <c r="G175" s="24">
        <f t="shared" si="35"/>
        <v>0.01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0.02</v>
      </c>
      <c r="F176" s="720"/>
      <c r="G176" s="24">
        <f t="shared" si="35"/>
        <v>0.01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0.02</v>
      </c>
      <c r="F177" s="720"/>
      <c r="G177" s="24">
        <f t="shared" si="35"/>
        <v>0.01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0.02</v>
      </c>
      <c r="F178" s="720"/>
      <c r="G178" s="24">
        <f t="shared" si="35"/>
        <v>0.01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0.02</v>
      </c>
      <c r="F179" s="720"/>
      <c r="G179" s="24">
        <f t="shared" si="35"/>
        <v>0.01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0.02</v>
      </c>
      <c r="F180" s="720"/>
      <c r="G180" s="24">
        <f t="shared" si="35"/>
        <v>0.01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0.02</v>
      </c>
      <c r="F181" s="720"/>
      <c r="G181" s="24">
        <f t="shared" si="35"/>
        <v>0.01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0.02</v>
      </c>
      <c r="F182" s="720"/>
      <c r="G182" s="24">
        <f t="shared" si="35"/>
        <v>0.01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0.02</v>
      </c>
      <c r="F183" s="720"/>
      <c r="G183" s="24">
        <f t="shared" si="35"/>
        <v>0.01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0.02</v>
      </c>
      <c r="F184" s="720"/>
      <c r="G184" s="24">
        <f t="shared" si="35"/>
        <v>0.01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0.02</v>
      </c>
      <c r="F185" s="720"/>
      <c r="G185" s="24">
        <f t="shared" si="35"/>
        <v>0.01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0.02</v>
      </c>
      <c r="F186" s="720"/>
      <c r="G186" s="24">
        <f t="shared" si="35"/>
        <v>0.01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0.02</v>
      </c>
      <c r="F187" s="720"/>
      <c r="G187" s="24">
        <f t="shared" si="35"/>
        <v>0.01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0.02</v>
      </c>
      <c r="F188" s="720"/>
      <c r="G188" s="24">
        <f t="shared" si="35"/>
        <v>0.01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0.02</v>
      </c>
      <c r="F189" s="720"/>
      <c r="G189" s="24">
        <f t="shared" si="35"/>
        <v>0.01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0.02</v>
      </c>
      <c r="F190" s="720"/>
      <c r="G190" s="24">
        <f t="shared" si="35"/>
        <v>0.01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0.02</v>
      </c>
      <c r="F191" s="720"/>
      <c r="G191" s="24">
        <f t="shared" si="35"/>
        <v>0.01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0.02</v>
      </c>
      <c r="F192" s="720"/>
      <c r="G192" s="24">
        <f t="shared" si="35"/>
        <v>0.01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0.02</v>
      </c>
      <c r="F193" s="720"/>
      <c r="G193" s="24">
        <f t="shared" si="35"/>
        <v>0.01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0.02</v>
      </c>
      <c r="F194" s="720"/>
      <c r="G194" s="24">
        <f t="shared" si="35"/>
        <v>0.01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0.02</v>
      </c>
      <c r="F195" s="720"/>
      <c r="G195" s="24">
        <f t="shared" si="35"/>
        <v>0.01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0.02</v>
      </c>
      <c r="F196" s="720"/>
      <c r="G196" s="24">
        <f t="shared" si="35"/>
        <v>0.01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0.02</v>
      </c>
      <c r="F197" s="720"/>
      <c r="G197" s="24">
        <f t="shared" si="35"/>
        <v>0.01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0.02</v>
      </c>
      <c r="F198" s="720"/>
      <c r="G198" s="24">
        <f t="shared" si="35"/>
        <v>0.01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0.02</v>
      </c>
      <c r="F199" s="720"/>
      <c r="G199" s="24">
        <f t="shared" si="35"/>
        <v>0.01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0.02</v>
      </c>
      <c r="F200" s="720"/>
      <c r="G200" s="24">
        <f t="shared" si="35"/>
        <v>0.01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0.02</v>
      </c>
      <c r="F201" s="720"/>
      <c r="G201" s="24">
        <f t="shared" si="35"/>
        <v>0.01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0.02</v>
      </c>
      <c r="F202" s="720"/>
      <c r="G202" s="24">
        <f t="shared" si="35"/>
        <v>0.01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0.02</v>
      </c>
      <c r="F203" s="720"/>
      <c r="G203" s="24">
        <f t="shared" si="35"/>
        <v>0.01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0.02</v>
      </c>
      <c r="F204" s="720"/>
      <c r="G204" s="24">
        <f t="shared" si="35"/>
        <v>0.01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0.02</v>
      </c>
      <c r="F205" s="720"/>
      <c r="G205" s="24">
        <f t="shared" si="35"/>
        <v>0.01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0.02</v>
      </c>
      <c r="F206" s="720"/>
      <c r="G206" s="24">
        <f t="shared" si="35"/>
        <v>0.01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0.02</v>
      </c>
      <c r="F207" s="720"/>
      <c r="G207" s="24">
        <f t="shared" si="35"/>
        <v>0.01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0.02</v>
      </c>
      <c r="F208" s="720"/>
      <c r="G208" s="24">
        <f t="shared" si="35"/>
        <v>0.01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0.02</v>
      </c>
      <c r="F209" s="720"/>
      <c r="G209" s="24">
        <f t="shared" si="35"/>
        <v>0.01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0.02</v>
      </c>
      <c r="F210" s="720"/>
      <c r="G210" s="24">
        <f t="shared" si="35"/>
        <v>0.01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0.02</v>
      </c>
      <c r="F211" s="720"/>
      <c r="G211" s="24">
        <f t="shared" si="35"/>
        <v>0.01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0.02</v>
      </c>
      <c r="F212" s="720"/>
      <c r="G212" s="24">
        <f t="shared" si="35"/>
        <v>0.01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0.02</v>
      </c>
      <c r="F213" s="720"/>
      <c r="G213" s="24">
        <f t="shared" si="35"/>
        <v>0.01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0.02</v>
      </c>
      <c r="F214" s="720"/>
      <c r="G214" s="24">
        <f t="shared" si="35"/>
        <v>0.01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0.02</v>
      </c>
      <c r="F215" s="720"/>
      <c r="G215" s="24">
        <f t="shared" si="35"/>
        <v>0.01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0.02</v>
      </c>
      <c r="F216" s="720"/>
      <c r="G216" s="24">
        <f t="shared" si="35"/>
        <v>0.01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0.02</v>
      </c>
      <c r="F217" s="720"/>
      <c r="G217" s="24">
        <f t="shared" si="35"/>
        <v>0.01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0.01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0.01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0.02</v>
      </c>
      <c r="F220" s="720"/>
      <c r="G220" s="24">
        <f t="shared" si="45"/>
        <v>0.01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0.02</v>
      </c>
      <c r="F221" s="720"/>
      <c r="G221" s="24">
        <f t="shared" si="45"/>
        <v>0.01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0.02</v>
      </c>
      <c r="F222" s="720"/>
      <c r="G222" s="24">
        <f t="shared" si="45"/>
        <v>0.01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0.02</v>
      </c>
      <c r="F223" s="720"/>
      <c r="G223" s="24">
        <f t="shared" si="45"/>
        <v>0.01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0.02</v>
      </c>
      <c r="F224" s="720"/>
      <c r="G224" s="24">
        <f t="shared" si="45"/>
        <v>0.01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0.02</v>
      </c>
      <c r="F225" s="720"/>
      <c r="G225" s="24">
        <f t="shared" si="45"/>
        <v>0.01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0.02</v>
      </c>
      <c r="F226" s="720"/>
      <c r="G226" s="24">
        <f t="shared" si="45"/>
        <v>0.01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0.02</v>
      </c>
      <c r="F227" s="720"/>
      <c r="G227" s="24">
        <f t="shared" si="45"/>
        <v>0.01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0.02</v>
      </c>
      <c r="F228" s="720"/>
      <c r="G228" s="24">
        <f t="shared" si="45"/>
        <v>0.01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0.02</v>
      </c>
      <c r="F229" s="720"/>
      <c r="G229" s="24">
        <f t="shared" si="45"/>
        <v>0.01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0.02</v>
      </c>
      <c r="F230" s="720"/>
      <c r="G230" s="24">
        <f t="shared" si="45"/>
        <v>0.01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0.02</v>
      </c>
      <c r="F231" s="720"/>
      <c r="G231" s="24">
        <f t="shared" si="45"/>
        <v>0.01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0.02</v>
      </c>
      <c r="F232" s="720"/>
      <c r="G232" s="24">
        <f t="shared" si="45"/>
        <v>0.01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0.02</v>
      </c>
      <c r="F233" s="720"/>
      <c r="G233" s="24">
        <f t="shared" si="45"/>
        <v>0.01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0.02</v>
      </c>
      <c r="F234" s="720"/>
      <c r="G234" s="24">
        <f t="shared" si="45"/>
        <v>0.01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0.02</v>
      </c>
      <c r="F235" s="720"/>
      <c r="G235" s="24">
        <f t="shared" si="45"/>
        <v>0.01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0.02</v>
      </c>
      <c r="F236" s="720"/>
      <c r="G236" s="24">
        <f t="shared" si="45"/>
        <v>0.01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0.02</v>
      </c>
      <c r="F237" s="720"/>
      <c r="G237" s="24">
        <f t="shared" si="45"/>
        <v>0.01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0.02</v>
      </c>
      <c r="F238" s="720"/>
      <c r="G238" s="24">
        <f t="shared" si="45"/>
        <v>0.01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0.02</v>
      </c>
      <c r="F239" s="720"/>
      <c r="G239" s="24">
        <f t="shared" si="45"/>
        <v>0.01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0.02</v>
      </c>
      <c r="F240" s="720"/>
      <c r="G240" s="24">
        <f t="shared" si="45"/>
        <v>0.01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0.02</v>
      </c>
      <c r="F241" s="720"/>
      <c r="G241" s="24">
        <f t="shared" si="45"/>
        <v>0.01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0.02</v>
      </c>
      <c r="F242" s="720"/>
      <c r="G242" s="24">
        <f t="shared" si="45"/>
        <v>0.01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0.02</v>
      </c>
      <c r="F243" s="720"/>
      <c r="G243" s="24">
        <f t="shared" si="45"/>
        <v>0.01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0.02</v>
      </c>
      <c r="F244" s="720"/>
      <c r="G244" s="24">
        <f t="shared" si="45"/>
        <v>0.01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0.02</v>
      </c>
      <c r="F245" s="720"/>
      <c r="G245" s="24">
        <f t="shared" si="45"/>
        <v>0.01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0.02</v>
      </c>
      <c r="F246" s="720"/>
      <c r="G246" s="24">
        <f t="shared" si="45"/>
        <v>0.01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0.02</v>
      </c>
      <c r="F247" s="720"/>
      <c r="G247" s="24">
        <f t="shared" si="45"/>
        <v>0.01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0.02</v>
      </c>
      <c r="F248" s="720"/>
      <c r="G248" s="24">
        <f t="shared" si="45"/>
        <v>0.01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0.02</v>
      </c>
      <c r="F249" s="720"/>
      <c r="G249" s="24">
        <f t="shared" si="45"/>
        <v>0.01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0.02</v>
      </c>
      <c r="F250" s="720"/>
      <c r="G250" s="24">
        <f t="shared" si="45"/>
        <v>0.01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0.02</v>
      </c>
      <c r="F251" s="720"/>
      <c r="G251" s="24">
        <f t="shared" si="45"/>
        <v>0.01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0.02</v>
      </c>
      <c r="F252" s="720"/>
      <c r="G252" s="24">
        <f t="shared" si="45"/>
        <v>0.01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0.02</v>
      </c>
      <c r="F253" s="720"/>
      <c r="G253" s="24">
        <f t="shared" si="45"/>
        <v>0.01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0.02</v>
      </c>
      <c r="F254" s="720"/>
      <c r="G254" s="24">
        <f t="shared" si="45"/>
        <v>0.01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0.02</v>
      </c>
      <c r="F255" s="720"/>
      <c r="G255" s="24">
        <f t="shared" si="45"/>
        <v>0.01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0.02</v>
      </c>
      <c r="F256" s="720"/>
      <c r="G256" s="24">
        <f t="shared" si="45"/>
        <v>0.01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0.02</v>
      </c>
      <c r="F257" s="720"/>
      <c r="G257" s="24">
        <f t="shared" si="45"/>
        <v>0.01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0.02</v>
      </c>
      <c r="F258" s="720"/>
      <c r="G258" s="24">
        <f t="shared" si="45"/>
        <v>0.01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0.02</v>
      </c>
      <c r="F259" s="720"/>
      <c r="G259" s="24">
        <f t="shared" si="45"/>
        <v>0.01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0.02</v>
      </c>
      <c r="F260" s="720"/>
      <c r="G260" s="24">
        <f t="shared" si="45"/>
        <v>0.01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0.02</v>
      </c>
      <c r="F261" s="720"/>
      <c r="G261" s="24">
        <f t="shared" si="45"/>
        <v>0.01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0.02</v>
      </c>
      <c r="F262" s="720"/>
      <c r="G262" s="24">
        <f t="shared" si="45"/>
        <v>0.01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0.02</v>
      </c>
      <c r="F263" s="720"/>
      <c r="G263" s="24">
        <f t="shared" si="45"/>
        <v>0.01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0.02</v>
      </c>
      <c r="F264" s="720"/>
      <c r="G264" s="24">
        <f t="shared" si="45"/>
        <v>0.01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0.02</v>
      </c>
      <c r="F265" s="720"/>
      <c r="G265" s="24">
        <f t="shared" si="45"/>
        <v>0.01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0.02</v>
      </c>
      <c r="F266" s="720"/>
      <c r="G266" s="24">
        <f t="shared" si="45"/>
        <v>0.01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0.02</v>
      </c>
      <c r="F267" s="720"/>
      <c r="G267" s="24">
        <f t="shared" si="45"/>
        <v>0.01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0.02</v>
      </c>
      <c r="F268" s="720"/>
      <c r="G268" s="24">
        <f t="shared" si="45"/>
        <v>0.01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0.02</v>
      </c>
      <c r="F269" s="720"/>
      <c r="G269" s="24">
        <f t="shared" si="45"/>
        <v>0.01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0.02</v>
      </c>
      <c r="F270" s="720"/>
      <c r="G270" s="24">
        <f t="shared" si="45"/>
        <v>0.01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0.02</v>
      </c>
      <c r="F271" s="720"/>
      <c r="G271" s="24">
        <f t="shared" si="45"/>
        <v>0.01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0.02</v>
      </c>
      <c r="F272" s="720"/>
      <c r="G272" s="24">
        <f t="shared" si="45"/>
        <v>0.01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0.02</v>
      </c>
      <c r="F273" s="720"/>
      <c r="G273" s="24">
        <f t="shared" si="45"/>
        <v>0.01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0.02</v>
      </c>
      <c r="F274" s="720"/>
      <c r="G274" s="24">
        <f t="shared" si="45"/>
        <v>0.01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0.02</v>
      </c>
      <c r="F275" s="720"/>
      <c r="G275" s="24">
        <f t="shared" si="45"/>
        <v>0.01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0.02</v>
      </c>
      <c r="F276" s="720"/>
      <c r="G276" s="24">
        <f t="shared" si="45"/>
        <v>0.01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0.02</v>
      </c>
      <c r="F277" s="720"/>
      <c r="G277" s="24">
        <f t="shared" si="45"/>
        <v>0.01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0.02</v>
      </c>
      <c r="F278" s="720"/>
      <c r="G278" s="24">
        <f t="shared" si="45"/>
        <v>0.01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0.02</v>
      </c>
      <c r="F279" s="720"/>
      <c r="G279" s="24">
        <f t="shared" si="45"/>
        <v>0.01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0.02</v>
      </c>
      <c r="F280" s="720"/>
      <c r="G280" s="24">
        <f t="shared" si="45"/>
        <v>0.01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0.02</v>
      </c>
      <c r="F281" s="720"/>
      <c r="G281" s="24">
        <f t="shared" si="45"/>
        <v>0.01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0.01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0.01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0.02</v>
      </c>
      <c r="F284" s="720"/>
      <c r="G284" s="24">
        <f t="shared" si="55"/>
        <v>0.01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0.02</v>
      </c>
      <c r="F285" s="720"/>
      <c r="G285" s="24">
        <f t="shared" si="55"/>
        <v>0.01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0.02</v>
      </c>
      <c r="F286" s="720"/>
      <c r="G286" s="24">
        <f t="shared" si="55"/>
        <v>0.01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0.02</v>
      </c>
      <c r="F287" s="720"/>
      <c r="G287" s="24">
        <f t="shared" si="55"/>
        <v>0.01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0.02</v>
      </c>
      <c r="F288" s="720"/>
      <c r="G288" s="24">
        <f t="shared" si="55"/>
        <v>0.01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0.02</v>
      </c>
      <c r="F289" s="720"/>
      <c r="G289" s="24">
        <f t="shared" si="55"/>
        <v>0.01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0.02</v>
      </c>
      <c r="F290" s="720"/>
      <c r="G290" s="24">
        <f t="shared" si="55"/>
        <v>0.01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0.02</v>
      </c>
      <c r="F291" s="720"/>
      <c r="G291" s="24">
        <f t="shared" si="55"/>
        <v>0.01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0.02</v>
      </c>
      <c r="F292" s="720"/>
      <c r="G292" s="24">
        <f t="shared" si="55"/>
        <v>0.01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0.02</v>
      </c>
      <c r="F293" s="720"/>
      <c r="G293" s="24">
        <f t="shared" si="55"/>
        <v>0.01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0.02</v>
      </c>
      <c r="F294" s="720"/>
      <c r="G294" s="24">
        <f t="shared" si="55"/>
        <v>0.01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0.02</v>
      </c>
      <c r="F295" s="720"/>
      <c r="G295" s="24">
        <f t="shared" si="55"/>
        <v>0.01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0.02</v>
      </c>
      <c r="F296" s="720"/>
      <c r="G296" s="24">
        <f t="shared" si="55"/>
        <v>0.01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0.02</v>
      </c>
      <c r="F297" s="720"/>
      <c r="G297" s="24">
        <f t="shared" si="55"/>
        <v>0.01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0.02</v>
      </c>
      <c r="F298" s="720"/>
      <c r="G298" s="24">
        <f t="shared" si="55"/>
        <v>0.01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0.02</v>
      </c>
      <c r="F299" s="720"/>
      <c r="G299" s="24">
        <f t="shared" si="55"/>
        <v>0.01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0.02</v>
      </c>
      <c r="F300" s="720"/>
      <c r="G300" s="24">
        <f t="shared" si="55"/>
        <v>0.01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0.02</v>
      </c>
      <c r="F301" s="720"/>
      <c r="G301" s="24">
        <f t="shared" si="55"/>
        <v>0.01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0.02</v>
      </c>
      <c r="F302" s="720"/>
      <c r="G302" s="24">
        <f t="shared" si="55"/>
        <v>0.01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0.02</v>
      </c>
      <c r="F303" s="720"/>
      <c r="G303" s="24">
        <f t="shared" si="55"/>
        <v>0.01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0.02</v>
      </c>
      <c r="F304" s="720"/>
      <c r="G304" s="24">
        <f t="shared" si="55"/>
        <v>0.01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0.02</v>
      </c>
      <c r="F305" s="720"/>
      <c r="G305" s="24">
        <f t="shared" si="55"/>
        <v>0.01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0.02</v>
      </c>
      <c r="F306" s="720"/>
      <c r="G306" s="24">
        <f t="shared" si="55"/>
        <v>0.01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0.02</v>
      </c>
      <c r="F307" s="720"/>
      <c r="G307" s="24">
        <f t="shared" si="55"/>
        <v>0.01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0.02</v>
      </c>
      <c r="F308" s="720"/>
      <c r="G308" s="24">
        <f t="shared" si="55"/>
        <v>0.01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0.02</v>
      </c>
      <c r="F309" s="720"/>
      <c r="G309" s="24">
        <f t="shared" si="55"/>
        <v>0.01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0.02</v>
      </c>
      <c r="F310" s="720"/>
      <c r="G310" s="24">
        <f t="shared" si="55"/>
        <v>0.01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0.02</v>
      </c>
      <c r="F311" s="720"/>
      <c r="G311" s="24">
        <f t="shared" si="55"/>
        <v>0.01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0.02</v>
      </c>
      <c r="F312" s="720"/>
      <c r="G312" s="24">
        <f t="shared" si="55"/>
        <v>0.01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0.02</v>
      </c>
      <c r="F313" s="720"/>
      <c r="G313" s="24">
        <f t="shared" si="55"/>
        <v>0.01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0.02</v>
      </c>
      <c r="F314" s="720"/>
      <c r="G314" s="24">
        <f t="shared" si="55"/>
        <v>0.01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0.02</v>
      </c>
      <c r="F315" s="720"/>
      <c r="G315" s="24">
        <f t="shared" si="55"/>
        <v>0.01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0.02</v>
      </c>
      <c r="F316" s="720"/>
      <c r="G316" s="24">
        <f t="shared" si="55"/>
        <v>0.01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0.02</v>
      </c>
      <c r="F317" s="720"/>
      <c r="G317" s="24">
        <f t="shared" si="55"/>
        <v>0.01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0.02</v>
      </c>
      <c r="F318" s="720"/>
      <c r="G318" s="24">
        <f t="shared" si="55"/>
        <v>0.01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0.02</v>
      </c>
      <c r="F319" s="720"/>
      <c r="G319" s="24">
        <f t="shared" si="55"/>
        <v>0.01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0.02</v>
      </c>
      <c r="F320" s="720"/>
      <c r="G320" s="24">
        <f t="shared" si="55"/>
        <v>0.01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0.02</v>
      </c>
      <c r="F321" s="720"/>
      <c r="G321" s="24">
        <f t="shared" si="55"/>
        <v>0.01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0.02</v>
      </c>
      <c r="F322" s="720"/>
      <c r="G322" s="24">
        <f t="shared" si="55"/>
        <v>0.01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0.02</v>
      </c>
      <c r="F323" s="720"/>
      <c r="G323" s="24">
        <f t="shared" si="55"/>
        <v>0.01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0.02</v>
      </c>
      <c r="F324" s="720"/>
      <c r="G324" s="24">
        <f t="shared" si="55"/>
        <v>0.01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0.02</v>
      </c>
      <c r="F325" s="720"/>
      <c r="G325" s="24">
        <f t="shared" si="55"/>
        <v>0.01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0.02</v>
      </c>
      <c r="F326" s="720"/>
      <c r="G326" s="24">
        <f t="shared" si="55"/>
        <v>0.01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0.02</v>
      </c>
      <c r="F327" s="720"/>
      <c r="G327" s="24">
        <f t="shared" si="55"/>
        <v>0.01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0.02</v>
      </c>
      <c r="F328" s="720"/>
      <c r="G328" s="24">
        <f t="shared" si="55"/>
        <v>0.01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0.02</v>
      </c>
      <c r="F329" s="720"/>
      <c r="G329" s="24">
        <f t="shared" si="55"/>
        <v>0.01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0.02</v>
      </c>
      <c r="F330" s="720"/>
      <c r="G330" s="24">
        <f t="shared" si="55"/>
        <v>0.01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0.02</v>
      </c>
      <c r="F331" s="720"/>
      <c r="G331" s="24">
        <f t="shared" si="55"/>
        <v>0.01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0.02</v>
      </c>
      <c r="F332" s="720"/>
      <c r="G332" s="24">
        <f t="shared" si="55"/>
        <v>0.01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0.02</v>
      </c>
      <c r="F333" s="720"/>
      <c r="G333" s="24">
        <f t="shared" si="55"/>
        <v>0.01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0.02</v>
      </c>
      <c r="F334" s="720"/>
      <c r="G334" s="24">
        <f t="shared" si="55"/>
        <v>0.01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0.02</v>
      </c>
      <c r="F335" s="720"/>
      <c r="G335" s="24">
        <f t="shared" si="55"/>
        <v>0.01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0.02</v>
      </c>
      <c r="F336" s="720"/>
      <c r="G336" s="24">
        <f t="shared" si="55"/>
        <v>0.01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0.02</v>
      </c>
      <c r="F337" s="720"/>
      <c r="G337" s="24">
        <f t="shared" si="55"/>
        <v>0.01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0.02</v>
      </c>
      <c r="F338" s="720"/>
      <c r="G338" s="24">
        <f t="shared" si="55"/>
        <v>0.01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0.02</v>
      </c>
      <c r="F339" s="720"/>
      <c r="G339" s="24">
        <f t="shared" si="55"/>
        <v>0.01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0.02</v>
      </c>
      <c r="F340" s="720"/>
      <c r="G340" s="24">
        <f t="shared" si="55"/>
        <v>0.01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0.02</v>
      </c>
      <c r="F341" s="720"/>
      <c r="G341" s="24">
        <f t="shared" si="55"/>
        <v>0.01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0.02</v>
      </c>
      <c r="F342" s="720"/>
      <c r="G342" s="24">
        <f t="shared" si="55"/>
        <v>0.01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0.02</v>
      </c>
      <c r="F343" s="720"/>
      <c r="G343" s="24">
        <f t="shared" si="55"/>
        <v>0.01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0.02</v>
      </c>
      <c r="F344" s="720"/>
      <c r="G344" s="24">
        <f t="shared" si="55"/>
        <v>0.01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0.02</v>
      </c>
      <c r="F345" s="720"/>
      <c r="G345" s="24">
        <f t="shared" si="55"/>
        <v>0.01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0.01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0.01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0.02</v>
      </c>
      <c r="F348" s="720"/>
      <c r="G348" s="24">
        <f t="shared" si="66"/>
        <v>0.01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0.02</v>
      </c>
      <c r="F349" s="720"/>
      <c r="G349" s="24">
        <f t="shared" si="66"/>
        <v>0.01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0.02</v>
      </c>
      <c r="F350" s="720"/>
      <c r="G350" s="24">
        <f t="shared" si="66"/>
        <v>0.01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0.02</v>
      </c>
      <c r="F351" s="720"/>
      <c r="G351" s="24">
        <f t="shared" si="66"/>
        <v>0.01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0.02</v>
      </c>
      <c r="F352" s="720"/>
      <c r="G352" s="24">
        <f t="shared" si="66"/>
        <v>0.01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0.02</v>
      </c>
      <c r="F353" s="720"/>
      <c r="G353" s="24">
        <f t="shared" si="66"/>
        <v>0.01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0.02</v>
      </c>
      <c r="F354" s="720"/>
      <c r="G354" s="24">
        <f t="shared" si="66"/>
        <v>0.01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0.02</v>
      </c>
      <c r="F355" s="720"/>
      <c r="G355" s="24">
        <f t="shared" si="66"/>
        <v>0.01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0.02</v>
      </c>
      <c r="F356" s="720"/>
      <c r="G356" s="24">
        <f t="shared" si="66"/>
        <v>0.01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0.02</v>
      </c>
      <c r="F357" s="720"/>
      <c r="G357" s="24">
        <f t="shared" si="66"/>
        <v>0.01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0.02</v>
      </c>
      <c r="F358" s="720"/>
      <c r="G358" s="24">
        <f t="shared" si="66"/>
        <v>0.01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0.02</v>
      </c>
      <c r="F359" s="720"/>
      <c r="G359" s="24">
        <f t="shared" si="66"/>
        <v>0.01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0.02</v>
      </c>
      <c r="F360" s="720"/>
      <c r="G360" s="24">
        <f t="shared" si="66"/>
        <v>0.01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0.02</v>
      </c>
      <c r="F361" s="720"/>
      <c r="G361" s="24">
        <f t="shared" si="66"/>
        <v>0.01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0.02</v>
      </c>
      <c r="F362" s="720"/>
      <c r="G362" s="24">
        <f t="shared" si="66"/>
        <v>0.01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0.02</v>
      </c>
      <c r="F363" s="720"/>
      <c r="G363" s="24">
        <f t="shared" si="66"/>
        <v>0.01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0.02</v>
      </c>
      <c r="F364" s="720"/>
      <c r="G364" s="24">
        <f t="shared" si="66"/>
        <v>0.01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0.02</v>
      </c>
      <c r="F365" s="720"/>
      <c r="G365" s="24">
        <f t="shared" si="66"/>
        <v>0.01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0.02</v>
      </c>
      <c r="F366" s="720"/>
      <c r="G366" s="24">
        <f t="shared" si="66"/>
        <v>0.01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0.02</v>
      </c>
      <c r="F367" s="720"/>
      <c r="G367" s="24">
        <f t="shared" si="66"/>
        <v>0.01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0.02</v>
      </c>
      <c r="F368" s="720"/>
      <c r="G368" s="24">
        <f t="shared" si="66"/>
        <v>0.01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0.02</v>
      </c>
      <c r="F369" s="720"/>
      <c r="G369" s="24">
        <f t="shared" si="66"/>
        <v>0.01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0.02</v>
      </c>
      <c r="F370" s="720"/>
      <c r="G370" s="24">
        <f t="shared" si="66"/>
        <v>0.01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0.02</v>
      </c>
      <c r="F371" s="720"/>
      <c r="G371" s="24">
        <f t="shared" si="66"/>
        <v>0.01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0.02</v>
      </c>
      <c r="F372" s="720"/>
      <c r="G372" s="24">
        <f t="shared" si="66"/>
        <v>0.01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0.02</v>
      </c>
      <c r="F373" s="720"/>
      <c r="G373" s="24">
        <f t="shared" si="66"/>
        <v>0.01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0.02</v>
      </c>
      <c r="F374" s="720"/>
      <c r="G374" s="24">
        <f t="shared" si="66"/>
        <v>0.01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0.02</v>
      </c>
      <c r="F375" s="720"/>
      <c r="G375" s="24">
        <f t="shared" si="66"/>
        <v>0.01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0.02</v>
      </c>
      <c r="F376" s="720"/>
      <c r="G376" s="24">
        <f t="shared" si="66"/>
        <v>0.01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0.02</v>
      </c>
      <c r="F377" s="720"/>
      <c r="G377" s="24">
        <f t="shared" si="66"/>
        <v>0.01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0.02</v>
      </c>
      <c r="F378" s="720"/>
      <c r="G378" s="24">
        <f t="shared" si="66"/>
        <v>0.01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0.02</v>
      </c>
      <c r="F379" s="720"/>
      <c r="G379" s="24">
        <f t="shared" si="66"/>
        <v>0.01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0.02</v>
      </c>
      <c r="F380" s="720"/>
      <c r="G380" s="24">
        <f t="shared" si="66"/>
        <v>0.01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0.02</v>
      </c>
      <c r="F381" s="720"/>
      <c r="G381" s="24">
        <f t="shared" si="66"/>
        <v>0.01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0.02</v>
      </c>
      <c r="F382" s="720"/>
      <c r="G382" s="24">
        <f t="shared" si="66"/>
        <v>0.01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0.02</v>
      </c>
      <c r="F383" s="720"/>
      <c r="G383" s="24">
        <f t="shared" si="66"/>
        <v>0.01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0.02</v>
      </c>
      <c r="F384" s="720"/>
      <c r="G384" s="24">
        <f t="shared" si="66"/>
        <v>0.01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0.02</v>
      </c>
      <c r="F385" s="720"/>
      <c r="G385" s="24">
        <f t="shared" si="66"/>
        <v>0.01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0.02</v>
      </c>
      <c r="F386" s="720"/>
      <c r="G386" s="24">
        <f t="shared" si="66"/>
        <v>0.01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0.02</v>
      </c>
      <c r="F387" s="720"/>
      <c r="G387" s="24">
        <f t="shared" si="66"/>
        <v>0.01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0.02</v>
      </c>
      <c r="F388" s="720"/>
      <c r="G388" s="24">
        <f t="shared" si="66"/>
        <v>0.01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0.02</v>
      </c>
      <c r="F389" s="720"/>
      <c r="G389" s="24">
        <f t="shared" si="66"/>
        <v>0.01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0.02</v>
      </c>
      <c r="F390" s="720"/>
      <c r="G390" s="24">
        <f t="shared" si="66"/>
        <v>0.01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0.02</v>
      </c>
      <c r="F391" s="720"/>
      <c r="G391" s="24">
        <f t="shared" si="66"/>
        <v>0.01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0.02</v>
      </c>
      <c r="F392" s="720"/>
      <c r="G392" s="24">
        <f t="shared" si="66"/>
        <v>0.01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0.02</v>
      </c>
      <c r="F393" s="720"/>
      <c r="G393" s="24">
        <f t="shared" si="66"/>
        <v>0.01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0.02</v>
      </c>
      <c r="F394" s="720"/>
      <c r="G394" s="24">
        <f t="shared" si="66"/>
        <v>0.01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0.02</v>
      </c>
      <c r="F395" s="720"/>
      <c r="G395" s="24">
        <f t="shared" si="66"/>
        <v>0.01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0.02</v>
      </c>
      <c r="F396" s="720"/>
      <c r="G396" s="24">
        <f t="shared" si="66"/>
        <v>0.01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0.02</v>
      </c>
      <c r="F397" s="720"/>
      <c r="G397" s="24">
        <f t="shared" si="66"/>
        <v>0.01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0.02</v>
      </c>
      <c r="F398" s="720"/>
      <c r="G398" s="24">
        <f t="shared" si="66"/>
        <v>0.01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0.02</v>
      </c>
      <c r="F399" s="720"/>
      <c r="G399" s="24">
        <f t="shared" si="66"/>
        <v>0.01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0.02</v>
      </c>
      <c r="F400" s="720"/>
      <c r="G400" s="24">
        <f t="shared" si="66"/>
        <v>0.01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0.02</v>
      </c>
      <c r="F401" s="720"/>
      <c r="G401" s="24">
        <f t="shared" si="66"/>
        <v>0.01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0.02</v>
      </c>
      <c r="F402" s="720"/>
      <c r="G402" s="24">
        <f t="shared" si="66"/>
        <v>0.01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0.02</v>
      </c>
      <c r="F403" s="720"/>
      <c r="G403" s="24">
        <f t="shared" si="66"/>
        <v>0.01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0.02</v>
      </c>
      <c r="F404" s="720"/>
      <c r="G404" s="24">
        <f t="shared" si="66"/>
        <v>0.01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0.02</v>
      </c>
      <c r="F405" s="720"/>
      <c r="G405" s="24">
        <f t="shared" si="66"/>
        <v>0.01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0.02</v>
      </c>
      <c r="F406" s="720"/>
      <c r="G406" s="24">
        <f t="shared" si="66"/>
        <v>0.01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0.02</v>
      </c>
      <c r="F407" s="720"/>
      <c r="G407" s="24">
        <f t="shared" si="66"/>
        <v>0.01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0.02</v>
      </c>
      <c r="F408" s="720"/>
      <c r="G408" s="24">
        <f t="shared" si="66"/>
        <v>0.01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0.02</v>
      </c>
      <c r="F409" s="720"/>
      <c r="G409" s="24">
        <f t="shared" si="66"/>
        <v>0.01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0.01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0.01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0.02</v>
      </c>
      <c r="F412" s="720"/>
      <c r="G412" s="24">
        <f t="shared" si="76"/>
        <v>0.01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0.02</v>
      </c>
      <c r="F413" s="720"/>
      <c r="G413" s="24">
        <f t="shared" si="76"/>
        <v>0.01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0.02</v>
      </c>
      <c r="F414" s="720"/>
      <c r="G414" s="24">
        <f t="shared" si="76"/>
        <v>0.01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0.02</v>
      </c>
      <c r="F415" s="720"/>
      <c r="G415" s="24">
        <f t="shared" si="76"/>
        <v>0.01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0.02</v>
      </c>
      <c r="F416" s="720"/>
      <c r="G416" s="24">
        <f t="shared" si="76"/>
        <v>0.01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0.02</v>
      </c>
      <c r="F417" s="720"/>
      <c r="G417" s="24">
        <f t="shared" si="76"/>
        <v>0.01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0.02</v>
      </c>
      <c r="F418" s="720"/>
      <c r="G418" s="24">
        <f t="shared" si="76"/>
        <v>0.01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0.02</v>
      </c>
      <c r="F419" s="720"/>
      <c r="G419" s="24">
        <f t="shared" si="76"/>
        <v>0.01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0.02</v>
      </c>
      <c r="F420" s="720"/>
      <c r="G420" s="24">
        <f t="shared" si="76"/>
        <v>0.01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0.02</v>
      </c>
      <c r="F421" s="720"/>
      <c r="G421" s="24">
        <f t="shared" si="76"/>
        <v>0.01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0.02</v>
      </c>
      <c r="F422" s="720"/>
      <c r="G422" s="24">
        <f t="shared" si="76"/>
        <v>0.01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0.02</v>
      </c>
      <c r="F423" s="720"/>
      <c r="G423" s="24">
        <f t="shared" si="76"/>
        <v>0.01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0.02</v>
      </c>
      <c r="F424" s="720"/>
      <c r="G424" s="24">
        <f t="shared" si="76"/>
        <v>0.01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0.02</v>
      </c>
      <c r="F425" s="720"/>
      <c r="G425" s="24">
        <f t="shared" si="76"/>
        <v>0.01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0.02</v>
      </c>
      <c r="F426" s="720"/>
      <c r="G426" s="24">
        <f t="shared" si="76"/>
        <v>0.01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0.02</v>
      </c>
      <c r="F427" s="720"/>
      <c r="G427" s="24">
        <f t="shared" si="76"/>
        <v>0.01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0.02</v>
      </c>
      <c r="F428" s="720"/>
      <c r="G428" s="24">
        <f t="shared" si="76"/>
        <v>0.01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0.02</v>
      </c>
      <c r="F429" s="720"/>
      <c r="G429" s="24">
        <f t="shared" si="76"/>
        <v>0.01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0.02</v>
      </c>
      <c r="F430" s="720"/>
      <c r="G430" s="24">
        <f t="shared" si="76"/>
        <v>0.01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0.02</v>
      </c>
      <c r="F431" s="720"/>
      <c r="G431" s="24">
        <f t="shared" si="76"/>
        <v>0.01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0.02</v>
      </c>
      <c r="F432" s="720"/>
      <c r="G432" s="24">
        <f t="shared" si="76"/>
        <v>0.01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0.02</v>
      </c>
      <c r="F433" s="720"/>
      <c r="G433" s="24">
        <f t="shared" si="76"/>
        <v>0.01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0.02</v>
      </c>
      <c r="F434" s="720"/>
      <c r="G434" s="24">
        <f t="shared" si="76"/>
        <v>0.01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0.02</v>
      </c>
      <c r="F435" s="720"/>
      <c r="G435" s="24">
        <f t="shared" si="76"/>
        <v>0.01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0.02</v>
      </c>
      <c r="F436" s="720"/>
      <c r="G436" s="24">
        <f t="shared" si="76"/>
        <v>0.01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0.02</v>
      </c>
      <c r="F437" s="720"/>
      <c r="G437" s="24">
        <f t="shared" si="76"/>
        <v>0.01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0.02</v>
      </c>
      <c r="F438" s="720"/>
      <c r="G438" s="24">
        <f t="shared" si="76"/>
        <v>0.01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0.02</v>
      </c>
      <c r="F439" s="720"/>
      <c r="G439" s="24">
        <f t="shared" si="76"/>
        <v>0.01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0.02</v>
      </c>
      <c r="F440" s="720"/>
      <c r="G440" s="24">
        <f t="shared" si="76"/>
        <v>0.01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0.02</v>
      </c>
      <c r="F441" s="720"/>
      <c r="G441" s="24">
        <f t="shared" si="76"/>
        <v>0.01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0.02</v>
      </c>
      <c r="F442" s="720"/>
      <c r="G442" s="24">
        <f t="shared" si="76"/>
        <v>0.01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0.02</v>
      </c>
      <c r="F443" s="720"/>
      <c r="G443" s="24">
        <f t="shared" si="76"/>
        <v>0.01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0.02</v>
      </c>
      <c r="F444" s="720"/>
      <c r="G444" s="24">
        <f t="shared" si="76"/>
        <v>0.01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0.02</v>
      </c>
      <c r="F445" s="720"/>
      <c r="G445" s="24">
        <f t="shared" si="76"/>
        <v>0.01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0.02</v>
      </c>
      <c r="F446" s="720"/>
      <c r="G446" s="24">
        <f t="shared" si="76"/>
        <v>0.01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0.02</v>
      </c>
      <c r="F447" s="720"/>
      <c r="G447" s="24">
        <f t="shared" si="76"/>
        <v>0.01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0.02</v>
      </c>
      <c r="F448" s="720"/>
      <c r="G448" s="24">
        <f t="shared" si="76"/>
        <v>0.01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0.02</v>
      </c>
      <c r="F449" s="720"/>
      <c r="G449" s="24">
        <f t="shared" si="76"/>
        <v>0.01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0.02</v>
      </c>
      <c r="F450" s="720"/>
      <c r="G450" s="24">
        <f t="shared" si="76"/>
        <v>0.01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0.02</v>
      </c>
      <c r="F451" s="720"/>
      <c r="G451" s="24">
        <f t="shared" si="76"/>
        <v>0.01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0.02</v>
      </c>
      <c r="F452" s="720"/>
      <c r="G452" s="24">
        <f t="shared" si="76"/>
        <v>0.01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0.02</v>
      </c>
      <c r="F453" s="720"/>
      <c r="G453" s="24">
        <f t="shared" si="76"/>
        <v>0.01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0.02</v>
      </c>
      <c r="F454" s="720"/>
      <c r="G454" s="24">
        <f t="shared" si="76"/>
        <v>0.01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0.02</v>
      </c>
      <c r="F455" s="720"/>
      <c r="G455" s="24">
        <f t="shared" si="76"/>
        <v>0.01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0.02</v>
      </c>
      <c r="F456" s="720"/>
      <c r="G456" s="24">
        <f t="shared" si="76"/>
        <v>0.01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0.02</v>
      </c>
      <c r="F457" s="720"/>
      <c r="G457" s="24">
        <f t="shared" si="76"/>
        <v>0.01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0.02</v>
      </c>
      <c r="F458" s="720"/>
      <c r="G458" s="24">
        <f t="shared" si="76"/>
        <v>0.01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0.02</v>
      </c>
      <c r="F459" s="720"/>
      <c r="G459" s="24">
        <f t="shared" si="76"/>
        <v>0.01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0.02</v>
      </c>
      <c r="F460" s="720"/>
      <c r="G460" s="24">
        <f t="shared" si="76"/>
        <v>0.01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0.02</v>
      </c>
      <c r="F461" s="720"/>
      <c r="G461" s="24">
        <f t="shared" si="76"/>
        <v>0.01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0.02</v>
      </c>
      <c r="F462" s="720"/>
      <c r="G462" s="24">
        <f t="shared" si="76"/>
        <v>0.01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0.02</v>
      </c>
      <c r="F463" s="720"/>
      <c r="G463" s="24">
        <f t="shared" si="76"/>
        <v>0.01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0.02</v>
      </c>
      <c r="F464" s="720"/>
      <c r="G464" s="24">
        <f t="shared" si="76"/>
        <v>0.01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0.02</v>
      </c>
      <c r="F465" s="720"/>
      <c r="G465" s="24">
        <f t="shared" si="76"/>
        <v>0.01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0.02</v>
      </c>
      <c r="F466" s="720"/>
      <c r="G466" s="24">
        <f t="shared" si="76"/>
        <v>0.01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0.02</v>
      </c>
      <c r="F467" s="720"/>
      <c r="G467" s="24">
        <f t="shared" si="76"/>
        <v>0.01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0.02</v>
      </c>
      <c r="F468" s="720"/>
      <c r="G468" s="24">
        <f t="shared" si="76"/>
        <v>0.01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0.02</v>
      </c>
      <c r="F469" s="720"/>
      <c r="G469" s="24">
        <f t="shared" si="76"/>
        <v>0.01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0.02</v>
      </c>
      <c r="F470" s="720"/>
      <c r="G470" s="24">
        <f t="shared" si="76"/>
        <v>0.01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0.02</v>
      </c>
      <c r="F471" s="720"/>
      <c r="G471" s="24">
        <f t="shared" si="76"/>
        <v>0.01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0.02</v>
      </c>
      <c r="F472" s="720"/>
      <c r="G472" s="24">
        <f t="shared" si="76"/>
        <v>0.01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0.02</v>
      </c>
      <c r="F473" s="720"/>
      <c r="G473" s="24">
        <f t="shared" si="76"/>
        <v>0.01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0.01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0.01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0.02</v>
      </c>
      <c r="F476" s="720"/>
      <c r="G476" s="24">
        <f t="shared" si="87"/>
        <v>0.01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0.02</v>
      </c>
      <c r="F477" s="720"/>
      <c r="G477" s="24">
        <f t="shared" si="87"/>
        <v>0.01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0.02</v>
      </c>
      <c r="F478" s="720"/>
      <c r="G478" s="24">
        <f t="shared" si="87"/>
        <v>0.01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0.02</v>
      </c>
      <c r="F479" s="720"/>
      <c r="G479" s="24">
        <f t="shared" si="87"/>
        <v>0.01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0.02</v>
      </c>
      <c r="F480" s="720"/>
      <c r="G480" s="24">
        <f t="shared" si="87"/>
        <v>0.01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0.02</v>
      </c>
      <c r="F481" s="720"/>
      <c r="G481" s="24">
        <f t="shared" si="87"/>
        <v>0.01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0.02</v>
      </c>
      <c r="F482" s="720"/>
      <c r="G482" s="24">
        <f t="shared" si="87"/>
        <v>0.01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0.02</v>
      </c>
      <c r="F483" s="720"/>
      <c r="G483" s="24">
        <f t="shared" si="87"/>
        <v>0.01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0.02</v>
      </c>
      <c r="F484" s="720"/>
      <c r="G484" s="24">
        <f t="shared" si="87"/>
        <v>0.01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0.02</v>
      </c>
      <c r="F485" s="720"/>
      <c r="G485" s="24">
        <f t="shared" si="87"/>
        <v>0.01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0.02</v>
      </c>
      <c r="F486" s="720"/>
      <c r="G486" s="24">
        <f t="shared" si="87"/>
        <v>0.01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0.02</v>
      </c>
      <c r="F487" s="720"/>
      <c r="G487" s="24">
        <f t="shared" si="87"/>
        <v>0.01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0.02</v>
      </c>
      <c r="F488" s="720"/>
      <c r="G488" s="24">
        <f t="shared" si="87"/>
        <v>0.01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0.02</v>
      </c>
      <c r="F489" s="720"/>
      <c r="G489" s="24">
        <f t="shared" si="87"/>
        <v>0.01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0.02</v>
      </c>
      <c r="F490" s="720"/>
      <c r="G490" s="24">
        <f t="shared" si="87"/>
        <v>0.01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0.02</v>
      </c>
      <c r="F491" s="720"/>
      <c r="G491" s="24">
        <f t="shared" si="87"/>
        <v>0.01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0.02</v>
      </c>
      <c r="F492" s="720"/>
      <c r="G492" s="24">
        <f t="shared" si="87"/>
        <v>0.01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0.02</v>
      </c>
      <c r="F493" s="720"/>
      <c r="G493" s="24">
        <f t="shared" si="87"/>
        <v>0.01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0.02</v>
      </c>
      <c r="F494" s="720"/>
      <c r="G494" s="24">
        <f t="shared" si="87"/>
        <v>0.01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0.02</v>
      </c>
      <c r="F495" s="720"/>
      <c r="G495" s="24">
        <f t="shared" si="87"/>
        <v>0.01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0.02</v>
      </c>
      <c r="F496" s="720"/>
      <c r="G496" s="24">
        <f t="shared" si="87"/>
        <v>0.01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0.02</v>
      </c>
      <c r="F497" s="720"/>
      <c r="G497" s="24">
        <f t="shared" si="87"/>
        <v>0.01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0.02</v>
      </c>
      <c r="F498" s="720"/>
      <c r="G498" s="24">
        <f t="shared" si="87"/>
        <v>0.01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0.02</v>
      </c>
      <c r="F499" s="720"/>
      <c r="G499" s="24">
        <f t="shared" si="87"/>
        <v>0.01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0.02</v>
      </c>
      <c r="F500" s="720"/>
      <c r="G500" s="24">
        <f t="shared" si="87"/>
        <v>0.01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0.02</v>
      </c>
      <c r="F501" s="720"/>
      <c r="G501" s="24">
        <f t="shared" si="87"/>
        <v>0.01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0.02</v>
      </c>
      <c r="F502" s="720"/>
      <c r="G502" s="24">
        <f t="shared" si="87"/>
        <v>0.01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0.02</v>
      </c>
      <c r="F503" s="720"/>
      <c r="G503" s="24">
        <f t="shared" si="87"/>
        <v>0.01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0.02</v>
      </c>
      <c r="F504" s="720"/>
      <c r="G504" s="24">
        <f t="shared" si="87"/>
        <v>0.01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0.02</v>
      </c>
      <c r="F505" s="720"/>
      <c r="G505" s="24">
        <f t="shared" si="87"/>
        <v>0.01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0.02</v>
      </c>
      <c r="F506" s="720"/>
      <c r="G506" s="24">
        <f t="shared" si="87"/>
        <v>0.01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0.02</v>
      </c>
      <c r="F507" s="720"/>
      <c r="G507" s="24">
        <f t="shared" si="87"/>
        <v>0.01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0.02</v>
      </c>
      <c r="F508" s="720"/>
      <c r="G508" s="24">
        <f t="shared" si="87"/>
        <v>0.01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0.02</v>
      </c>
      <c r="F509" s="720"/>
      <c r="G509" s="24">
        <f t="shared" si="87"/>
        <v>0.01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0.02</v>
      </c>
      <c r="F510" s="720"/>
      <c r="G510" s="24">
        <f t="shared" si="87"/>
        <v>0.01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0.02</v>
      </c>
      <c r="F511" s="720"/>
      <c r="G511" s="24">
        <f t="shared" si="87"/>
        <v>0.01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0.02</v>
      </c>
      <c r="F512" s="720"/>
      <c r="G512" s="24">
        <f t="shared" si="87"/>
        <v>0.01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0.02</v>
      </c>
      <c r="F513" s="720"/>
      <c r="G513" s="24">
        <f t="shared" si="87"/>
        <v>0.01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0.02</v>
      </c>
      <c r="F514" s="720"/>
      <c r="G514" s="24">
        <f t="shared" si="87"/>
        <v>0.01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0.02</v>
      </c>
      <c r="F515" s="720"/>
      <c r="G515" s="24">
        <f t="shared" si="87"/>
        <v>0.01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0.02</v>
      </c>
      <c r="F516" s="720"/>
      <c r="G516" s="24">
        <f t="shared" si="87"/>
        <v>0.01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0.02</v>
      </c>
      <c r="F517" s="720"/>
      <c r="G517" s="24">
        <f t="shared" si="87"/>
        <v>0.01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0.02</v>
      </c>
      <c r="F518" s="720"/>
      <c r="G518" s="24">
        <f t="shared" si="87"/>
        <v>0.01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0.02</v>
      </c>
      <c r="F519" s="720"/>
      <c r="G519" s="24">
        <f t="shared" si="87"/>
        <v>0.01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0.02</v>
      </c>
      <c r="F520" s="720"/>
      <c r="G520" s="24">
        <f t="shared" si="87"/>
        <v>0.01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0.02</v>
      </c>
      <c r="F521" s="720"/>
      <c r="G521" s="24">
        <f t="shared" si="87"/>
        <v>0.01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0.02</v>
      </c>
      <c r="F522" s="720"/>
      <c r="G522" s="24">
        <f t="shared" si="87"/>
        <v>0.01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0.02</v>
      </c>
      <c r="F523" s="720"/>
      <c r="G523" s="24">
        <f t="shared" si="87"/>
        <v>0.01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0.02</v>
      </c>
      <c r="F524" s="720"/>
      <c r="G524" s="24">
        <f t="shared" si="87"/>
        <v>0.01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28540</v>
      </c>
      <c r="C2" s="2" t="s">
        <v>133</v>
      </c>
      <c r="D2" s="243"/>
      <c r="E2" s="243"/>
      <c r="F2" s="243"/>
      <c r="G2" s="243"/>
    </row>
    <row r="3" spans="1:7" s="244" customFormat="1" ht="18" customHeight="1" thickBot="1">
      <c r="A3" s="247" t="s">
        <v>85</v>
      </c>
      <c r="B3" s="248">
        <f ca="1">ROUND(B2*10000/'数据-汇总表'!E3,0)</f>
        <v>856800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7</v>
      </c>
      <c r="D10" s="1032">
        <f>'数据-汇总表'!E6</f>
        <v>333.1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v>
      </c>
      <c r="D19" s="1036">
        <f>'数据-汇总表'!E3</f>
        <v>333.1</v>
      </c>
      <c r="E19" s="255">
        <f>'数据-取费表'!B31</f>
        <v>150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3154</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3154</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28401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128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v>
      </c>
      <c r="D34" s="261"/>
      <c r="E34" s="264"/>
      <c r="F34" s="301">
        <f>IF('数据-取费表'!B24=0,1,'数据-取费表'!N16)</f>
        <v>1</v>
      </c>
      <c r="G34" s="263" t="s">
        <v>116</v>
      </c>
    </row>
    <row r="35" spans="1:7" ht="13.5" customHeight="1">
      <c r="A35" s="951" t="s">
        <v>796</v>
      </c>
      <c r="B35" s="259" t="s">
        <v>60</v>
      </c>
      <c r="C35" s="264">
        <f>ROUND(C34*F35,0)</f>
        <v>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v>
      </c>
      <c r="D37" s="261">
        <f>'数据-汇总表'!E3</f>
        <v>333.1</v>
      </c>
      <c r="E37" s="293">
        <f>'数据-取费表'!B35</f>
        <v>150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v>
      </c>
      <c r="D42" s="282"/>
      <c r="E42" s="282"/>
      <c r="F42" s="283"/>
      <c r="G42" s="3191" t="s">
        <v>121</v>
      </c>
    </row>
    <row r="43" spans="1:7" ht="13.5" customHeight="1">
      <c r="A43" s="951" t="s">
        <v>792</v>
      </c>
      <c r="B43" s="259" t="s">
        <v>1060</v>
      </c>
      <c r="C43" s="282">
        <f ca="1">ROUND(IF('数据-取费表'!B22&lt;=1,C39*F22*'数据-取费表'!B21/2,C39*(POWER((1+F22),'数据-取费表'!B21/2)-1)),0)</f>
        <v>0</v>
      </c>
      <c r="D43" s="282"/>
      <c r="E43" s="282"/>
      <c r="F43" s="283"/>
      <c r="G43" s="3192"/>
    </row>
    <row r="44" spans="1:7" ht="13.5" customHeight="1">
      <c r="A44" s="951" t="s">
        <v>793</v>
      </c>
      <c r="B44" s="259" t="s">
        <v>1062</v>
      </c>
      <c r="C44" s="282">
        <f ca="1">ROUND(IF('数据-取费表'!B22&lt;=1,C40*F22*'数据-取费表'!B21/2,C40*(POWER((1+F22),'数据-取费表'!B21/2)-1)),4)</f>
        <v>1E-3</v>
      </c>
      <c r="D44" s="282"/>
      <c r="E44" s="282"/>
      <c r="F44" s="283"/>
      <c r="G44" s="3193"/>
    </row>
    <row r="45" spans="1:7" s="258" customFormat="1" ht="13.5" customHeight="1">
      <c r="A45" s="948" t="s">
        <v>786</v>
      </c>
      <c r="B45" s="288" t="s">
        <v>112</v>
      </c>
      <c r="C45" s="289">
        <f>C46</f>
        <v>20</v>
      </c>
      <c r="D45" s="279">
        <f>C47</f>
        <v>3.0000000000000001E-3</v>
      </c>
      <c r="E45" s="280" t="s">
        <v>129</v>
      </c>
      <c r="F45" s="290"/>
      <c r="G45" s="291" t="s">
        <v>1068</v>
      </c>
    </row>
    <row r="46" spans="1:7" s="258" customFormat="1" ht="13.5" customHeight="1">
      <c r="A46" s="951" t="s">
        <v>794</v>
      </c>
      <c r="B46" s="292" t="s">
        <v>1061</v>
      </c>
      <c r="C46" s="293">
        <f>ROUND((C33+C39)*F27,0)</f>
        <v>20</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170</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139</v>
      </c>
      <c r="D51" s="276"/>
      <c r="E51" s="276"/>
      <c r="F51" s="308"/>
      <c r="G51" s="278" t="s">
        <v>64</v>
      </c>
    </row>
    <row r="52" spans="1:7" s="252" customFormat="1" ht="16.5" thickBot="1">
      <c r="A52" s="309" t="s">
        <v>65</v>
      </c>
      <c r="B52" s="310"/>
      <c r="C52" s="311">
        <f ca="1">C31+C51</f>
        <v>28540</v>
      </c>
      <c r="D52" s="310"/>
      <c r="E52" s="310"/>
      <c r="F52" s="310"/>
      <c r="G52" s="312"/>
    </row>
    <row r="55" spans="1:7" ht="15">
      <c r="B55" s="314" t="s">
        <v>66</v>
      </c>
      <c r="C55" s="315"/>
    </row>
    <row r="56" spans="1:7">
      <c r="B56" s="317" t="s">
        <v>67</v>
      </c>
      <c r="C56" s="318">
        <f ca="1">ROUND(C51/C52,3)</f>
        <v>5.0000000000000001E-3</v>
      </c>
    </row>
    <row r="57" spans="1:7">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8" t="s">
        <v>867</v>
      </c>
      <c r="B1" s="333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44552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topLeftCell="B85" workbookViewId="0">
      <selection activeCell="I122" sqref="I122"/>
    </sheetView>
  </sheetViews>
  <sheetFormatPr defaultRowHeight="13.5"/>
  <cols>
    <col min="2" max="2" width="27.25" customWidth="1"/>
    <col min="5" max="6" width="10.5" bestFit="1" customWidth="1"/>
  </cols>
  <sheetData>
    <row r="1" spans="1:11">
      <c r="A1" s="2965" t="s">
        <v>3071</v>
      </c>
      <c r="B1" s="2965" t="s">
        <v>3072</v>
      </c>
      <c r="C1" s="2965" t="s">
        <v>3074</v>
      </c>
      <c r="D1" s="2965" t="s">
        <v>3076</v>
      </c>
      <c r="E1" s="2965" t="s">
        <v>3077</v>
      </c>
      <c r="F1" s="2965" t="s">
        <v>3080</v>
      </c>
      <c r="G1" s="2965" t="s">
        <v>3081</v>
      </c>
      <c r="H1" s="2965" t="s">
        <v>3082</v>
      </c>
      <c r="I1" s="2965" t="s">
        <v>3083</v>
      </c>
      <c r="J1" s="2965" t="s">
        <v>3086</v>
      </c>
    </row>
    <row r="2" spans="1:11">
      <c r="A2">
        <v>1</v>
      </c>
      <c r="B2" s="2965" t="s">
        <v>3073</v>
      </c>
      <c r="C2" s="2965" t="s">
        <v>3075</v>
      </c>
      <c r="D2">
        <v>2234.6799999999998</v>
      </c>
      <c r="E2" s="2967">
        <v>43746</v>
      </c>
      <c r="F2" s="2967">
        <v>44841</v>
      </c>
      <c r="G2">
        <v>1300000</v>
      </c>
      <c r="H2">
        <v>7</v>
      </c>
      <c r="I2">
        <v>60</v>
      </c>
      <c r="J2">
        <f>ROUND(H2-I2*4/365,1)</f>
        <v>6.3</v>
      </c>
      <c r="K2">
        <f>ROUND(J2*365*D2,0)</f>
        <v>5138647</v>
      </c>
    </row>
    <row r="3" spans="1:11">
      <c r="A3">
        <v>2</v>
      </c>
      <c r="B3" s="2965" t="s">
        <v>3078</v>
      </c>
      <c r="C3" s="2965" t="s">
        <v>3079</v>
      </c>
      <c r="D3">
        <v>1687.93</v>
      </c>
      <c r="E3" s="2967">
        <v>43586</v>
      </c>
      <c r="F3" s="2967">
        <v>44681</v>
      </c>
      <c r="G3">
        <v>1139352.75</v>
      </c>
      <c r="H3">
        <v>7.5</v>
      </c>
      <c r="I3">
        <v>60</v>
      </c>
      <c r="J3">
        <f>ROUND(H3-I3*4/365,1)</f>
        <v>6.8</v>
      </c>
      <c r="K3">
        <f>ROUND(J3*365*D3,0)</f>
        <v>4189442</v>
      </c>
    </row>
    <row r="4" spans="1:11">
      <c r="A4">
        <v>3</v>
      </c>
      <c r="B4" s="2965" t="s">
        <v>3084</v>
      </c>
      <c r="C4" s="2965" t="s">
        <v>3085</v>
      </c>
      <c r="D4">
        <v>550</v>
      </c>
      <c r="E4" s="2967">
        <v>43470</v>
      </c>
      <c r="F4" s="2967">
        <v>44565</v>
      </c>
      <c r="G4">
        <v>321750</v>
      </c>
      <c r="H4">
        <v>6.5</v>
      </c>
      <c r="I4">
        <v>60</v>
      </c>
      <c r="J4">
        <f>ROUND(H4-I4*4/365,1)</f>
        <v>5.8</v>
      </c>
      <c r="K4">
        <f>ROUND(J4*365*D4,0)</f>
        <v>1164350</v>
      </c>
    </row>
    <row r="5" spans="1:11">
      <c r="A5" s="2965" t="s">
        <v>3087</v>
      </c>
      <c r="D5">
        <f>SUM(D2:D4)</f>
        <v>4472.6099999999997</v>
      </c>
      <c r="G5">
        <f>SUM(G2:G4)</f>
        <v>2761102.75</v>
      </c>
      <c r="J5">
        <f>ROUND(K5/365/D5,1)</f>
        <v>6.4</v>
      </c>
      <c r="K5">
        <f>SUM(K2:K4)</f>
        <v>10492439</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 workbookViewId="0">
      <selection activeCell="Q33" sqref="Q33"/>
    </sheetView>
  </sheetViews>
  <sheetFormatPr defaultRowHeight="13.5"/>
  <sheetData/>
  <phoneticPr fontId="143"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1634</v>
      </c>
      <c r="B2" s="3026" t="s">
        <v>1635</v>
      </c>
      <c r="C2" s="3026" t="s">
        <v>1636</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0"/>
      <c r="B3" s="3020"/>
      <c r="C3" s="3020"/>
      <c r="D3" s="1044" t="s">
        <v>1631</v>
      </c>
      <c r="E3" s="1044" t="s">
        <v>1637</v>
      </c>
      <c r="F3" s="1044" t="s">
        <v>1631</v>
      </c>
      <c r="G3" s="1044" t="s">
        <v>1632</v>
      </c>
      <c r="H3" s="1044" t="s">
        <v>1631</v>
      </c>
      <c r="I3" s="1044" t="s">
        <v>1632</v>
      </c>
    </row>
    <row r="4" spans="1:9" ht="45">
      <c r="A4" s="1971" t="str">
        <f>项目基本情况!S2</f>
        <v>北京市朝阳区北苑路甲13号院1号楼15层1-1501等18套办公用房房地产房地产</v>
      </c>
      <c r="B4" s="1044">
        <f>项目基本情况!C17</f>
        <v>333.1</v>
      </c>
      <c r="C4" s="1044">
        <f>项目基本情况!C18</f>
        <v>0</v>
      </c>
      <c r="D4" s="1044" t="e">
        <f ca="1">结果表!D118</f>
        <v>#REF!</v>
      </c>
      <c r="E4" s="1044" t="e">
        <f ca="1">结果表!E118</f>
        <v>#REF!</v>
      </c>
      <c r="F4" s="1044" t="e">
        <f ca="1">结果表!F118</f>
        <v>#REF!</v>
      </c>
      <c r="G4" s="1044" t="e">
        <f ca="1">结果表!G118</f>
        <v>#REF!</v>
      </c>
      <c r="H4" s="1044">
        <f ca="1">结果表!H118</f>
        <v>1204</v>
      </c>
      <c r="I4" s="1044">
        <f ca="1">结果表!I118</f>
        <v>36145</v>
      </c>
    </row>
    <row r="5" spans="1:9" ht="30" customHeight="1">
      <c r="A5" s="3020" t="s">
        <v>1633</v>
      </c>
      <c r="B5" s="3020"/>
      <c r="C5" s="3020"/>
      <c r="D5" s="3021" t="e">
        <f ca="1">结果表!D119</f>
        <v>#REF!</v>
      </c>
      <c r="E5" s="3021"/>
      <c r="F5" s="3021" t="e">
        <f ca="1">结果表!F119</f>
        <v>#REF!</v>
      </c>
      <c r="G5" s="3021"/>
      <c r="H5" s="3021" t="str">
        <f ca="1">结果表!H119</f>
        <v>壹仟贰佰零肆万元整</v>
      </c>
      <c r="I5" s="3021"/>
    </row>
    <row r="6" spans="1:9" ht="15.75">
      <c r="A6" s="3019" t="str">
        <f>结果表!A120</f>
        <v>估价师知悉的法定优先受偿款</v>
      </c>
      <c r="B6" s="3019"/>
      <c r="C6" s="3019"/>
      <c r="D6" s="3019">
        <f>结果表!D120</f>
        <v>0</v>
      </c>
      <c r="E6" s="3019"/>
      <c r="F6" s="3019"/>
      <c r="G6" s="3019"/>
      <c r="H6" s="3019"/>
      <c r="I6" s="3019"/>
    </row>
    <row r="7" spans="1:9" ht="15">
      <c r="A7" s="3020" t="s">
        <v>1633</v>
      </c>
      <c r="B7" s="3020"/>
      <c r="C7" s="3020"/>
      <c r="D7" s="3022" t="str">
        <f>结果表!D121</f>
        <v>零元整</v>
      </c>
      <c r="E7" s="3023"/>
      <c r="F7" s="3023"/>
      <c r="G7" s="3023"/>
      <c r="H7" s="3023"/>
      <c r="I7" s="3024"/>
    </row>
    <row r="8" spans="1:9" ht="15.75">
      <c r="A8" s="3019" t="str">
        <f>结果表!A122</f>
        <v>房地产抵押价值</v>
      </c>
      <c r="B8" s="3019"/>
      <c r="C8" s="3019"/>
      <c r="D8" s="3019">
        <f ca="1">结果表!D122</f>
        <v>1204</v>
      </c>
      <c r="E8" s="3019"/>
      <c r="F8" s="3019"/>
      <c r="G8" s="3019"/>
      <c r="H8" s="3019"/>
      <c r="I8" s="3019"/>
    </row>
    <row r="9" spans="1:9" ht="15">
      <c r="A9" s="3020" t="s">
        <v>1633</v>
      </c>
      <c r="B9" s="3020"/>
      <c r="C9" s="3020"/>
      <c r="D9" s="3021" t="str">
        <f ca="1">结果表!D123</f>
        <v>壹仟贰佰零肆万元整</v>
      </c>
      <c r="E9" s="3021"/>
      <c r="F9" s="3021"/>
      <c r="G9" s="3021"/>
      <c r="H9" s="3021"/>
      <c r="I9" s="3021"/>
    </row>
    <row r="10" spans="1:9" ht="15.75">
      <c r="A10" s="3019" t="str">
        <f>结果表!A124</f>
        <v/>
      </c>
      <c r="B10" s="3019"/>
      <c r="C10" s="3019"/>
      <c r="D10" s="3019" t="str">
        <f>结果表!D124</f>
        <v>——</v>
      </c>
      <c r="E10" s="3019"/>
      <c r="F10" s="3019"/>
      <c r="G10" s="3019"/>
      <c r="H10" s="3019"/>
      <c r="I10" s="3019"/>
    </row>
    <row r="11" spans="1:9" ht="15">
      <c r="A11" s="3020" t="s">
        <v>1633</v>
      </c>
      <c r="B11" s="3020"/>
      <c r="C11" s="3020"/>
      <c r="D11" s="3021" t="e">
        <f>结果表!D125</f>
        <v>#VALUE!</v>
      </c>
      <c r="E11" s="3021"/>
      <c r="F11" s="3021"/>
      <c r="G11" s="3021"/>
      <c r="H11" s="3021"/>
      <c r="I11" s="3021"/>
    </row>
    <row r="12" spans="1:9" ht="15.75">
      <c r="A12" s="3019" t="str">
        <f>结果表!A126</f>
        <v/>
      </c>
      <c r="B12" s="3019"/>
      <c r="C12" s="3019"/>
      <c r="D12" s="3019" t="str">
        <f>结果表!D126</f>
        <v>——</v>
      </c>
      <c r="E12" s="3019"/>
      <c r="F12" s="3019"/>
      <c r="G12" s="3019"/>
      <c r="H12" s="3019"/>
      <c r="I12" s="3019"/>
    </row>
    <row r="13" spans="1:9" ht="15.75" thickBot="1">
      <c r="A13" s="3016" t="s">
        <v>1633</v>
      </c>
      <c r="B13" s="3016"/>
      <c r="C13" s="3016"/>
      <c r="D13" s="3017" t="e">
        <f>结果表!D127</f>
        <v>#VALUE!</v>
      </c>
      <c r="E13" s="3017"/>
      <c r="F13" s="3017"/>
      <c r="G13" s="3017"/>
      <c r="H13" s="3017"/>
      <c r="I13" s="3017"/>
    </row>
    <row r="14" spans="1:9" ht="15" thickTop="1">
      <c r="A14" s="3018" t="s">
        <v>1638</v>
      </c>
      <c r="B14" s="3018"/>
      <c r="C14" s="3018"/>
      <c r="D14" s="3018"/>
      <c r="E14" s="3018"/>
      <c r="F14" s="3018"/>
      <c r="G14" s="3018"/>
      <c r="H14" s="3018"/>
      <c r="I14" s="3018"/>
    </row>
    <row r="16" spans="1:9" ht="18.75">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33" t="s">
        <v>1655</v>
      </c>
      <c r="B1" s="3033"/>
      <c r="C1" s="3033"/>
      <c r="D1" s="3033"/>
    </row>
    <row r="2" spans="1:4" ht="18">
      <c r="A2" s="3034" t="s">
        <v>1639</v>
      </c>
      <c r="B2" s="3034"/>
      <c r="C2" s="3034"/>
      <c r="D2" s="3034"/>
    </row>
    <row r="3" spans="1:4" ht="18.75">
      <c r="A3" s="1975" t="s">
        <v>1640</v>
      </c>
      <c r="B3" s="1975" t="s">
        <v>1641</v>
      </c>
      <c r="C3" s="1975" t="s">
        <v>1642</v>
      </c>
      <c r="D3" s="1975" t="s">
        <v>1643</v>
      </c>
    </row>
    <row r="4" spans="1:4" ht="56.25" customHeight="1">
      <c r="A4" s="1976" t="str">
        <f>项目基本情况!B4</f>
        <v>吴薇</v>
      </c>
      <c r="B4" s="1977">
        <f ca="1">项目基本情况!C4</f>
        <v>0</v>
      </c>
      <c r="C4" s="1978"/>
      <c r="D4" s="1979" t="s">
        <v>1644</v>
      </c>
    </row>
    <row r="5" spans="1:4" ht="56.25" customHeight="1">
      <c r="A5" s="1976" t="str">
        <f>项目基本情况!D4</f>
        <v>崔锴</v>
      </c>
      <c r="B5" s="1977">
        <f ca="1">项目基本情况!E4</f>
        <v>1120100036</v>
      </c>
      <c r="C5" s="1980"/>
      <c r="D5" s="1979" t="s">
        <v>1644</v>
      </c>
    </row>
    <row r="6" spans="1:4" ht="18">
      <c r="A6" s="3034" t="s">
        <v>1645</v>
      </c>
      <c r="B6" s="3034"/>
      <c r="C6" s="3034"/>
      <c r="D6" s="3034"/>
    </row>
    <row r="7" spans="1:4" ht="18.75">
      <c r="A7" s="1975" t="s">
        <v>1640</v>
      </c>
      <c r="B7" s="1977" t="s">
        <v>1646</v>
      </c>
      <c r="C7" s="1975" t="s">
        <v>1642</v>
      </c>
      <c r="D7" s="1975" t="s">
        <v>1643</v>
      </c>
    </row>
    <row r="8" spans="1:4" ht="56.25" customHeight="1">
      <c r="A8" s="1981" t="s">
        <v>865</v>
      </c>
      <c r="B8" s="1981" t="s">
        <v>1</v>
      </c>
      <c r="C8" s="1978"/>
      <c r="D8" s="1979" t="s">
        <v>1644</v>
      </c>
    </row>
    <row r="9" spans="1:4">
      <c r="A9" s="728"/>
      <c r="B9" s="728"/>
      <c r="C9" s="728"/>
      <c r="D9" s="728"/>
    </row>
    <row r="10" spans="1:4" ht="18.75">
      <c r="A10" s="1982" t="s">
        <v>1647</v>
      </c>
      <c r="B10" s="728"/>
      <c r="C10" s="728"/>
      <c r="D10" s="728"/>
    </row>
    <row r="11" spans="1:4" ht="30" customHeight="1">
      <c r="A11" s="3035" t="s">
        <v>1648</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29" t="s">
        <v>1649</v>
      </c>
      <c r="B16" s="3029"/>
      <c r="C16" s="3029"/>
      <c r="D16" s="3029"/>
    </row>
    <row r="17" spans="1:4" ht="144" customHeight="1">
      <c r="A17" s="3029" t="s">
        <v>1650</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1651</v>
      </c>
      <c r="B22" s="3031"/>
      <c r="C22" s="3031"/>
      <c r="D22" s="3031"/>
    </row>
    <row r="23" spans="1:4">
      <c r="A23" s="1983"/>
      <c r="B23" s="1955"/>
      <c r="C23" s="1955"/>
      <c r="D23" s="1955"/>
    </row>
    <row r="24" spans="1:4">
      <c r="A24" s="1983"/>
      <c r="B24" s="1955"/>
      <c r="C24" s="1955"/>
      <c r="D24" s="1955"/>
    </row>
    <row r="25" spans="1:4" ht="18.75">
      <c r="A25" s="1984" t="s">
        <v>1652</v>
      </c>
    </row>
    <row r="26" spans="1:4" ht="18">
      <c r="A26" s="1953"/>
    </row>
    <row r="27" spans="1:4" ht="18.75">
      <c r="A27" s="1953" t="s">
        <v>1653</v>
      </c>
    </row>
    <row r="30" spans="1:4" ht="18.75">
      <c r="D30" s="1984" t="s">
        <v>1654</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1" customWidth="1"/>
    <col min="2" max="16384" width="14.5" style="1973"/>
  </cols>
  <sheetData>
    <row r="1" spans="1:7" s="1988" customFormat="1" ht="18.75">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3.5">
      <c r="A15" s="3041" t="s">
        <v>1662</v>
      </c>
      <c r="B15" s="3036" t="s">
        <v>136</v>
      </c>
      <c r="C15" s="3037"/>
    </row>
    <row r="16" spans="1:7" ht="13.5">
      <c r="A16" s="3042"/>
      <c r="B16" s="3036" t="s">
        <v>69</v>
      </c>
      <c r="C16" s="3037"/>
    </row>
    <row r="17" spans="1:3" ht="13.5">
      <c r="A17" s="3042"/>
      <c r="B17" s="3039" t="s">
        <v>1663</v>
      </c>
      <c r="C17" s="1998" t="s">
        <v>1662</v>
      </c>
    </row>
    <row r="18" spans="1:3" ht="13.5">
      <c r="A18" s="3042"/>
      <c r="B18" s="3039"/>
      <c r="C18" s="1998" t="s">
        <v>1664</v>
      </c>
    </row>
    <row r="19" spans="1:3" ht="13.5">
      <c r="A19" s="3042"/>
      <c r="B19" s="3039"/>
      <c r="C19" s="1998" t="s">
        <v>1665</v>
      </c>
    </row>
    <row r="20" spans="1:3" ht="13.5">
      <c r="A20" s="3043"/>
      <c r="B20" s="3038" t="s">
        <v>1666</v>
      </c>
      <c r="C20" s="3037"/>
    </row>
    <row r="21" spans="1:3" ht="13.5">
      <c r="A21" s="1999" t="s">
        <v>1667</v>
      </c>
      <c r="B21" s="2000"/>
      <c r="C21" s="2001"/>
    </row>
    <row r="22" spans="1:3" ht="13.5">
      <c r="A22" s="3040" t="s">
        <v>1668</v>
      </c>
      <c r="B22" s="3038" t="s">
        <v>1669</v>
      </c>
      <c r="C22" s="3037"/>
    </row>
    <row r="23" spans="1:3" ht="13.5">
      <c r="A23" s="3040"/>
      <c r="B23" s="3038" t="s">
        <v>1670</v>
      </c>
      <c r="C23" s="3037"/>
    </row>
    <row r="24" spans="1:3" ht="13.5">
      <c r="A24" s="3040"/>
      <c r="B24" s="3038" t="s">
        <v>1671</v>
      </c>
      <c r="C24" s="3037"/>
    </row>
    <row r="25" spans="1:3" ht="13.5">
      <c r="A25" s="3040"/>
      <c r="B25" s="3039" t="s">
        <v>1672</v>
      </c>
      <c r="C25" s="1998" t="s">
        <v>1673</v>
      </c>
    </row>
    <row r="26" spans="1:3" ht="13.5">
      <c r="A26" s="3040"/>
      <c r="B26" s="3039"/>
      <c r="C26" s="1998" t="s">
        <v>1674</v>
      </c>
    </row>
    <row r="27" spans="1:3" ht="13.5">
      <c r="A27" s="3040"/>
      <c r="B27" s="3039"/>
      <c r="C27" s="1998" t="s">
        <v>1675</v>
      </c>
    </row>
    <row r="28" spans="1:3" ht="13.5">
      <c r="A28" s="3040"/>
      <c r="B28" s="3039"/>
      <c r="C28" s="1998" t="s">
        <v>1676</v>
      </c>
    </row>
    <row r="29" spans="1:3" ht="13.5">
      <c r="A29" s="3040"/>
      <c r="B29" s="3039"/>
      <c r="C29" s="1998" t="s">
        <v>1677</v>
      </c>
    </row>
    <row r="30" spans="1:3" ht="13.5">
      <c r="A30" s="3040"/>
      <c r="B30" s="3039"/>
      <c r="C30" s="1998" t="s">
        <v>1678</v>
      </c>
    </row>
    <row r="31" spans="1:3" ht="13.5">
      <c r="A31" s="3040"/>
      <c r="B31" s="3039"/>
      <c r="C31" s="1998" t="s">
        <v>1679</v>
      </c>
    </row>
    <row r="32" spans="1:3" ht="13.5">
      <c r="A32" s="3040"/>
      <c r="B32" s="3039"/>
      <c r="C32" s="1998" t="s">
        <v>1680</v>
      </c>
    </row>
    <row r="33" spans="1:3" ht="13.5">
      <c r="A33" s="3040"/>
      <c r="B33" s="3039"/>
      <c r="C33" s="1998" t="s">
        <v>1681</v>
      </c>
    </row>
    <row r="34" spans="1:3">
      <c r="A34" s="2002" t="s">
        <v>76</v>
      </c>
    </row>
    <row r="37" spans="1:3">
      <c r="A37" s="2002" t="s">
        <v>1682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44558</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t="str">
        <f ca="1">IF(C4&lt;B2,"已过期",1119970066)</f>
        <v>已过期</v>
      </c>
      <c r="C4" s="2345">
        <v>43849</v>
      </c>
      <c r="D4" s="2348" t="s">
        <v>832</v>
      </c>
      <c r="E4" s="1022">
        <f ca="1">IF(F4&lt;B2,"已过期",96010014)</f>
        <v>96010014</v>
      </c>
      <c r="F4" s="1030">
        <v>47118</v>
      </c>
    </row>
    <row r="5" spans="1:6" ht="24" customHeight="1">
      <c r="A5" s="1702"/>
      <c r="B5" s="1022"/>
      <c r="C5" s="2345"/>
      <c r="D5" s="2348"/>
      <c r="E5" s="1022"/>
      <c r="F5" s="1030"/>
    </row>
    <row r="6" spans="1:6" ht="24" customHeight="1">
      <c r="A6" s="1702" t="s">
        <v>833</v>
      </c>
      <c r="B6" s="1022">
        <f ca="1">IF(C6&lt;B2,"已过期",1119970111)</f>
        <v>1119970111</v>
      </c>
      <c r="C6" s="2345">
        <v>44876</v>
      </c>
      <c r="D6" s="2348" t="s">
        <v>833</v>
      </c>
      <c r="E6" s="1022">
        <f ca="1">IF(F6&lt;B2,"已过期",94010078)</f>
        <v>94010078</v>
      </c>
      <c r="F6" s="1030">
        <v>46387</v>
      </c>
    </row>
    <row r="7" spans="1:6" ht="24" customHeight="1">
      <c r="A7" s="1702" t="s">
        <v>834</v>
      </c>
      <c r="B7" s="1022" t="str">
        <f ca="1">IF(C7&lt;B2,"已过期",1120050019)</f>
        <v>已过期</v>
      </c>
      <c r="C7" s="2345">
        <v>44395</v>
      </c>
      <c r="D7" s="2348" t="s">
        <v>834</v>
      </c>
      <c r="E7" s="1022">
        <f ca="1">IF(F7&lt;B2,"已过期",2002110030)</f>
        <v>2002110030</v>
      </c>
      <c r="F7" s="1030">
        <v>46387</v>
      </c>
    </row>
    <row r="8" spans="1:6" ht="24" customHeight="1">
      <c r="A8" s="1702" t="s">
        <v>835</v>
      </c>
      <c r="B8" s="1022" t="str">
        <f ca="1">IF(C8&lt;B2,"已过期",1120000080)</f>
        <v>已过期</v>
      </c>
      <c r="C8" s="2345">
        <v>43849</v>
      </c>
      <c r="D8" s="2348" t="s">
        <v>835</v>
      </c>
      <c r="E8" s="1022">
        <f ca="1">IF(F8&lt;B2,"已过期",2000110082)</f>
        <v>2000110082</v>
      </c>
      <c r="F8" s="1030">
        <v>46387</v>
      </c>
    </row>
    <row r="9" spans="1:6" ht="24" customHeight="1">
      <c r="A9" s="1702" t="s">
        <v>836</v>
      </c>
      <c r="B9" s="1022" t="str">
        <f ca="1">IF(C9&lt;B2,"已过期",1419970001)</f>
        <v>已过期</v>
      </c>
      <c r="C9" s="2345">
        <v>43867</v>
      </c>
      <c r="D9" s="2348" t="s">
        <v>836</v>
      </c>
      <c r="E9" s="1022">
        <f ca="1">IF(F9&lt;B2,"已过期",2002110125)</f>
        <v>2002110125</v>
      </c>
      <c r="F9" s="1030">
        <v>47118</v>
      </c>
    </row>
    <row r="10" spans="1:6" ht="24" customHeight="1">
      <c r="A10" s="1702" t="s">
        <v>837</v>
      </c>
      <c r="B10" s="1022" t="str">
        <f ca="1">IF(C10&lt;B2,"已过期",1120060040)</f>
        <v>已过期</v>
      </c>
      <c r="C10" s="2345">
        <v>44554</v>
      </c>
      <c r="D10" s="2348" t="s">
        <v>837</v>
      </c>
      <c r="E10" s="1022">
        <f ca="1">IF(F10&lt;B2,"已过期",2004110096)</f>
        <v>2004110096</v>
      </c>
      <c r="F10" s="1030">
        <v>47118</v>
      </c>
    </row>
    <row r="11" spans="1:6" ht="24" customHeight="1">
      <c r="A11" s="1702" t="s">
        <v>838</v>
      </c>
      <c r="B11" s="1022">
        <f ca="1">IF(C11&lt;B2,"已过期",1120100036)</f>
        <v>1120100036</v>
      </c>
      <c r="C11" s="2345">
        <v>44675</v>
      </c>
      <c r="D11" s="2348" t="s">
        <v>838</v>
      </c>
      <c r="E11" s="1022">
        <f ca="1">IF(F11&lt;B2,"已过期",2010110070)</f>
        <v>2010110070</v>
      </c>
      <c r="F11" s="1030">
        <v>47907</v>
      </c>
    </row>
    <row r="12" spans="1:6" ht="24" customHeight="1">
      <c r="A12" s="1702"/>
      <c r="B12" s="1022"/>
      <c r="C12" s="2927"/>
      <c r="D12" s="1702"/>
      <c r="E12" s="1022"/>
      <c r="F12" s="1030"/>
    </row>
    <row r="13" spans="1:6" ht="24" customHeight="1">
      <c r="A13" s="1702" t="s">
        <v>839</v>
      </c>
      <c r="B13" s="1022">
        <f ca="1">IF(C13&lt;B2,"已过期",1120070131)</f>
        <v>1120070131</v>
      </c>
      <c r="C13" s="2345">
        <v>44849</v>
      </c>
      <c r="D13" s="2348" t="s">
        <v>839</v>
      </c>
      <c r="E13" s="1022">
        <f ca="1">IF(F13&lt;B2,"已过期",2014110011)</f>
        <v>2014110011</v>
      </c>
      <c r="F13" s="1030">
        <v>49302</v>
      </c>
    </row>
    <row r="14" spans="1:6" ht="24" customHeight="1">
      <c r="A14" s="1702" t="s">
        <v>3030</v>
      </c>
      <c r="B14" s="1022">
        <f ca="1">IF(C14&lt;B2,"已过期",1120040230)</f>
        <v>1120040230</v>
      </c>
      <c r="C14" s="2345">
        <v>44864</v>
      </c>
      <c r="D14" s="2348" t="s">
        <v>3030</v>
      </c>
      <c r="E14" s="1022">
        <f ca="1">IF(F14&lt;B2,"已过期",98030020)</f>
        <v>98030020</v>
      </c>
      <c r="F14" s="1030">
        <v>47118</v>
      </c>
    </row>
    <row r="15" spans="1:6" ht="24" customHeight="1">
      <c r="A15" s="1703"/>
      <c r="B15" s="1022"/>
      <c r="C15" s="2345"/>
      <c r="D15" s="2349"/>
      <c r="E15" s="1022"/>
      <c r="F15" s="1023"/>
    </row>
    <row r="16" spans="1:6" ht="24" customHeight="1">
      <c r="A16" s="1702"/>
      <c r="B16" s="1022"/>
      <c r="C16" s="2927"/>
      <c r="D16" s="2348"/>
      <c r="E16" s="1022"/>
      <c r="F16" s="1030"/>
    </row>
    <row r="17" spans="1:7" ht="24" customHeight="1">
      <c r="A17" s="1702"/>
      <c r="B17" s="1022"/>
      <c r="C17" s="2345"/>
      <c r="D17" s="2348"/>
      <c r="E17" s="1022"/>
      <c r="F17" s="1030"/>
    </row>
    <row r="18" spans="1:7" ht="24" customHeight="1">
      <c r="A18" s="1702" t="s">
        <v>3037</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840</v>
      </c>
      <c r="E21" s="1022">
        <f ca="1">IF(F21&lt;B2,"已过期",2011110090)</f>
        <v>2011110090</v>
      </c>
      <c r="F21" s="1030">
        <v>48302</v>
      </c>
    </row>
    <row r="22" spans="1:7" ht="24" customHeight="1">
      <c r="A22" s="1702" t="s">
        <v>841</v>
      </c>
      <c r="B22" s="1022" t="str">
        <f ca="1">IF(C22&lt;B2,"已过期",1120020033)</f>
        <v>已过期</v>
      </c>
      <c r="C22" s="2927">
        <v>44339</v>
      </c>
      <c r="D22" s="2348" t="s">
        <v>841</v>
      </c>
      <c r="E22" s="1022">
        <f ca="1">IF(F22&lt;B2,"已过期",2000110137)</f>
        <v>2000110137</v>
      </c>
      <c r="F22" s="1030">
        <v>46387</v>
      </c>
    </row>
    <row r="23" spans="1:7" ht="24" customHeight="1">
      <c r="A23" s="1702" t="s">
        <v>3039</v>
      </c>
      <c r="B23" s="1022">
        <v>1119980106</v>
      </c>
      <c r="C23" s="2345">
        <v>43916</v>
      </c>
      <c r="D23" s="2348"/>
      <c r="E23" s="1022"/>
      <c r="F23" s="1022"/>
    </row>
    <row r="24" spans="1:7" s="1024" customFormat="1" ht="24" customHeight="1">
      <c r="A24" s="1703" t="s">
        <v>1328</v>
      </c>
      <c r="B24" s="1703" t="s">
        <v>1328</v>
      </c>
      <c r="C24" s="2346" t="s">
        <v>1328</v>
      </c>
      <c r="D24" s="2349" t="s">
        <v>1328</v>
      </c>
      <c r="E24" s="1703" t="s">
        <v>1328</v>
      </c>
      <c r="F24" s="1703" t="s">
        <v>1328</v>
      </c>
    </row>
    <row r="25" spans="1:7" ht="24" customHeight="1">
      <c r="A25" s="3044" t="s">
        <v>842</v>
      </c>
      <c r="B25" s="3044"/>
      <c r="C25" s="3044"/>
      <c r="D25" s="3044"/>
      <c r="E25" s="3044"/>
      <c r="F25" s="3044"/>
      <c r="G25" s="3044"/>
    </row>
    <row r="26" spans="1:7" s="1025" customFormat="1" ht="24" customHeight="1">
      <c r="A26" s="3045" t="s">
        <v>843</v>
      </c>
      <c r="B26" s="3045"/>
      <c r="C26" s="3046"/>
      <c r="D26" s="3047" t="s">
        <v>844</v>
      </c>
      <c r="E26" s="3045"/>
      <c r="F26" s="3045"/>
    </row>
    <row r="27" spans="1:7" s="1027" customFormat="1" ht="24" customHeight="1">
      <c r="A27" s="1026" t="s">
        <v>845</v>
      </c>
      <c r="B27" s="1021" t="s">
        <v>846</v>
      </c>
      <c r="C27" s="2344" t="s">
        <v>847</v>
      </c>
      <c r="D27" s="2351" t="s">
        <v>845</v>
      </c>
      <c r="E27" s="1021" t="s">
        <v>846</v>
      </c>
      <c r="F27" s="1021" t="s">
        <v>847</v>
      </c>
    </row>
    <row r="28" spans="1:7" s="1027" customFormat="1" ht="24" customHeight="1">
      <c r="A28" s="1028" t="s">
        <v>848</v>
      </c>
      <c r="B28" s="1029" t="s">
        <v>849</v>
      </c>
      <c r="C28" s="1030">
        <v>44820</v>
      </c>
      <c r="D28" s="2352" t="s">
        <v>850</v>
      </c>
      <c r="E28" s="1028" t="s">
        <v>851</v>
      </c>
      <c r="F28" s="1058">
        <v>44377</v>
      </c>
    </row>
    <row r="29" spans="1:7" s="1027" customFormat="1" ht="24" customHeight="1">
      <c r="A29" s="1028"/>
      <c r="B29" s="1028"/>
      <c r="C29" s="2350"/>
      <c r="D29" s="2352" t="s">
        <v>852</v>
      </c>
      <c r="E29" s="1202" t="s">
        <v>3038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比较法-办公（售价)</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比较法-办公（租金)</vt:lpstr>
      <vt:lpstr>典型户型修正</vt:lpstr>
      <vt:lpstr>成本法（废）</vt:lpstr>
      <vt:lpstr>区片价</vt:lpstr>
      <vt:lpstr>因素修正幅度</vt:lpstr>
      <vt:lpstr>存贷款利率</vt:lpstr>
      <vt:lpstr>区片价（范围）</vt:lpstr>
      <vt:lpstr>租约</vt:lpstr>
      <vt:lpstr>售价</vt:lpstr>
      <vt:lpstr>估价师及机构信息!Print_Area</vt:lpstr>
      <vt:lpstr>收益法!Print_Area</vt:lpstr>
      <vt:lpstr>'收益法 (元)'!Print_Area</vt:lpstr>
      <vt:lpstr>'数据-汇总表'!Print_Area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2021-12-28T02:02:27Z</dcterms:modified>
</cp:coreProperties>
</file>