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F02调整思路\一审0418调整思路出让减划拨\"/>
    </mc:Choice>
  </mc:AlternateContent>
  <xr:revisionPtr revIDLastSave="0" documentId="13_ncr:1_{95ECD65B-0E21-499D-BEF9-AFCF734A9352}" xr6:coauthVersionLast="45" xr6:coauthVersionMax="45" xr10:uidLastSave="{00000000-0000-0000-0000-000000000000}"/>
  <bookViews>
    <workbookView xWindow="1065" yWindow="105" windowWidth="13590" windowHeight="10815" tabRatio="875" firstSheet="9"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剩余法-现房" sheetId="43"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state="hidden" r:id="rId52"/>
    <sheet name="系统读取表" sheetId="66" r:id="rId53"/>
  </sheets>
  <externalReferences>
    <externalReference r:id="rId54"/>
    <externalReference r:id="rId55"/>
    <externalReference r:id="rId56"/>
    <externalReference r:id="rId57"/>
    <externalReference r:id="rId58"/>
    <externalReference r:id="rId59"/>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83" l="1"/>
  <c r="D7" i="83"/>
  <c r="C7" i="83"/>
  <c r="C6" i="83"/>
  <c r="C5" i="83"/>
  <c r="D2" i="83" l="1"/>
  <c r="F21" i="74" l="1"/>
  <c r="B21" i="1" l="1"/>
  <c r="I15" i="3"/>
  <c r="I14" i="3"/>
  <c r="I13" i="3"/>
  <c r="K14" i="82"/>
  <c r="K15" i="82" s="1"/>
  <c r="I7" i="6" s="1"/>
  <c r="J14" i="82"/>
  <c r="J16" i="82" l="1"/>
  <c r="E3" i="83"/>
  <c r="E6" i="83" s="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W45" i="75" l="1"/>
  <c r="W38" i="75"/>
  <c r="AC33" i="75"/>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O65" i="59"/>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C49" i="59"/>
  <c r="D49"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s="1"/>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W41" i="40"/>
  <c r="J23" i="40"/>
  <c r="AC23" i="40" s="1"/>
  <c r="F23" i="40"/>
  <c r="S23" i="40" s="1"/>
  <c r="AB23" i="35"/>
  <c r="H20" i="35"/>
  <c r="AB20" i="35" s="1"/>
  <c r="F20" i="35"/>
  <c r="S20" i="35" s="1"/>
  <c r="H15" i="34"/>
  <c r="AB15" i="34" s="1"/>
  <c r="J15" i="34"/>
  <c r="W15" i="34" s="1"/>
  <c r="H41" i="33"/>
  <c r="U41" i="33" s="1"/>
  <c r="F30" i="40"/>
  <c r="AA30" i="40" s="1"/>
  <c r="J29" i="39"/>
  <c r="AC29" i="39" s="1"/>
  <c r="AB33" i="36"/>
  <c r="S14" i="35"/>
  <c r="F33" i="37"/>
  <c r="AA33" i="37" s="1"/>
  <c r="AB19" i="39"/>
  <c r="U46" i="34"/>
  <c r="AC30" i="34"/>
  <c r="AA14" i="34"/>
  <c r="W12" i="34"/>
  <c r="U17" i="34"/>
  <c r="AA11" i="34"/>
  <c r="H15" i="33"/>
  <c r="U15" i="33" s="1"/>
  <c r="AA40" i="21"/>
  <c r="AA13" i="39"/>
  <c r="W32" i="40"/>
  <c r="H25" i="40"/>
  <c r="AB25" i="40" s="1"/>
  <c r="F94" i="40"/>
  <c r="G94" i="40" s="1"/>
  <c r="J37" i="34"/>
  <c r="AC37" i="34" s="1"/>
  <c r="J36" i="33"/>
  <c r="W36" i="33" s="1"/>
  <c r="AB23" i="40"/>
  <c r="H23" i="39"/>
  <c r="AB23" i="39" s="1"/>
  <c r="J23" i="39"/>
  <c r="AC23" i="39" s="1"/>
  <c r="AA15" i="34"/>
  <c r="AA41" i="33"/>
  <c r="AA34" i="33"/>
  <c r="J34" i="33"/>
  <c r="AC34" i="33" s="1"/>
  <c r="AC39"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s="1"/>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G27"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U24" i="35"/>
  <c r="W32" i="35"/>
  <c r="S24" i="35"/>
  <c r="AA33" i="35"/>
  <c r="U32" i="35"/>
  <c r="W22" i="35"/>
  <c r="W34"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AB18" i="36"/>
  <c r="W19" i="37"/>
  <c r="U19" i="37"/>
  <c r="W17" i="37"/>
  <c r="AB25" i="34"/>
  <c r="AA25" i="34"/>
  <c r="S25" i="34"/>
  <c r="W25" i="34"/>
  <c r="AC25" i="34"/>
  <c r="AB23" i="34"/>
  <c r="S25" i="33"/>
  <c r="AB23" i="33"/>
  <c r="AC23" i="33"/>
  <c r="W17" i="33"/>
  <c r="AB17" i="33"/>
  <c r="S23" i="21"/>
  <c r="AC15" i="21"/>
  <c r="W39" i="40"/>
  <c r="AA37" i="40"/>
  <c r="AC19" i="40"/>
  <c r="U19" i="40"/>
  <c r="W27" i="40"/>
  <c r="AT6" i="3"/>
  <c r="A9" i="64"/>
  <c r="A9" i="51"/>
  <c r="B9" i="63" s="1"/>
  <c r="E4" i="4"/>
  <c r="B21" i="55" s="1"/>
  <c r="B72"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C19" i="9"/>
  <c r="E11" i="67"/>
  <c r="F8" i="67"/>
  <c r="F13" i="67"/>
  <c r="F6" i="15"/>
  <c r="I4" i="65"/>
  <c r="N4" i="65"/>
  <c r="B11" i="67"/>
  <c r="J36" i="15"/>
  <c r="B12" i="67"/>
  <c r="F14" i="67"/>
  <c r="E10" i="67"/>
  <c r="B10" i="67"/>
  <c r="E8" i="67"/>
  <c r="E12" i="67"/>
  <c r="F42" i="15"/>
  <c r="F11" i="67"/>
  <c r="F9" i="67"/>
  <c r="C21" i="9"/>
  <c r="C20" i="9"/>
  <c r="F26" i="15"/>
  <c r="B13" i="67"/>
  <c r="D19" i="9"/>
  <c r="B14" i="67"/>
  <c r="M8" i="15"/>
  <c r="B8" i="67"/>
  <c r="N3" i="65"/>
  <c r="E13" i="67"/>
  <c r="F36" i="15"/>
  <c r="F12" i="67"/>
  <c r="E14" i="67"/>
  <c r="F10" i="67"/>
  <c r="F13" i="15"/>
  <c r="E9" i="67"/>
  <c r="J15" i="15"/>
  <c r="N7" i="65"/>
  <c r="D20" i="9"/>
  <c r="N6" i="65"/>
  <c r="B9" i="67"/>
  <c r="N5" i="65"/>
  <c r="D21" i="9"/>
  <c r="I6" i="65"/>
  <c r="W15" i="40" l="1"/>
  <c r="AB37" i="34"/>
  <c r="G524" i="3"/>
  <c r="O64" i="59"/>
  <c r="AC12" i="46"/>
  <c r="H49" i="46"/>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AZ162" i="3" s="1"/>
  <c r="BL164" i="3"/>
  <c r="BA166" i="3"/>
  <c r="AZ166" i="3" s="1"/>
  <c r="G39" i="3"/>
  <c r="G41" i="3"/>
  <c r="BA42" i="3"/>
  <c r="BA390" i="3"/>
  <c r="BL390" i="3"/>
  <c r="BL392" i="3"/>
  <c r="G393" i="3"/>
  <c r="BA394" i="3"/>
  <c r="G395" i="3"/>
  <c r="BA396" i="3"/>
  <c r="BL396" i="3"/>
  <c r="BA397" i="3"/>
  <c r="AZ397" i="3" s="1"/>
  <c r="BA398" i="3"/>
  <c r="AZ398" i="3" s="1"/>
  <c r="BA399" i="3"/>
  <c r="AZ399" i="3" s="1"/>
  <c r="BA401" i="3"/>
  <c r="AZ401" i="3" s="1"/>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63" i="3"/>
  <c r="AZ361" i="3"/>
  <c r="AA38" i="21"/>
  <c r="D29" i="71"/>
  <c r="D1" i="71" s="1"/>
  <c r="D29" i="79"/>
  <c r="D1" i="79" s="1"/>
  <c r="E19" i="6"/>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AZ116" i="3" s="1"/>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H7" i="35"/>
  <c r="I46" i="36"/>
  <c r="J46" i="36" s="1"/>
  <c r="K46" i="36" s="1"/>
  <c r="L46" i="36" s="1"/>
  <c r="M46" i="36" s="1"/>
  <c r="N46" i="36" s="1"/>
  <c r="O46" i="36" s="1"/>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C27" i="15"/>
  <c r="Q72" i="15"/>
  <c r="F63" i="15"/>
  <c r="C4" i="65"/>
  <c r="B39" i="1" s="1"/>
  <c r="J4" i="65"/>
  <c r="M22" i="15"/>
  <c r="M9" i="15"/>
  <c r="M26" i="15"/>
  <c r="L48" i="44"/>
  <c r="F8" i="15"/>
  <c r="L47" i="15"/>
  <c r="J5" i="65"/>
  <c r="F9" i="15"/>
  <c r="F38" i="44"/>
  <c r="M29" i="44"/>
  <c r="F10" i="44"/>
  <c r="F18" i="44"/>
  <c r="F8" i="44"/>
  <c r="M28" i="15"/>
  <c r="I3" i="65"/>
  <c r="M29" i="15"/>
  <c r="F15" i="44"/>
  <c r="M27" i="15"/>
  <c r="F37" i="15"/>
  <c r="F9" i="44"/>
  <c r="J7" i="65"/>
  <c r="F43" i="15"/>
  <c r="I7" i="65"/>
  <c r="F38" i="15"/>
  <c r="M8" i="44"/>
  <c r="F40" i="44"/>
  <c r="L49" i="44"/>
  <c r="M23" i="15"/>
  <c r="I5" i="65"/>
  <c r="L48" i="15"/>
  <c r="F16" i="15"/>
  <c r="M31" i="44"/>
  <c r="F39" i="44"/>
  <c r="J3" i="65"/>
  <c r="M6" i="15"/>
  <c r="J6" i="65"/>
  <c r="M24" i="15"/>
  <c r="F40" i="15"/>
  <c r="F7" i="15"/>
  <c r="AZ532" i="3" l="1"/>
  <c r="AZ553" i="3"/>
  <c r="AZ563" i="3"/>
  <c r="AZ436" i="3"/>
  <c r="AZ409" i="3"/>
  <c r="AZ488" i="3"/>
  <c r="AZ491" i="3"/>
  <c r="AZ519" i="3"/>
  <c r="AZ525" i="3"/>
  <c r="AZ527" i="3"/>
  <c r="F50" i="15"/>
  <c r="F7" i="36"/>
  <c r="F7" i="35"/>
  <c r="J7" i="35"/>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F22" i="1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F33" i="73"/>
  <c r="F26" i="74"/>
  <c r="M24" i="74"/>
  <c r="F16" i="74"/>
  <c r="F38" i="74"/>
  <c r="F42" i="74"/>
  <c r="F45" i="44"/>
  <c r="M26" i="44"/>
  <c r="M27" i="74"/>
  <c r="M24" i="44"/>
  <c r="F9" i="74"/>
  <c r="F36" i="74"/>
  <c r="F21" i="43"/>
  <c r="F7" i="74"/>
  <c r="F43" i="44"/>
  <c r="F37" i="74"/>
  <c r="F33" i="12"/>
  <c r="M8" i="74"/>
  <c r="M28" i="74"/>
  <c r="M29" i="74"/>
  <c r="F6" i="74"/>
  <c r="J15" i="74"/>
  <c r="M23" i="74"/>
  <c r="C18" i="44"/>
  <c r="M25" i="44"/>
  <c r="F8" i="74"/>
  <c r="M6" i="74"/>
  <c r="C15" i="43"/>
  <c r="M9" i="74"/>
  <c r="D21" i="12"/>
  <c r="J17" i="44"/>
  <c r="L48" i="74"/>
  <c r="D21" i="73"/>
  <c r="L47" i="74"/>
  <c r="F11" i="44"/>
  <c r="E3" i="65"/>
  <c r="M22" i="74"/>
  <c r="F40" i="74"/>
  <c r="F28" i="44"/>
  <c r="C15" i="73"/>
  <c r="F43" i="74"/>
  <c r="M30" i="44"/>
  <c r="J36" i="74"/>
  <c r="M10" i="44"/>
  <c r="M11" i="44"/>
  <c r="E2" i="65"/>
  <c r="M26" i="74"/>
  <c r="C16" i="15"/>
  <c r="M28" i="44"/>
  <c r="C48" i="15" l="1"/>
  <c r="C13" i="73"/>
  <c r="O7" i="1"/>
  <c r="P7" i="1" s="1"/>
  <c r="C14" i="74"/>
  <c r="C29" i="44"/>
  <c r="C8" i="44"/>
  <c r="C7" i="44" s="1"/>
  <c r="C40" i="44" s="1"/>
  <c r="Q73" i="44"/>
  <c r="E60" i="40"/>
  <c r="E58" i="40"/>
  <c r="J8" i="44"/>
  <c r="J20" i="44" s="1"/>
  <c r="AZ5" i="3"/>
  <c r="C14" i="66"/>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10" i="15"/>
  <c r="C5" i="15" s="1"/>
  <c r="AE6" i="1"/>
  <c r="F41" i="15"/>
  <c r="C16" i="74"/>
  <c r="C15" i="12"/>
  <c r="G46" i="37" l="1"/>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38" i="15"/>
  <c r="F7" i="67"/>
  <c r="F46" i="44"/>
  <c r="C19" i="44"/>
  <c r="D16" i="43"/>
  <c r="C59" i="15" l="1"/>
  <c r="C16" i="43"/>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I63" i="72" s="1"/>
  <c r="J63" i="72" s="1"/>
  <c r="G64" i="72"/>
  <c r="I64" i="72" s="1"/>
  <c r="G62" i="72"/>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E7" i="67"/>
  <c r="F41" i="74"/>
  <c r="B7" i="67"/>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6" i="44"/>
  <c r="F22" i="43"/>
  <c r="C13" i="43"/>
  <c r="F13" i="74" l="1"/>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L66" i="72" s="1"/>
  <c r="J20" i="74"/>
  <c r="G108" i="72"/>
  <c r="G111" i="72" s="1"/>
  <c r="C97" i="9"/>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3" i="44"/>
  <c r="F37" i="44"/>
  <c r="M21" i="15"/>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B4" i="43"/>
  <c r="B5" i="43"/>
  <c r="D3" i="83" l="1"/>
  <c r="F2" i="83" s="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5" i="73"/>
  <c r="B3" i="12"/>
  <c r="B4" i="73"/>
  <c r="F4" i="83" l="1"/>
  <c r="D14" i="66" s="1"/>
  <c r="G2" i="83"/>
  <c r="G4" i="83" s="1"/>
  <c r="B4" i="75"/>
  <c r="B3" i="75"/>
  <c r="B5" i="75"/>
  <c r="B5" i="12"/>
  <c r="B4"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 r="D5" i="83" l="1"/>
  <c r="D6" i="83" l="1"/>
  <c r="F5" i="83" s="1"/>
  <c r="F8" i="83" l="1"/>
  <c r="F9" i="83"/>
  <c r="F10" i="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<sst xmlns="http://schemas.openxmlformats.org/spreadsheetml/2006/main" count="8908" uniqueCount="3492">
  <si>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</si>
  <si>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</si>
  <si>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</si>
  <si>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</si>
  <si>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</si>
  <si>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</si>
  <si>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</si>
  <si>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</si>
  <si>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</si>
  <si>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</si>
  <si>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</si>
  <si>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</si>
  <si>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</si>
  <si>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</si>
  <si>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</si>
  <si>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</si>
  <si>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</si>
  <si>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</si>
  <si>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</si>
  <si>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</si>
  <si>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</si>
  <si>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</si>
  <si>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</si>
  <si>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</si>
  <si>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</si>
  <si>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</si>
  <si>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</si>
  <si>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</si>
  <si>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</si>
  <si>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</si>
  <si>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</si>
  <si>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</si>
  <si>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</si>
  <si>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</si>
  <si>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</si>
  <si>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</si>
  <si>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</si>
  <si>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</si>
  <si>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</si>
  <si>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</si>
  <si>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</si>
  <si>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</si>
  <si>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</si>
  <si>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</si>
  <si>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</si>
  <si>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</si>
  <si>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</si>
  <si>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</si>
  <si>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</si>
  <si>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</si>
  <si>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</si>
  <si>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</si>
  <si>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</si>
  <si>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</si>
  <si>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</si>
  <si>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</si>
  <si>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</si>
  <si>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</si>
  <si>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</si>
  <si>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</si>
  <si>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</si>
  <si>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</si>
  <si>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</si>
  <si>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</si>
  <si>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</si>
  <si>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</si>
  <si>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</si>
  <si>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</si>
  <si>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</si>
  <si>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</si>
  <si>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</si>
  <si>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</si>
  <si>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</si>
  <si>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</si>
  <si>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</si>
  <si>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</si>
  <si>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</si>
  <si>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</si>
  <si>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</si>
  <si>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</si>
  <si>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</si>
  <si>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</si>
  <si>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</si>
  <si>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</si>
  <si>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</si>
  <si>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</si>
  <si>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</si>
  <si>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</si>
  <si>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</si>
  <si>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</si>
  <si>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</si>
  <si>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</si>
  <si>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</si>
  <si>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</si>
  <si>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</si>
  <si>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</si>
  <si>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</si>
  <si>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</si>
  <si>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</si>
  <si>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</si>
  <si>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</si>
  <si>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</si>
  <si>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</si>
  <si>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</si>
  <si>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</si>
  <si>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</si>
  <si>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</si>
  <si>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</si>
  <si>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</si>
  <si>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</si>
  <si>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</si>
  <si>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</si>
  <si>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</si>
  <si>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</si>
  <si>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</si>
  <si>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</si>
  <si>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</si>
  <si>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</si>
  <si>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</si>
  <si>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</si>
  <si>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</si>
  <si>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</si>
  <si>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</si>
  <si>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</si>
  <si>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</si>
  <si>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</si>
  <si>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</si>
  <si>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</si>
  <si>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</si>
  <si>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</si>
  <si>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</si>
  <si>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</si>
  <si>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</si>
  <si>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</si>
  <si>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</si>
  <si>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</si>
  <si>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</si>
  <si>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</si>
  <si>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</si>
  <si>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</si>
  <si>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</si>
  <si>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</si>
  <si>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</si>
  <si>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</si>
  <si>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</si>
  <si>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</si>
  <si>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</si>
  <si>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</si>
  <si>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</si>
  <si>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</si>
  <si>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</si>
  <si>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</si>
  <si>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</si>
  <si>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</si>
  <si>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</si>
  <si>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</si>
  <si>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</si>
  <si>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</si>
  <si>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</si>
  <si>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</si>
  <si>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</si>
  <si>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</si>
  <si>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</si>
  <si>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</si>
  <si>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</si>
  <si>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</si>
  <si>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</si>
  <si>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</si>
  <si>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</si>
  <si>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</si>
  <si>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</si>
  <si>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</si>
  <si>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</si>
  <si>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</si>
  <si>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</si>
  <si>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</si>
  <si>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</si>
  <si>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</si>
  <si>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</si>
  <si>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</si>
  <si>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</si>
  <si>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</si>
  <si>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</si>
  <si>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</si>
  <si>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</si>
  <si>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</si>
  <si>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</si>
  <si>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</si>
  <si>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</si>
  <si>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</si>
  <si>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</si>
  <si>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</si>
  <si>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</si>
  <si>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</si>
  <si>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</si>
  <si>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</si>
  <si>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</si>
  <si>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</si>
  <si>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</si>
  <si>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</si>
  <si>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</si>
  <si>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</si>
  <si>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</si>
  <si>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</si>
  <si>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</si>
  <si>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</si>
  <si>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</si>
  <si>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</si>
  <si>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</si>
  <si>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</si>
  <si>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</si>
  <si>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</si>
  <si>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</si>
  <si>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</si>
  <si>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</si>
  <si>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</si>
  <si>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</si>
  <si>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</si>
  <si>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</si>
  <si>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</si>
  <si>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</si>
  <si>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</si>
  <si>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</si>
  <si>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</si>
  <si>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</si>
  <si>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</si>
  <si>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</si>
  <si>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</si>
  <si>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</si>
  <si>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</si>
  <si>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</si>
  <si>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</si>
  <si>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</si>
  <si>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</si>
  <si>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</si>
  <si>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</si>
  <si>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</si>
  <si>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</si>
  <si>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</si>
  <si>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</si>
  <si>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</si>
  <si>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</si>
  <si>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</si>
  <si>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</si>
  <si>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</si>
  <si>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</si>
  <si>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</si>
  <si>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</si>
  <si>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</si>
  <si>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</si>
  <si>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</si>
  <si>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</si>
  <si>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</si>
  <si>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</si>
  <si>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</si>
  <si>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</si>
  <si>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</si>
  <si>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</si>
  <si>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</si>
  <si>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</si>
  <si>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</si>
  <si>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</si>
  <si>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</si>
  <si>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</si>
  <si>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</si>
  <si>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</si>
  <si>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</si>
  <si>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</si>
  <si>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</si>
  <si>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</si>
  <si>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</si>
  <si>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</si>
  <si>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</si>
  <si>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</si>
  <si>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</si>
  <si>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</si>
  <si>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</si>
  <si>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</si>
  <si>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</si>
  <si>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</si>
  <si>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</si>
  <si>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</si>
  <si>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</si>
  <si>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</si>
  <si>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</si>
  <si>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</si>
  <si>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</si>
  <si>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</si>
  <si>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</si>
  <si>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</si>
  <si>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</si>
  <si>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</si>
  <si>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</si>
  <si>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</si>
  <si>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</si>
  <si>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</si>
  <si>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</si>
  <si>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</si>
  <si>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</si>
  <si>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</si>
  <si>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</si>
  <si>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</si>
  <si>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</si>
  <si>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</si>
  <si>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</si>
  <si>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</si>
  <si>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</si>
  <si>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</si>
  <si>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</si>
  <si>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</si>
  <si>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</si>
  <si>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</si>
  <si>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</si>
  <si>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</si>
  <si>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</si>
  <si>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</si>
  <si>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</si>
  <si>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</si>
  <si>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</si>
  <si>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</si>
  <si>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</si>
  <si>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</si>
  <si>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</si>
  <si>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</si>
  <si>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</si>
  <si>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</si>
  <si>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</si>
  <si>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</si>
  <si>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</si>
  <si>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</si>
  <si>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</si>
  <si>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</si>
  <si>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</si>
  <si>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</si>
  <si>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</si>
  <si>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</si>
  <si>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</si>
  <si>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</si>
  <si>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</si>
  <si>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</si>
  <si>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</si>
  <si>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</si>
  <si>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</si>
  <si>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</si>
  <si>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</si>
  <si>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</si>
  <si>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</si>
  <si>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</si>
  <si>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</si>
  <si>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</si>
  <si>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</si>
  <si>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</si>
  <si>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</si>
  <si>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</si>
  <si>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</si>
  <si>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</si>
  <si>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</si>
  <si>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</si>
  <si>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</si>
  <si>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</si>
  <si>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</si>
  <si>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</si>
  <si>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</si>
  <si>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</si>
  <si>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</si>
  <si>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</si>
  <si>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</si>
  <si>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</si>
  <si>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</si>
  <si>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</si>
  <si>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</si>
  <si>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</si>
  <si>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</si>
  <si>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</si>
  <si>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</si>
  <si>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</si>
  <si>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</si>
  <si>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</si>
  <si>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</si>
  <si>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</si>
  <si>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</si>
  <si>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</si>
  <si>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</si>
  <si>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</si>
  <si>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</si>
  <si>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</si>
  <si>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</si>
  <si>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</si>
  <si>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</si>
  <si>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</si>
  <si>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</si>
  <si>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</si>
  <si>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</si>
  <si>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</si>
  <si>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</si>
  <si>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</si>
  <si>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</si>
  <si>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</si>
  <si>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</si>
  <si>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</si>
  <si>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</si>
  <si>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</si>
  <si>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</si>
  <si>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</si>
  <si>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</si>
  <si>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</si>
  <si>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</si>
  <si>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</si>
  <si>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</si>
  <si>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</si>
  <si>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</si>
  <si>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</si>
  <si>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</si>
  <si>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</si>
  <si>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</si>
  <si>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</si>
  <si>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</si>
  <si>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</si>
  <si>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</si>
  <si>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</si>
  <si>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</si>
  <si>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</si>
  <si>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</si>
  <si>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</si>
  <si>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</si>
  <si>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</si>
  <si>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</si>
  <si>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</si>
  <si>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</si>
  <si>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</si>
  <si>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</si>
  <si>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</si>
  <si>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</si>
  <si>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</si>
  <si>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</si>
  <si>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</si>
  <si>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</si>
  <si>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</si>
  <si>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</si>
  <si>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</si>
  <si>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</si>
  <si>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</si>
  <si>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</si>
  <si>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</si>
  <si>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</si>
  <si>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</si>
  <si>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</si>
  <si>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</si>
  <si>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</si>
  <si>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</si>
  <si>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</si>
  <si>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</si>
  <si>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</si>
  <si>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</si>
  <si>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</si>
  <si>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</si>
  <si>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</si>
  <si>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</si>
  <si>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</si>
  <si>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</si>
  <si>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</si>
  <si>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</si>
  <si>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</si>
  <si>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</si>
  <si>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</si>
  <si>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</si>
  <si>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</si>
  <si>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</si>
  <si>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</si>
  <si>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</si>
  <si>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</si>
  <si>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</si>
  <si>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</si>
  <si>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</si>
  <si>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</si>
  <si>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</si>
  <si>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</si>
  <si>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</si>
  <si>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</si>
  <si>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</si>
  <si>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</si>
  <si>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</si>
  <si>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</si>
  <si>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</si>
  <si>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</si>
  <si>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</si>
  <si>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</si>
  <si>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</si>
  <si>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</si>
  <si>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</si>
  <si>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</si>
  <si>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</si>
  <si>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</si>
  <si>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</si>
  <si>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</si>
  <si>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</si>
  <si>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</si>
  <si>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</si>
  <si>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</si>
  <si>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</si>
  <si>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</si>
  <si>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</si>
  <si>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</si>
  <si>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</si>
  <si>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</si>
  <si>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</si>
  <si>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</si>
  <si>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</si>
  <si>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</si>
  <si>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</si>
  <si>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</si>
  <si>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</si>
  <si>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</si>
  <si>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</si>
  <si>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</si>
  <si>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</si>
  <si>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</si>
  <si>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</si>
  <si>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</si>
  <si>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</si>
  <si>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</si>
  <si>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</si>
  <si>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</si>
  <si>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</si>
  <si>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</si>
  <si>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</si>
  <si>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</si>
  <si>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</si>
  <si>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</si>
  <si>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</si>
  <si>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</si>
  <si>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</si>
  <si>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</si>
  <si>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</si>
  <si>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</si>
  <si>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</si>
  <si>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</si>
  <si>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</si>
  <si>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</si>
  <si>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</si>
  <si>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</si>
  <si>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</si>
  <si>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</si>
  <si>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</si>
  <si>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</si>
  <si>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</si>
  <si>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</si>
  <si>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</si>
  <si>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</si>
  <si>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</si>
  <si>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</si>
  <si>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</si>
  <si>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</si>
  <si>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</si>
  <si>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</si>
  <si>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</si>
  <si>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</si>
  <si>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</si>
  <si>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</si>
  <si>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</si>
  <si>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</si>
  <si>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</si>
  <si>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</si>
  <si>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</si>
  <si>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</si>
  <si>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</si>
  <si>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</si>
  <si>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</si>
  <si>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</si>
  <si>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</si>
  <si>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</si>
  <si>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</si>
  <si>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</si>
  <si>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</si>
  <si>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</si>
  <si>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</si>
  <si>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</si>
  <si>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</si>
  <si>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</si>
  <si>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</si>
  <si>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</si>
  <si>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</si>
  <si>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</si>
  <si>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</si>
  <si>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</si>
  <si>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</si>
  <si>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</si>
  <si>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</si>
  <si>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</si>
  <si>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</si>
  <si>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</si>
  <si>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</si>
  <si>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</si>
  <si>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</si>
  <si>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</si>
  <si>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</si>
  <si>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</si>
  <si>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</si>
  <si>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</si>
  <si>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</si>
  <si>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</si>
  <si>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</si>
  <si>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</si>
  <si>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</si>
  <si>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</si>
  <si>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</si>
  <si>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</si>
  <si>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</si>
  <si>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</si>
  <si>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</si>
  <si>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</si>
  <si>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</si>
  <si>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</si>
  <si>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</si>
  <si>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</si>
  <si>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</si>
  <si>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</si>
  <si>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</si>
  <si>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</si>
  <si>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</si>
  <si>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</si>
  <si>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</si>
  <si>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</si>
  <si>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</si>
  <si>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</si>
  <si>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</si>
  <si>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</si>
  <si>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</si>
  <si>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</si>
  <si>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</si>
  <si>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</si>
  <si>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</si>
  <si>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</si>
  <si>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</si>
  <si>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</si>
  <si>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</si>
  <si>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</si>
  <si>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</si>
  <si>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</si>
  <si>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</si>
  <si>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</si>
  <si>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</si>
  <si>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</si>
  <si>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</si>
  <si>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</si>
  <si>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</si>
  <si>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</si>
  <si>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</si>
  <si>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</si>
  <si>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</si>
  <si>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</si>
  <si>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</si>
  <si>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</si>
  <si>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</si>
  <si>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</si>
  <si>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</si>
  <si>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</si>
  <si>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</si>
  <si>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</si>
  <si>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</si>
  <si>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</si>
  <si>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</si>
  <si>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</si>
  <si>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</si>
  <si>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</si>
  <si>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</si>
  <si>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</si>
  <si>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</si>
  <si>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</si>
  <si>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</si>
  <si>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</si>
  <si>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</si>
  <si>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</si>
  <si>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</si>
  <si>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</si>
  <si>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</si>
  <si>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</si>
  <si>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</si>
  <si>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</si>
  <si>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</si>
  <si>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</si>
  <si>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</si>
  <si>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</si>
  <si>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</si>
  <si>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</si>
  <si>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</si>
  <si>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</si>
  <si>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</si>
  <si>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</si>
  <si>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</si>
  <si>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</si>
  <si>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</si>
  <si>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</si>
  <si>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</si>
  <si>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</si>
  <si>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</si>
  <si>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</si>
  <si>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</si>
  <si>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</si>
  <si>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</si>
  <si>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</si>
  <si>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</si>
  <si>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</si>
  <si>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</si>
  <si>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</si>
  <si>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</si>
  <si>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</si>
  <si>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</si>
  <si>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</si>
  <si>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</si>
  <si>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</si>
  <si>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</si>
  <si>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</si>
  <si>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</si>
  <si>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</si>
  <si>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</si>
  <si>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</si>
  <si>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</si>
  <si>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</si>
  <si>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</si>
  <si>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</si>
  <si>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</si>
  <si>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</si>
  <si>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</si>
  <si>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</si>
  <si>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</si>
  <si>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</si>
  <si>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</si>
  <si>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</si>
  <si>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</si>
  <si>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</si>
  <si>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</si>
  <si>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</si>
  <si>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</si>
  <si>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</si>
  <si>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</si>
  <si>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</si>
  <si>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</si>
  <si>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</si>
  <si>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</si>
  <si>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</si>
  <si>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</si>
  <si>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</si>
  <si>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</si>
  <si>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</si>
  <si>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</si>
  <si>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</si>
  <si>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</si>
  <si>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</si>
  <si>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</si>
  <si>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</si>
  <si>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</si>
  <si>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</si>
  <si>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</si>
  <si>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</si>
  <si>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</si>
  <si>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</si>
  <si>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</si>
  <si>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</si>
  <si>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</si>
  <si>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</si>
  <si>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</si>
  <si>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</si>
  <si>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</si>
  <si>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</si>
  <si>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</si>
  <si>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</si>
  <si>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</si>
  <si>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</si>
  <si>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</si>
  <si>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</si>
  <si>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</si>
  <si>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</si>
  <si>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</si>
  <si>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</si>
  <si>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</si>
  <si>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</si>
  <si>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</si>
  <si>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</si>
  <si>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</si>
  <si>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</si>
  <si>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</si>
  <si>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</si>
  <si>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</si>
  <si>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</si>
  <si>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</si>
  <si>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</si>
  <si>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</si>
  <si>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</si>
  <si>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</si>
  <si>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</si>
  <si>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</si>
  <si>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</si>
  <si>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</si>
  <si>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</si>
  <si>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</si>
  <si>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</si>
  <si>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</si>
  <si>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</si>
  <si>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</si>
  <si>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</si>
  <si>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</si>
  <si>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</si>
  <si>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</si>
  <si>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</si>
  <si>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</si>
  <si>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</si>
  <si>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</si>
  <si>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</si>
  <si>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</si>
  <si>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</si>
  <si>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</si>
  <si>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</si>
  <si>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</si>
  <si>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</si>
  <si>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</si>
  <si>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</si>
  <si>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</si>
  <si>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</si>
  <si>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</si>
  <si>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</si>
  <si>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</si>
  <si>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</si>
  <si>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</si>
  <si>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</si>
  <si>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</si>
  <si>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</si>
  <si>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</si>
  <si>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</si>
  <si>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</si>
  <si>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</si>
  <si>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</si>
  <si>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</si>
  <si>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</si>
  <si>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</si>
  <si>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</si>
  <si>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</si>
  <si>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</si>
  <si>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</si>
  <si>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</si>
  <si>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</si>
  <si>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</si>
  <si>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</si>
  <si>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</si>
  <si>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</si>
  <si>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</si>
  <si>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</si>
  <si>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</si>
  <si>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</si>
  <si>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</si>
  <si>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</si>
  <si>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</si>
  <si>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</si>
  <si>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</si>
  <si>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</si>
  <si>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</si>
  <si>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</si>
  <si>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</si>
  <si>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</si>
  <si>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</si>
  <si>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</si>
  <si>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</si>
  <si>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</si>
  <si>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</si>
  <si>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</si>
  <si>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</si>
  <si>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</si>
  <si>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</si>
  <si>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</si>
  <si>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</si>
  <si>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</si>
  <si>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</si>
  <si>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</si>
  <si>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</si>
  <si>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</si>
  <si>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</si>
  <si>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</si>
  <si>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</si>
  <si>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</si>
  <si>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</si>
  <si>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</si>
  <si>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</si>
  <si>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</si>
  <si>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</si>
  <si>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</si>
  <si>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</si>
  <si>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</si>
  <si>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</si>
  <si>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</si>
  <si>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</si>
  <si>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</si>
  <si>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</si>
  <si>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</si>
  <si>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</si>
  <si>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</si>
  <si>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</si>
  <si>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</si>
  <si>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</si>
  <si>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</si>
  <si>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</si>
  <si>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</si>
  <si>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</si>
  <si>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</si>
  <si>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</si>
  <si>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</si>
  <si>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</si>
  <si>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</si>
  <si>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</si>
  <si>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</si>
  <si>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</si>
  <si>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</si>
  <si>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</si>
  <si>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</si>
  <si>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</si>
  <si>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</si>
  <si>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</si>
  <si>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</si>
  <si>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</si>
  <si>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</si>
  <si>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</si>
  <si>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</si>
  <si>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</si>
  <si>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</si>
  <si>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</si>
  <si>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</si>
  <si>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</si>
  <si>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</si>
  <si>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</si>
  <si>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</si>
  <si>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</si>
  <si>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</si>
  <si>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</si>
  <si>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</si>
  <si>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</si>
  <si>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</si>
  <si>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</si>
  <si>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</si>
  <si>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</si>
  <si>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</si>
  <si>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</si>
  <si>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</si>
  <si>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</si>
  <si>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</si>
  <si>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</si>
  <si>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</si>
  <si>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</si>
  <si>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</si>
  <si>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</si>
  <si>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</si>
  <si>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</si>
  <si>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</si>
  <si>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</si>
  <si>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</si>
  <si>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</si>
  <si>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</si>
  <si>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</si>
  <si>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</si>
  <si>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</si>
  <si>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</si>
  <si>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</si>
  <si>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</si>
  <si>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</si>
  <si>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</si>
  <si>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</si>
  <si>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</si>
  <si>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</si>
  <si>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</si>
  <si>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</si>
  <si>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</si>
  <si>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</si>
  <si>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</si>
  <si>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</si>
  <si>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</si>
  <si>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</si>
  <si>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</si>
  <si>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</si>
  <si>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</si>
  <si>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</si>
  <si>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</si>
  <si>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</si>
  <si>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</si>
  <si>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</si>
  <si>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</si>
  <si>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</si>
  <si>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</si>
  <si>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</si>
  <si>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</si>
  <si>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</si>
  <si>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</si>
  <si>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</si>
  <si>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</si>
  <si>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</si>
  <si>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</si>
  <si>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</si>
  <si>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</si>
  <si>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</si>
  <si>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</si>
  <si>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</si>
  <si>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</si>
  <si>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</si>
  <si>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</si>
  <si>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</si>
  <si>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</si>
  <si>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</si>
  <si>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</si>
  <si>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</si>
  <si>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</si>
  <si>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</si>
  <si>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</si>
  <si>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</si>
  <si>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</si>
  <si>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</si>
  <si>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</si>
  <si>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</si>
  <si>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</si>
  <si>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</si>
  <si>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</si>
  <si>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</si>
  <si>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</si>
  <si>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</si>
  <si>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</si>
  <si>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</si>
  <si>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</si>
  <si>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</si>
  <si>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</si>
  <si>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</si>
  <si>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</si>
  <si>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</si>
  <si>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</si>
  <si>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</si>
  <si>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</si>
  <si>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</si>
  <si>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</si>
  <si>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</si>
  <si>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</si>
  <si>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</si>
  <si>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</si>
  <si>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</si>
  <si>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</si>
  <si>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</si>
  <si>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</si>
  <si>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</si>
  <si>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</si>
  <si>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</si>
  <si>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</si>
  <si>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</si>
  <si>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</si>
  <si>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</si>
  <si>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</si>
  <si>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</si>
  <si>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</si>
  <si>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</si>
  <si>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</si>
  <si>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</si>
  <si>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</si>
  <si>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</si>
  <si>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</si>
  <si>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</si>
  <si>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</si>
  <si>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</si>
  <si>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</si>
  <si>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</si>
  <si>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</si>
  <si>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</si>
  <si>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</si>
  <si>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</si>
  <si>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</si>
  <si>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</si>
  <si>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</si>
  <si>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</si>
  <si>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</si>
  <si>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</si>
  <si>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</si>
  <si>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</si>
  <si>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</si>
  <si>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</si>
  <si>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</si>
  <si>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</si>
  <si>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</si>
  <si>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</si>
  <si>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</si>
  <si>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</si>
  <si>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</si>
  <si>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</si>
  <si>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</si>
  <si>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</si>
  <si>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</si>
  <si>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</si>
  <si>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</si>
  <si>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</si>
  <si>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</si>
  <si>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</si>
  <si>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</si>
  <si>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</si>
  <si>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</si>
  <si>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</si>
  <si>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</si>
  <si>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</si>
  <si>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</si>
  <si>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</si>
  <si>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</si>
  <si>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</si>
  <si>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</si>
  <si>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</si>
  <si>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</si>
  <si>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</si>
  <si>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</si>
  <si>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</si>
  <si>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</si>
  <si>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</si>
  <si>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</si>
  <si>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</si>
  <si>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</si>
  <si>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</si>
  <si>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</si>
  <si>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</si>
  <si>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</si>
  <si>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</si>
  <si>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</si>
  <si>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</si>
  <si>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</si>
  <si>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</si>
  <si>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</si>
  <si>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</si>
  <si>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</si>
  <si>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</si>
  <si>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</si>
  <si>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</si>
  <si>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</si>
  <si>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</si>
  <si>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</si>
  <si>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</si>
  <si>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</si>
  <si>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</si>
  <si>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</si>
  <si>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</si>
  <si>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</si>
  <si>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</si>
  <si>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</si>
  <si>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</si>
  <si>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</si>
  <si>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</si>
  <si>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</si>
  <si>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</si>
  <si>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</si>
  <si>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</si>
  <si>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</si>
  <si>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</si>
  <si>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</si>
  <si>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</si>
  <si>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</si>
  <si>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</si>
  <si>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</si>
  <si>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</si>
  <si>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</si>
  <si>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</si>
  <si>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</si>
  <si>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</si>
  <si>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</si>
  <si>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</si>
  <si>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</si>
  <si>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</si>
  <si>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</si>
  <si>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</si>
  <si>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</si>
  <si>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</si>
  <si>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</si>
  <si>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</si>
  <si>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</si>
  <si>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</si>
  <si>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</si>
  <si>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</si>
  <si>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</si>
  <si>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</si>
  <si>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</si>
  <si>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</si>
  <si>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</si>
  <si>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</si>
  <si>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</si>
  <si>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</si>
  <si>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</si>
  <si>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</si>
  <si>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</si>
  <si>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</si>
  <si>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</si>
  <si>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</si>
  <si>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</si>
  <si>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</si>
  <si>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</si>
  <si>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</si>
  <si>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</si>
  <si>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</si>
  <si>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</si>
  <si>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</si>
  <si>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</si>
  <si>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</si>
  <si>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</si>
  <si>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</si>
  <si>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</si>
  <si>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</si>
  <si>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</si>
  <si>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</si>
  <si>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</si>
  <si>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</si>
  <si>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</si>
  <si>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</si>
  <si>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</si>
  <si>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</si>
  <si>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</si>
  <si>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</si>
  <si>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</si>
  <si>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</si>
  <si>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</si>
  <si>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</si>
  <si>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</si>
  <si>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</si>
  <si>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</si>
  <si>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</si>
  <si>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</si>
  <si>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</si>
  <si>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</si>
  <si>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</si>
  <si>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</si>
  <si>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</si>
  <si>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</si>
  <si>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</si>
  <si>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</si>
  <si>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</si>
  <si>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</si>
  <si>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</si>
  <si>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</si>
  <si>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</si>
  <si>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</si>
  <si>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</si>
  <si>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</si>
  <si>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</si>
  <si>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</si>
  <si>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</si>
  <si>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</si>
  <si>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</si>
  <si>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</si>
  <si>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</si>
  <si>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</si>
  <si>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</si>
  <si>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</si>
  <si>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</si>
  <si>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</si>
  <si>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</si>
  <si>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</si>
  <si>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</si>
  <si>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</si>
  <si>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</si>
  <si>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</si>
  <si>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</si>
  <si>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</si>
  <si>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</si>
  <si>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</si>
  <si>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</si>
  <si>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</si>
  <si>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</si>
  <si>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</si>
  <si>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</si>
  <si>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</si>
  <si>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</si>
  <si>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</si>
  <si>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</si>
  <si>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</si>
  <si>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</si>
  <si>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</si>
  <si>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</si>
  <si>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</si>
  <si>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</si>
  <si>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</si>
  <si>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</si>
  <si>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</si>
  <si>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</si>
  <si>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</si>
  <si>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</si>
  <si>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</si>
  <si>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</si>
  <si>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</si>
  <si>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</si>
  <si>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</si>
  <si>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</si>
  <si>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</si>
  <si>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</si>
  <si>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</si>
  <si>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</si>
  <si>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</si>
  <si>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</si>
  <si>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</si>
  <si>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</si>
  <si>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</si>
  <si>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</si>
  <si>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</si>
  <si>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</si>
  <si>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</si>
  <si>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</si>
  <si>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</si>
  <si>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</si>
  <si>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</si>
  <si>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</si>
  <si>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</si>
  <si>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</si>
  <si>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</si>
  <si>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</si>
  <si>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</si>
  <si>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</si>
  <si>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</si>
  <si>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</si>
  <si>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</si>
  <si>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</si>
  <si>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</si>
  <si>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</si>
  <si>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</si>
  <si>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</si>
  <si>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</si>
  <si>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</si>
  <si>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</si>
  <si>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</si>
  <si>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</si>
  <si>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</si>
  <si>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</si>
  <si>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</si>
  <si>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</si>
  <si>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</si>
  <si>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</si>
  <si>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</si>
  <si>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</si>
  <si>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</si>
  <si>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</si>
  <si>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</si>
  <si>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</si>
  <si>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</si>
  <si>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</si>
  <si>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</si>
  <si>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</si>
  <si>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</si>
  <si>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</si>
  <si>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</si>
  <si>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</si>
  <si>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</si>
  <si>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</si>
  <si>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</si>
  <si>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</si>
  <si>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</si>
  <si>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</si>
  <si>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</si>
  <si>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</si>
  <si>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</si>
  <si>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</si>
  <si>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</si>
  <si>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</si>
  <si>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</si>
  <si>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</si>
  <si>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</si>
  <si>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</si>
  <si>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</si>
  <si>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</si>
  <si>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</si>
  <si>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</si>
  <si>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</si>
  <si>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</si>
  <si>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</si>
  <si>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</si>
  <si>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</si>
  <si>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</si>
  <si>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</si>
  <si>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</si>
  <si>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</si>
  <si>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</si>
  <si>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</si>
  <si>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</si>
  <si>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</si>
  <si>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</si>
  <si>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</si>
  <si>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</si>
  <si>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</si>
  <si>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</si>
  <si>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</si>
  <si>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</si>
  <si>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</si>
  <si>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</si>
  <si>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</si>
  <si>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</si>
  <si>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</si>
  <si>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</si>
  <si>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</si>
  <si>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</si>
  <si>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</si>
  <si>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</si>
  <si>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</si>
  <si>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</si>
  <si>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</si>
  <si>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</si>
  <si>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</si>
  <si>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</si>
  <si>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</si>
  <si>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</si>
  <si>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</si>
  <si>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</si>
  <si>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</si>
  <si>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</si>
  <si>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</si>
  <si>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</si>
  <si>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</si>
  <si>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</si>
  <si>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</si>
  <si>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</si>
  <si>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</si>
  <si>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</si>
  <si>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</si>
  <si>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</si>
  <si>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</si>
  <si>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</si>
  <si>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</si>
  <si>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</si>
  <si>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</si>
  <si>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</si>
  <si>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</si>
  <si>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</si>
  <si>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</si>
  <si>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</si>
  <si>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</si>
  <si>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</si>
  <si>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</si>
  <si>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</si>
  <si>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</si>
  <si>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</si>
  <si>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</si>
  <si>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</si>
  <si>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</si>
  <si>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</si>
  <si>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</si>
  <si>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</si>
  <si>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</si>
  <si>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</si>
  <si>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</si>
  <si>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</si>
  <si>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</si>
  <si>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</si>
  <si>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</si>
  <si>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</si>
  <si>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</si>
  <si>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</si>
  <si>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</si>
  <si>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</si>
  <si>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</si>
  <si>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</si>
  <si>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</si>
  <si>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</si>
  <si>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</si>
  <si>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</si>
  <si>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</si>
  <si>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</si>
  <si>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</si>
  <si>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</si>
  <si>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</si>
  <si>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</si>
  <si>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</si>
  <si>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</si>
  <si>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</si>
  <si>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</si>
  <si>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</si>
  <si>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</si>
  <si>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</si>
  <si>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</si>
  <si>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</si>
  <si>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</si>
  <si>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</si>
  <si>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</si>
  <si>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</si>
  <si>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</si>
  <si>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</si>
  <si>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</si>
  <si>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</si>
  <si>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</si>
  <si>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</si>
  <si>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</si>
  <si>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</si>
  <si>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</si>
  <si>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</si>
  <si>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</si>
  <si>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</si>
  <si>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</si>
  <si>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</si>
  <si>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</si>
  <si>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</si>
  <si>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</si>
  <si>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</si>
  <si>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</si>
  <si>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</si>
  <si>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</si>
  <si>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</si>
  <si>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</si>
  <si>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</si>
  <si>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</si>
  <si>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</si>
  <si>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</si>
  <si>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</si>
  <si>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</si>
  <si>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</si>
  <si>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</si>
  <si>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</si>
  <si>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</si>
  <si>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</si>
  <si>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</si>
  <si>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</si>
  <si>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</si>
  <si>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</si>
  <si>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</si>
  <si>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</si>
  <si>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</si>
  <si>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</si>
  <si>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</si>
  <si>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</si>
  <si>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</si>
  <si>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</si>
  <si>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</si>
  <si>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</si>
  <si>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</si>
  <si>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</si>
  <si>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</si>
  <si>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</si>
  <si>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</si>
  <si>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</si>
  <si>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</si>
  <si>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</si>
  <si>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</si>
  <si>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</si>
  <si>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</si>
  <si>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</si>
  <si>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</si>
  <si>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</si>
  <si>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</si>
  <si>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</si>
  <si>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</si>
  <si>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</si>
  <si>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</si>
  <si>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</si>
  <si>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</si>
  <si>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</si>
  <si>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</si>
  <si>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</si>
  <si>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</si>
  <si>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</si>
  <si>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</si>
  <si>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</si>
  <si>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</si>
  <si>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</si>
  <si>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</si>
  <si>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</si>
  <si>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</si>
  <si>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</si>
  <si>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</si>
  <si>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</si>
  <si>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</si>
  <si>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</si>
  <si>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</si>
  <si>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</si>
  <si>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</si>
  <si>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</si>
  <si>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</si>
  <si>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</si>
  <si>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</si>
  <si>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</si>
  <si>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</si>
  <si>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</si>
  <si>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</si>
  <si>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</si>
  <si>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</si>
  <si>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</si>
  <si>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</si>
  <si>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</si>
  <si>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</si>
  <si>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</si>
  <si>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</si>
  <si>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</si>
  <si>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</si>
  <si>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</si>
  <si>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</si>
  <si>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</si>
  <si>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</si>
  <si>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</si>
  <si>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</si>
  <si>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</si>
  <si>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</si>
  <si>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</si>
  <si>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</si>
  <si>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</si>
  <si>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</si>
  <si>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</si>
  <si>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</si>
  <si>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</si>
  <si>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</si>
  <si>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</si>
  <si>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</si>
  <si>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</si>
  <si>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</si>
  <si>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</si>
  <si>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</si>
  <si>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</si>
  <si>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</si>
  <si>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</si>
  <si>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</si>
  <si>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</si>
  <si>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</si>
  <si>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</si>
  <si>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</si>
  <si>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</si>
  <si>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</si>
  <si>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</si>
  <si>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</si>
  <si>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</si>
  <si>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</si>
  <si>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</si>
  <si>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</si>
  <si>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</si>
  <si>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</si>
  <si>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</si>
  <si>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</si>
  <si>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</si>
  <si>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</si>
  <si>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</si>
  <si>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</si>
  <si>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</si>
  <si>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</si>
  <si>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</si>
  <si>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</si>
  <si>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</si>
  <si>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</si>
  <si>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</si>
  <si>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</si>
  <si>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</si>
  <si>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</si>
  <si>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</si>
  <si>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</si>
  <si>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</si>
  <si>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</si>
  <si>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</si>
  <si>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</si>
  <si>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</si>
  <si>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</si>
  <si>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</si>
  <si>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</si>
  <si>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</si>
  <si>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</si>
  <si>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</si>
  <si>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</si>
  <si>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</si>
  <si>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</si>
  <si>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</si>
  <si>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</si>
  <si>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</si>
  <si>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</si>
  <si>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</si>
  <si>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</si>
  <si>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</si>
  <si>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</si>
  <si>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</si>
  <si>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</si>
  <si>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</si>
  <si>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</si>
  <si>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</si>
  <si>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</si>
  <si>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</si>
  <si>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</si>
  <si>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</si>
  <si>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</si>
  <si>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</si>
  <si>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</si>
  <si>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</si>
  <si>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</si>
  <si>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</si>
  <si>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</si>
  <si>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</si>
  <si>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</si>
  <si>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</si>
  <si>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</si>
  <si>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</si>
  <si>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</si>
  <si>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</si>
  <si>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</si>
  <si>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</si>
  <si>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</si>
  <si>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</si>
  <si>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</si>
  <si>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</si>
  <si>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</si>
  <si>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</si>
  <si>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</si>
  <si>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</si>
  <si>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</si>
  <si>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</si>
  <si>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</si>
  <si>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</si>
  <si>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</si>
  <si>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</si>
  <si>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</si>
  <si>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</si>
  <si>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</si>
  <si>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</si>
  <si>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</si>
  <si>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</si>
  <si>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</si>
  <si>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</si>
  <si>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</si>
  <si>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</si>
  <si>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</si>
  <si>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</si>
  <si>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</si>
  <si>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</si>
  <si>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</si>
  <si>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</si>
  <si>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</si>
  <si>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</si>
  <si>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</si>
  <si>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</si>
  <si>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</si>
  <si>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</si>
  <si>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</si>
  <si>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</si>
  <si>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</si>
  <si>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</si>
  <si>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</si>
  <si>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</si>
  <si>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</si>
  <si>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</si>
  <si>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</si>
  <si>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</si>
  <si>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</si>
  <si>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</si>
  <si>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</si>
  <si>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</si>
  <si>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</si>
  <si>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</si>
  <si>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</si>
  <si>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</si>
  <si>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</si>
  <si>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</si>
  <si>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</si>
  <si>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</si>
  <si>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</si>
  <si>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</si>
  <si>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</si>
  <si>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</si>
  <si>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</si>
  <si>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</si>
  <si>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</si>
  <si>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</si>
  <si>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</si>
  <si>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</si>
  <si>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</si>
  <si>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</si>
  <si>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</si>
  <si>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</si>
  <si>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</si>
  <si>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</si>
  <si>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</si>
  <si>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</si>
  <si>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</si>
  <si>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</si>
  <si>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</si>
  <si>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</si>
  <si>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</si>
  <si>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</si>
  <si>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</si>
  <si>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</si>
  <si>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</si>
  <si>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</si>
  <si>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</si>
  <si>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</si>
  <si>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</si>
  <si>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</si>
  <si>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</si>
  <si>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</si>
  <si>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</si>
  <si>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</si>
  <si>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</si>
  <si>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</si>
  <si>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</si>
  <si>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</si>
  <si>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</si>
  <si>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</si>
  <si>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</si>
  <si>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</si>
  <si>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</si>
  <si>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</si>
  <si>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</si>
  <si>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</si>
  <si>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</si>
  <si>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</si>
  <si>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</si>
  <si>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</si>
  <si>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</si>
  <si>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</si>
  <si>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</si>
  <si>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</si>
  <si>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</si>
  <si>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</si>
  <si>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</si>
  <si>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</si>
  <si>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</si>
  <si>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</si>
  <si>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</si>
  <si>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</si>
  <si>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</si>
  <si>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</si>
  <si>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</si>
  <si>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</si>
  <si>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</si>
  <si>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</si>
  <si>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</si>
  <si>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</si>
  <si>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</si>
  <si>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</si>
  <si>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</si>
  <si>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</si>
  <si>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</si>
  <si>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</si>
  <si>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</si>
  <si>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</si>
  <si>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</si>
  <si>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</si>
  <si>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</si>
  <si>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</si>
  <si>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</si>
  <si>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</si>
  <si>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</si>
  <si>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</si>
  <si>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</si>
  <si>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</si>
  <si>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</si>
  <si>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</si>
  <si>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</si>
  <si>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</si>
  <si>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</si>
  <si>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</si>
  <si>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</si>
  <si>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</si>
  <si>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</si>
  <si>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</si>
  <si>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</si>
  <si>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</si>
  <si>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</si>
  <si>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</si>
  <si>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</si>
  <si>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</si>
  <si>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</si>
  <si>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</si>
  <si>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</si>
  <si>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</si>
  <si>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</si>
  <si>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</si>
  <si>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</si>
  <si>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</si>
  <si>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</si>
  <si>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</si>
  <si>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</si>
  <si>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</si>
  <si>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</si>
  <si>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</si>
  <si>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</si>
  <si>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</si>
  <si>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</si>
  <si>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</si>
  <si>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</si>
  <si>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</si>
  <si>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</si>
  <si>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</si>
  <si>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</si>
  <si>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</si>
  <si>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</si>
  <si>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</si>
  <si>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</si>
  <si>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</si>
  <si>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</si>
  <si>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</si>
  <si>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</si>
  <si>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</si>
  <si>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</si>
  <si>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</si>
  <si>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</si>
  <si>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</si>
  <si>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</si>
  <si>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</si>
  <si>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</si>
  <si>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</si>
  <si>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</si>
  <si>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</si>
  <si>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</si>
  <si>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</si>
  <si>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</si>
  <si>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</si>
  <si>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</si>
  <si>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</si>
  <si>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</si>
  <si>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</si>
  <si>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</si>
  <si>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</si>
  <si>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</si>
  <si>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</si>
  <si>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</si>
  <si>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</si>
  <si>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</si>
  <si>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</si>
  <si>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</si>
  <si>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</si>
  <si>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</si>
  <si>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</si>
  <si>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</si>
  <si>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</si>
  <si>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</si>
  <si>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</si>
  <si>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</si>
  <si>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</si>
  <si>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</si>
  <si>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</si>
  <si>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</si>
  <si>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</si>
  <si>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</si>
  <si>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</si>
  <si>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</si>
  <si>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</si>
  <si>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</si>
  <si>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</si>
  <si>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</si>
  <si>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</si>
  <si>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</si>
  <si>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</si>
  <si>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</si>
  <si>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</si>
  <si>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</si>
  <si>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</si>
  <si>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</si>
  <si>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</si>
  <si>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</si>
  <si>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</si>
  <si>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</si>
  <si>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</si>
  <si>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</si>
  <si>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</si>
  <si>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</si>
  <si>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</si>
  <si>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</si>
  <si>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</si>
  <si>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</si>
  <si>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</si>
  <si>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</si>
  <si>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</si>
  <si>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</si>
  <si>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</si>
  <si>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</si>
  <si>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</si>
  <si>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</si>
  <si>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</si>
  <si>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</si>
  <si>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</si>
  <si>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</si>
  <si>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</si>
  <si>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</si>
  <si>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</si>
  <si>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</si>
  <si>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</si>
  <si>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</si>
  <si>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</si>
  <si>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</si>
  <si>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</si>
  <si>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</si>
  <si>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</si>
  <si>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</si>
  <si>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</si>
  <si>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</si>
  <si>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</si>
  <si>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</si>
  <si>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</si>
  <si>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</si>
  <si>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</si>
  <si>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</si>
  <si>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</si>
  <si>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</si>
  <si>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</si>
  <si>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</si>
  <si>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</si>
  <si>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</si>
  <si>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</si>
  <si>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</si>
  <si>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</si>
  <si>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</si>
  <si>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</si>
  <si>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</si>
  <si>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</si>
  <si>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</si>
  <si>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</si>
  <si>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</si>
  <si>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</si>
  <si>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</si>
  <si>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</si>
  <si>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</si>
  <si>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</si>
  <si>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</si>
  <si>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</si>
  <si>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</si>
  <si>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</si>
  <si>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</si>
  <si>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</si>
  <si>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</si>
  <si>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</si>
  <si>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</si>
  <si>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</si>
  <si>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</si>
  <si>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</si>
  <si>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</si>
  <si>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</si>
  <si>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</si>
  <si>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</si>
  <si>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</si>
  <si>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</si>
  <si>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</si>
  <si>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</si>
  <si>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</si>
  <si>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</si>
  <si>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</si>
  <si>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</si>
  <si>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</si>
  <si>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</si>
  <si>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</si>
  <si>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</si>
  <si>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</si>
  <si>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</si>
  <si>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</si>
  <si>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</si>
  <si>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</si>
  <si>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</si>
  <si>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</si>
  <si>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</si>
  <si>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</si>
  <si>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</si>
  <si>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</si>
  <si>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</si>
  <si>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</si>
  <si>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</si>
  <si>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</si>
  <si>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</si>
  <si>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</si>
  <si>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</si>
  <si>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</si>
  <si>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</si>
  <si>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</si>
  <si>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</si>
  <si>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</si>
  <si>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</si>
  <si>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</si>
  <si>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</si>
  <si>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</si>
  <si>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</si>
  <si>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</si>
  <si>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</si>
  <si>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</si>
  <si>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</si>
  <si>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</si>
  <si>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</si>
  <si>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</si>
  <si>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</si>
  <si>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</si>
  <si>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</si>
  <si>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</si>
  <si>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</si>
  <si>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</si>
  <si>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</si>
  <si>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</si>
  <si>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</si>
  <si>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</si>
  <si>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</si>
  <si>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</si>
  <si>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</si>
  <si>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</si>
  <si>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</si>
  <si>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</si>
  <si>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</si>
  <si>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</si>
  <si>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</si>
  <si>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</si>
  <si>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</si>
  <si>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</si>
  <si>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</si>
  <si>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</si>
  <si>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</si>
  <si>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</si>
  <si>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</si>
  <si>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</si>
  <si>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</si>
  <si>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</si>
  <si>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</si>
  <si>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</si>
  <si>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</si>
  <si>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</si>
  <si>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</si>
  <si>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</si>
  <si>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</si>
  <si>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</si>
  <si>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</si>
  <si>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</si>
  <si>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</si>
  <si>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</si>
  <si>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</si>
  <si>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</si>
  <si>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</si>
  <si>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</si>
  <si>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</si>
  <si>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</si>
  <si>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</si>
  <si>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</si>
  <si>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</si>
  <si>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</si>
  <si>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</si>
  <si>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</si>
  <si>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</si>
  <si>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</si>
  <si>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</si>
  <si>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</si>
  <si>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</si>
  <si>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</si>
  <si>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</si>
  <si>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</si>
  <si>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</si>
  <si>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</si>
  <si>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</si>
  <si>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</si>
  <si>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</si>
  <si>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</si>
  <si>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</si>
  <si>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</si>
  <si>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</si>
  <si>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</si>
  <si>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</si>
  <si>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</si>
  <si>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</si>
  <si>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</si>
  <si>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</si>
  <si>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</si>
  <si>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</si>
  <si>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</si>
  <si>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</si>
  <si>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</si>
  <si>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</si>
  <si>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</si>
  <si>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</si>
  <si>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</si>
  <si>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</si>
  <si>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</si>
  <si>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</si>
  <si>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</si>
  <si>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</si>
  <si>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</si>
  <si>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</si>
  <si>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</si>
  <si>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</si>
  <si>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</si>
  <si>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</si>
  <si>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</si>
  <si>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</si>
  <si>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</si>
  <si>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</si>
  <si>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</si>
  <si>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</si>
  <si>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</si>
  <si>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</si>
  <si>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</si>
  <si>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</si>
  <si>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</si>
  <si>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</si>
  <si>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</si>
  <si>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</si>
  <si>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</si>
  <si>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</si>
  <si>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</si>
  <si>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</si>
  <si>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</si>
  <si>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</si>
  <si>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</si>
  <si>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</si>
  <si>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</si>
  <si>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</si>
  <si>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</si>
  <si>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</si>
  <si>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</si>
  <si>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</si>
  <si>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</si>
  <si>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</si>
  <si>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</si>
  <si>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</si>
  <si>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</si>
  <si>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</si>
  <si>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</si>
  <si>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</si>
  <si>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</si>
  <si>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</si>
  <si>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</si>
  <si>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</si>
  <si>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</si>
  <si>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</si>
  <si>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</si>
  <si>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</si>
  <si>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</si>
  <si>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</si>
  <si>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</si>
  <si>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</si>
  <si>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</si>
  <si>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</si>
  <si>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</si>
  <si>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</si>
  <si>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</si>
  <si>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</si>
  <si>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</si>
  <si>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</si>
  <si>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</si>
  <si>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</si>
  <si>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</si>
  <si>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</si>
  <si>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</si>
  <si>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</si>
  <si>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</si>
  <si>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</si>
  <si>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</si>
  <si>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</si>
  <si>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</si>
  <si>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</si>
  <si>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</si>
  <si>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</si>
  <si>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</si>
  <si>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</si>
  <si>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</si>
  <si>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</si>
  <si>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</si>
  <si>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</si>
  <si>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</si>
  <si>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</si>
  <si>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</si>
  <si>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</si>
  <si>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</si>
  <si>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</si>
  <si>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</si>
  <si>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</si>
  <si>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</si>
  <si>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</si>
  <si>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</si>
  <si>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</si>
  <si>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</si>
  <si>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</si>
  <si>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</si>
  <si>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</si>
  <si>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</si>
  <si>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</si>
  <si>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</si>
  <si>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</si>
  <si>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</si>
  <si>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</si>
  <si>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</si>
  <si>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</si>
  <si>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</si>
  <si>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</si>
  <si>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</si>
  <si>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</si>
  <si>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</si>
  <si>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</si>
  <si>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</si>
  <si>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</si>
  <si>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</si>
  <si>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</si>
  <si>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</si>
  <si>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</si>
  <si>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</si>
  <si>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</si>
  <si>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</si>
  <si>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</si>
  <si>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</si>
  <si>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</si>
  <si>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</si>
  <si>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</si>
  <si>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</si>
  <si>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</si>
  <si>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</si>
  <si>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</si>
  <si>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</si>
  <si>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</si>
  <si>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</si>
  <si>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</si>
  <si>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</si>
  <si>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</si>
  <si>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</si>
  <si>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</si>
  <si>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</si>
  <si>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</si>
  <si>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</si>
  <si>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</si>
  <si>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</si>
  <si>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</si>
  <si>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</si>
  <si>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</si>
  <si>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</si>
  <si>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</si>
  <si>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</si>
  <si>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</si>
  <si>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</si>
  <si>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</si>
  <si>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</si>
  <si>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</si>
  <si>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</si>
  <si>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</si>
  <si>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</si>
  <si>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</si>
  <si>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</si>
  <si>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</si>
  <si>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</si>
  <si>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</si>
  <si>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</si>
  <si>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</si>
  <si>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</si>
  <si>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</si>
  <si>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</si>
  <si>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</si>
  <si>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</si>
  <si>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</si>
  <si>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</si>
  <si>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</si>
  <si>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</si>
  <si>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</si>
  <si>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</si>
  <si>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</si>
  <si>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</si>
  <si>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</si>
  <si>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</si>
  <si>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</si>
  <si>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</si>
  <si>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</si>
  <si>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</si>
  <si>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</si>
  <si>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</si>
  <si>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</si>
  <si>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</si>
  <si>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</si>
  <si>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</si>
  <si>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</si>
  <si>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</si>
  <si>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</si>
  <si>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</si>
  <si>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</si>
  <si>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</si>
  <si>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</si>
  <si>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</si>
  <si>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</si>
  <si>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</si>
  <si>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</si>
  <si>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</si>
  <si>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</si>
  <si>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</si>
  <si>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</si>
  <si>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</si>
  <si>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</si>
  <si>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</si>
  <si>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</si>
  <si>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</si>
  <si>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</si>
  <si>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</si>
  <si>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</si>
  <si>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</si>
  <si>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</si>
  <si>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</si>
  <si>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</si>
  <si>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</si>
  <si>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</si>
  <si>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</si>
  <si>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</si>
  <si>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</si>
  <si>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</si>
  <si>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</si>
  <si>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</si>
  <si>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</si>
  <si>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</si>
  <si>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</si>
  <si>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</si>
  <si>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</si>
  <si>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</si>
  <si>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</si>
  <si>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</si>
  <si>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</si>
  <si>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</si>
  <si>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</si>
  <si>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</si>
  <si>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</si>
  <si>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</si>
  <si>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</si>
  <si>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</si>
  <si>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</si>
  <si>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</si>
  <si>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</si>
  <si>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</si>
  <si>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</si>
  <si>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</si>
  <si>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</si>
  <si>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</si>
  <si>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</si>
  <si>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</si>
  <si>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</si>
  <si>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</si>
  <si>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</si>
  <si>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</si>
  <si>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</si>
  <si>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</si>
  <si>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</si>
  <si>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</si>
  <si>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</si>
  <si>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</si>
  <si>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</si>
  <si>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</si>
  <si>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</si>
  <si>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</si>
  <si>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</si>
  <si>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</si>
  <si>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</si>
  <si>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</si>
  <si>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</si>
  <si>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</si>
  <si>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</si>
  <si>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</si>
  <si>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</si>
  <si>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</si>
  <si>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</si>
  <si>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</si>
  <si>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</si>
  <si>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</si>
  <si>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</si>
  <si>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</si>
  <si>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</si>
  <si>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</si>
  <si>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</si>
  <si>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</si>
  <si>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</si>
  <si>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</si>
  <si>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</si>
  <si>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</si>
  <si>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</si>
  <si>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</si>
  <si>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</si>
  <si>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</si>
  <si>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</si>
  <si>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</si>
  <si>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</si>
  <si>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</si>
  <si>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</si>
  <si>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</si>
  <si>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</si>
  <si>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</si>
  <si>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</si>
  <si>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</si>
  <si>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</si>
  <si>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</si>
  <si>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</si>
  <si>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</si>
  <si>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</si>
  <si>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</si>
  <si>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</si>
  <si>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</si>
  <si>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</si>
  <si>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</si>
  <si>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</si>
  <si>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</si>
  <si>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</si>
  <si>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</si>
  <si>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</si>
  <si>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</si>
  <si>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</si>
  <si>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</si>
  <si>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</si>
  <si>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</si>
  <si>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</si>
  <si>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</si>
  <si>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</si>
  <si>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</si>
  <si>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</si>
  <si>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</si>
  <si>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</si>
  <si>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</si>
  <si>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</si>
  <si>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</si>
  <si>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</si>
  <si>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</si>
  <si>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</si>
  <si>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</si>
  <si>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</si>
  <si>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</si>
  <si>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</si>
  <si>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</si>
  <si>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</si>
  <si>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</si>
  <si>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</si>
  <si>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</si>
  <si>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</si>
  <si>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</si>
  <si>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</si>
  <si>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</si>
  <si>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</si>
  <si>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</si>
  <si>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</si>
  <si>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</si>
  <si>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</si>
  <si>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</si>
  <si>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</si>
  <si>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</si>
  <si>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</si>
  <si>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</si>
  <si>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</si>
  <si>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</si>
  <si>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</si>
  <si>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</si>
  <si>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</si>
  <si>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</si>
  <si>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</si>
  <si>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</si>
  <si>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</si>
  <si>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</si>
  <si>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</si>
  <si>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</si>
  <si>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</si>
  <si>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</si>
  <si>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</si>
  <si>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</si>
  <si>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</si>
  <si>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</si>
  <si>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</si>
  <si>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</si>
  <si>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</si>
  <si>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</si>
  <si>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</si>
  <si>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</si>
  <si>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</si>
  <si>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</si>
  <si>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</si>
  <si>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</si>
  <si>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</si>
  <si>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</si>
  <si>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</si>
  <si>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</si>
  <si>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</si>
  <si>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</si>
  <si>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</si>
  <si>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</si>
  <si>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</si>
  <si>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</si>
  <si>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</si>
  <si>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</si>
  <si>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</si>
  <si>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</si>
  <si>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</si>
  <si>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</si>
  <si>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</si>
  <si>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</si>
  <si>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</si>
  <si>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</si>
  <si>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</si>
  <si>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</si>
  <si>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</si>
  <si>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</si>
  <si>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</si>
  <si>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</si>
  <si>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</si>
  <si>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</si>
  <si>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</si>
  <si>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</si>
  <si>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</si>
  <si>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</si>
  <si>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</si>
  <si>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</si>
  <si>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</si>
  <si>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</si>
  <si>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</si>
  <si>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</si>
  <si>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</si>
  <si>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</si>
  <si>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</si>
  <si>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</si>
  <si>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</si>
  <si>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</si>
  <si>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</si>
  <si>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</si>
  <si>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</si>
  <si>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</si>
  <si>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</si>
  <si>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</si>
  <si>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</si>
  <si>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</si>
  <si>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</si>
  <si>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</si>
  <si>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</si>
  <si>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</si>
  <si>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</si>
  <si>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</si>
  <si>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</si>
  <si>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</si>
  <si>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</si>
  <si>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</si>
  <si>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</si>
  <si>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</si>
  <si>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</si>
  <si>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</si>
  <si>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</si>
  <si>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</si>
  <si>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</si>
  <si>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</si>
  <si>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</si>
  <si>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</si>
  <si>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</si>
  <si>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</si>
  <si>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</si>
  <si>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</si>
  <si>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</si>
  <si>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</si>
  <si>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</si>
  <si>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</si>
  <si>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</si>
  <si>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</si>
  <si>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</si>
  <si>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</si>
  <si>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</si>
  <si>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</si>
  <si>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</si>
  <si>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</si>
  <si>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</si>
  <si>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</si>
  <si>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</si>
  <si>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</si>
  <si>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</si>
  <si>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</si>
  <si>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</si>
  <si>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</si>
  <si>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</si>
  <si>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</si>
  <si>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</si>
  <si>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</si>
  <si>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</si>
  <si>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</si>
  <si>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</si>
  <si>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</si>
  <si>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</si>
  <si>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</si>
  <si>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</si>
  <si>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</si>
  <si>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</si>
  <si>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</si>
  <si>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</si>
  <si>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</si>
  <si>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</si>
  <si>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</si>
  <si>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</si>
  <si>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</si>
  <si>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</si>
  <si>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</si>
  <si>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</si>
  <si>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</si>
  <si>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</si>
  <si>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</si>
  <si>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</si>
  <si>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</si>
  <si>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</si>
  <si>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</si>
  <si>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</si>
  <si>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</si>
  <si>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</si>
  <si>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</si>
  <si>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</si>
  <si>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</si>
  <si>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</si>
  <si>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</si>
  <si>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</si>
  <si>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</si>
  <si>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</si>
  <si>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</si>
  <si>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</si>
  <si>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</si>
  <si>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</si>
  <si>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</si>
  <si>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</si>
  <si>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</si>
  <si>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</si>
  <si>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</si>
  <si>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</si>
  <si>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</si>
  <si>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</si>
  <si>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</si>
  <si>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</si>
  <si>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</si>
  <si>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</si>
  <si>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</si>
  <si>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</si>
  <si>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</si>
  <si>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</si>
  <si>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</si>
  <si>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</si>
  <si>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</si>
  <si>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</si>
  <si>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</si>
  <si>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</si>
  <si>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</si>
  <si>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</si>
  <si>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</si>
  <si>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</si>
  <si>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</si>
  <si>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</si>
  <si>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</si>
  <si>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</si>
  <si>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</si>
  <si>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</si>
  <si>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</si>
  <si>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</si>
  <si>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</si>
  <si>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</si>
  <si>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</si>
  <si>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</si>
  <si>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</si>
  <si>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</si>
  <si>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</si>
  <si>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</si>
  <si>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</si>
  <si>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</si>
  <si>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</si>
  <si>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</si>
  <si>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</si>
  <si>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</si>
  <si>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</si>
  <si>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</si>
  <si>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</si>
  <si>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</si>
  <si>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</si>
  <si>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</si>
  <si>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</si>
  <si>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</si>
  <si>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</si>
  <si>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</si>
  <si>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</si>
  <si>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</si>
  <si>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</si>
  <si>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</si>
  <si>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</si>
  <si>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</si>
  <si>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</si>
  <si>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</si>
  <si>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</si>
  <si>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</si>
  <si>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</si>
  <si>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</si>
  <si>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</si>
  <si>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</si>
  <si>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</si>
  <si>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</si>
  <si>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</si>
  <si>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</si>
  <si>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</si>
  <si>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</si>
  <si>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</si>
  <si>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</si>
  <si>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</si>
  <si>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</si>
  <si>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</si>
  <si>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</si>
  <si>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</si>
  <si>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</si>
  <si>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</si>
  <si>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</si>
  <si>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</si>
  <si>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</si>
  <si>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</si>
  <si>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</si>
  <si>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</si>
  <si>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</si>
  <si>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</si>
  <si>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</si>
  <si>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</si>
  <si>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</si>
  <si>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</si>
  <si>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</si>
  <si>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</si>
  <si>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</si>
  <si>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</si>
  <si>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</si>
  <si>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</si>
  <si>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</si>
  <si>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</si>
  <si>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</si>
  <si>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</si>
  <si>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</si>
  <si>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</si>
  <si>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</si>
  <si>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</si>
  <si>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</si>
  <si>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</si>
  <si>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</si>
  <si>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</si>
  <si>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</si>
  <si>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</si>
  <si>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</si>
  <si>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</si>
  <si>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</si>
  <si>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</si>
  <si>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</si>
  <si>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</si>
  <si>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</si>
  <si>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</si>
  <si>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</si>
  <si>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</si>
  <si>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</si>
  <si>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</si>
  <si>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</si>
  <si>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</si>
  <si>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</si>
  <si>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</si>
  <si>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</si>
  <si>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</si>
  <si>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</si>
  <si>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</si>
  <si>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</si>
  <si>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</si>
  <si>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</si>
  <si>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</si>
  <si>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</si>
  <si>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</si>
  <si>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</si>
  <si>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</si>
  <si>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</si>
  <si>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</si>
  <si>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</si>
  <si>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</si>
  <si>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</si>
  <si>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</si>
  <si>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</si>
  <si>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</si>
  <si>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</si>
  <si>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</si>
  <si>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</si>
  <si>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</si>
  <si>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</si>
  <si>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</si>
  <si>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</si>
  <si>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</si>
  <si>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</si>
  <si>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</si>
  <si>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</si>
  <si>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</si>
  <si>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</si>
  <si>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</si>
  <si>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</si>
  <si>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</si>
  <si>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</si>
  <si>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</si>
  <si>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</si>
  <si>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</si>
  <si>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</si>
  <si>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</si>
  <si>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</si>
  <si>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</si>
  <si>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</si>
  <si>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</si>
  <si>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</si>
  <si>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</si>
  <si>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</si>
  <si>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</si>
  <si>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</si>
  <si>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</si>
  <si>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</si>
  <si>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</si>
  <si>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</si>
  <si>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</si>
  <si>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</si>
  <si>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</si>
  <si>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</si>
  <si>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</si>
  <si>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</si>
  <si>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</si>
  <si>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</si>
  <si>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</si>
  <si>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</si>
  <si>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</si>
  <si>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</si>
  <si>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</si>
  <si>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</si>
  <si>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</si>
  <si>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</si>
  <si>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</si>
  <si>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</si>
  <si>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</si>
  <si>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</si>
  <si>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</si>
  <si>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</si>
  <si>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</si>
  <si>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</si>
  <si>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</si>
  <si>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</si>
  <si>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</si>
  <si>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</si>
  <si>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</si>
  <si>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</si>
  <si>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</si>
  <si>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</si>
  <si>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</si>
  <si>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</si>
  <si>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</si>
  <si>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</si>
  <si>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</si>
  <si>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</si>
  <si>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</si>
  <si>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</si>
  <si>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</si>
  <si>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</si>
  <si>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</si>
  <si>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</si>
  <si>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</si>
  <si>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</si>
  <si>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</si>
  <si>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</si>
  <si>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</si>
  <si>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</si>
  <si>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</si>
  <si>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</si>
  <si>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</si>
  <si>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</si>
  <si>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</si>
  <si>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</si>
  <si>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</si>
  <si>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</si>
  <si>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</si>
  <si>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</si>
  <si>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</si>
  <si>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</si>
  <si>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</si>
  <si>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</si>
  <si>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</si>
  <si>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</si>
  <si>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</si>
  <si>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</si>
  <si>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</si>
  <si>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</si>
  <si>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</si>
  <si>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</si>
  <si>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</si>
  <si>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</si>
  <si>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</si>
  <si>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</si>
  <si>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</si>
  <si>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</si>
  <si>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</si>
  <si>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</si>
  <si>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</si>
  <si>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</si>
  <si>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</si>
  <si>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</si>
  <si>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</si>
  <si>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</si>
  <si>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</si>
  <si>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</si>
  <si>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</si>
  <si>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</si>
  <si>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</si>
  <si>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</si>
  <si>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</si>
  <si>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</si>
  <si>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</si>
  <si>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</si>
  <si>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</si>
  <si>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</si>
  <si>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</si>
  <si>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</si>
  <si>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</si>
  <si>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</si>
  <si>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</si>
  <si>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</si>
  <si>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</si>
  <si>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</si>
  <si>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</si>
  <si>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</si>
  <si>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</si>
  <si>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</si>
  <si>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</si>
  <si>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</si>
  <si>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</si>
  <si>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</si>
  <si>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</si>
  <si>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</si>
  <si>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</si>
  <si>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</si>
  <si>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</si>
  <si>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</si>
  <si>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</si>
  <si>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</si>
  <si>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</si>
  <si>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</si>
  <si>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</si>
  <si>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</si>
  <si>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</si>
  <si>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</si>
  <si>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</si>
  <si>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</si>
  <si>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</si>
  <si>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</si>
  <si>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</si>
  <si>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</si>
  <si>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</si>
  <si>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</si>
  <si>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</si>
  <si>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</si>
  <si>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</si>
  <si>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</si>
  <si>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</si>
  <si>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</si>
  <si>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</si>
  <si>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</si>
  <si>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</si>
  <si>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</si>
  <si>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</si>
  <si>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</si>
  <si>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</si>
  <si>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</si>
  <si>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</si>
  <si>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</si>
  <si>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</si>
  <si>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</si>
  <si>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</si>
  <si>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</si>
  <si>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</si>
  <si>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</si>
  <si>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</si>
  <si>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</si>
  <si>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</si>
  <si>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</si>
  <si>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</si>
  <si>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</si>
  <si>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</si>
  <si>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</si>
  <si>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</si>
  <si>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</si>
  <si>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</si>
  <si>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</si>
  <si>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</si>
  <si>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</si>
  <si>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</si>
  <si>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</si>
  <si>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</si>
  <si>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</si>
  <si>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</si>
  <si>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</si>
  <si>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</si>
  <si>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</si>
  <si>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</si>
  <si>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</si>
  <si>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</si>
  <si>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</si>
  <si>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</si>
  <si>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</si>
  <si>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</si>
  <si>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</si>
  <si>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</si>
  <si>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</si>
  <si>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</si>
  <si>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</si>
  <si>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</si>
  <si>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</si>
  <si>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</si>
  <si>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</si>
  <si>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</si>
  <si>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</si>
  <si>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</si>
  <si>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</si>
  <si>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</si>
  <si>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</si>
  <si>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</si>
  <si>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</si>
  <si>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</si>
  <si>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</si>
  <si>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</si>
  <si>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</si>
  <si>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</si>
  <si>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</si>
  <si>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</si>
  <si>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</si>
  <si>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</si>
  <si>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</si>
  <si>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</si>
  <si>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</si>
  <si>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</si>
  <si>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</si>
  <si>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</si>
  <si>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</si>
  <si>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</si>
  <si>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</si>
  <si>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</si>
  <si>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</si>
  <si>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</si>
  <si>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</si>
  <si>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</si>
  <si>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</si>
  <si>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</si>
  <si>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</si>
  <si>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</si>
  <si>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</si>
  <si>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</si>
  <si>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</si>
  <si>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</si>
  <si>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</si>
  <si>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</si>
  <si>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</si>
  <si>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</si>
  <si>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</si>
  <si>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</si>
  <si>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</si>
  <si>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</si>
  <si>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</si>
  <si>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</si>
  <si>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</si>
  <si>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</si>
  <si>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</si>
  <si>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</si>
  <si>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</si>
  <si>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</si>
  <si>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</si>
  <si>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</si>
  <si>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</si>
  <si>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</si>
  <si>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</si>
  <si>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</si>
  <si>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</si>
  <si>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</si>
  <si>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</si>
  <si>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</si>
  <si>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</si>
  <si>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</si>
  <si>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</si>
  <si>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</si>
  <si>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</si>
  <si>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</si>
  <si>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</si>
  <si>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</si>
  <si>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</si>
  <si>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</si>
  <si>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</si>
  <si>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</si>
  <si>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</si>
  <si>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</si>
  <si>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</si>
  <si>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</si>
  <si>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</si>
  <si>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</si>
  <si>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</si>
  <si>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</si>
  <si>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</si>
  <si>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</si>
  <si>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</si>
  <si>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</si>
  <si>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</si>
  <si>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</si>
  <si>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</si>
  <si>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</si>
  <si>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</si>
  <si>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</si>
  <si>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</si>
  <si>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</si>
  <si>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</si>
  <si>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</si>
  <si>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</si>
  <si>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</si>
  <si>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</si>
  <si>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</si>
  <si>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</si>
  <si>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</si>
  <si>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</si>
  <si>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</si>
  <si>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</si>
  <si>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</si>
  <si>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</si>
  <si>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</si>
  <si>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</si>
  <si>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</si>
  <si>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</si>
  <si>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</si>
  <si>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</si>
  <si>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</si>
  <si>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</si>
  <si>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</si>
  <si>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</si>
  <si>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</si>
  <si>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</si>
  <si>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</si>
  <si>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</si>
  <si>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</si>
  <si>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</si>
  <si>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</si>
  <si>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</si>
  <si>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</si>
  <si>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</si>
  <si>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</si>
  <si>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</si>
  <si>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</si>
  <si>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</si>
  <si>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</si>
  <si>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</si>
  <si>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</si>
  <si>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</si>
  <si>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</si>
  <si>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</si>
  <si>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</si>
  <si>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</si>
  <si>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</si>
  <si>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</si>
  <si>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</si>
  <si>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</si>
  <si>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</si>
  <si>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</si>
  <si>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</si>
  <si>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</si>
  <si>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</si>
  <si>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</si>
  <si>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</si>
  <si>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</si>
  <si>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</si>
  <si>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</si>
  <si>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</si>
  <si>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</si>
  <si>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</si>
  <si>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</si>
  <si>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</si>
  <si>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</si>
  <si>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</si>
  <si>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</si>
  <si>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</si>
  <si>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</si>
  <si>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</si>
  <si>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</si>
  <si>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</si>
  <si>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</si>
  <si>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</si>
  <si>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</si>
  <si>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</si>
  <si>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</si>
  <si>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</si>
  <si>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</si>
  <si>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</si>
  <si>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</si>
  <si>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</si>
  <si>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</si>
  <si>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</si>
  <si>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</si>
  <si>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</si>
  <si>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</si>
  <si>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</si>
  <si>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</si>
  <si>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</si>
  <si>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</si>
  <si>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</si>
  <si>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</si>
  <si>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</si>
  <si>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</si>
  <si>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</si>
  <si>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</si>
  <si>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</si>
  <si>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</si>
  <si>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</si>
  <si>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</si>
  <si>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</si>
  <si>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</si>
  <si>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</si>
  <si>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</si>
  <si>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</si>
  <si>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</si>
  <si>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</si>
  <si>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</si>
  <si>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</si>
  <si>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</si>
  <si>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</si>
  <si>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</si>
  <si>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</si>
  <si>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</si>
  <si>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</si>
  <si>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</si>
  <si>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</si>
  <si>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</si>
  <si>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</si>
  <si>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</si>
  <si>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</si>
  <si>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</si>
  <si>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</si>
  <si>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</si>
  <si>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</si>
  <si>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</si>
  <si>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</si>
  <si>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</si>
  <si>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</si>
  <si>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</si>
  <si>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</si>
  <si>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</si>
  <si>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</si>
  <si>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</si>
  <si>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</si>
  <si>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</si>
  <si>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</si>
  <si>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</si>
  <si>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</si>
  <si>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</si>
  <si>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</si>
  <si>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</si>
  <si>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</si>
  <si>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</si>
  <si>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</si>
  <si>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</si>
  <si>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</si>
  <si>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</si>
  <si>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</si>
  <si>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</si>
  <si>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</si>
  <si>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</si>
  <si>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</si>
  <si>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</si>
  <si>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</si>
  <si>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</si>
  <si>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</si>
  <si>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</si>
  <si>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</si>
  <si>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</si>
  <si>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</si>
  <si>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</si>
  <si>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</si>
  <si>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</si>
  <si>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</si>
  <si>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</si>
  <si>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</si>
  <si>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</si>
  <si>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</si>
  <si>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</si>
  <si>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</si>
  <si>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</si>
  <si>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</si>
  <si>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</si>
  <si>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</si>
  <si>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</si>
  <si>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</si>
  <si>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</si>
  <si>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</si>
  <si>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</si>
  <si>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</si>
  <si>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</si>
  <si>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</si>
  <si>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</si>
  <si>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</si>
  <si>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</si>
  <si>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</si>
  <si>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</si>
  <si>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</si>
  <si>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</si>
  <si>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</si>
  <si>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</si>
  <si>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</si>
  <si>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</si>
  <si>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</si>
  <si>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</si>
  <si>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</si>
  <si>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</si>
  <si>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</si>
  <si>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</si>
  <si>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</si>
  <si>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</si>
  <si>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</si>
  <si>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</si>
  <si>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</si>
  <si>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</si>
  <si>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</si>
  <si>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</si>
  <si>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</si>
  <si>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</si>
  <si>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</si>
  <si>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</si>
  <si>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</si>
  <si>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</si>
  <si>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</si>
  <si>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</si>
  <si>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</si>
  <si>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</si>
  <si>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</si>
  <si>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</si>
  <si>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</si>
  <si>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</si>
  <si>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</si>
  <si>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</si>
  <si>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</si>
  <si>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</si>
  <si>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</si>
  <si>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</si>
  <si>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</si>
  <si>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</si>
  <si>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</si>
  <si>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</si>
  <si>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</si>
  <si>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</si>
  <si>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</si>
  <si>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</si>
  <si>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</si>
  <si>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</si>
  <si>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</si>
  <si>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</si>
  <si>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</si>
  <si>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</si>
  <si>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</si>
  <si>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</si>
  <si>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</si>
  <si>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</si>
  <si>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</si>
  <si>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</si>
  <si>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</si>
  <si>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</si>
  <si>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</si>
  <si>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</si>
  <si>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</si>
  <si>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</si>
  <si>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</si>
  <si>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</si>
  <si>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</si>
  <si>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</si>
  <si>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</si>
  <si>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</si>
  <si>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</si>
  <si>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</si>
  <si>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</si>
  <si>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</si>
  <si>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</si>
  <si>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</si>
  <si>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</si>
  <si>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</si>
  <si>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</si>
  <si>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</si>
  <si>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</si>
  <si>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</si>
  <si>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</si>
  <si>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</si>
  <si>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</si>
  <si>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</si>
  <si>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</si>
  <si>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</si>
  <si>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</si>
  <si>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</si>
  <si>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</si>
  <si>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</si>
  <si>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</si>
  <si>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</si>
  <si>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</si>
  <si>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</si>
  <si>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</si>
  <si>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</si>
  <si>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</si>
  <si>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</si>
  <si>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</si>
  <si>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</si>
  <si>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</si>
  <si>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</si>
  <si>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</si>
  <si>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</si>
  <si>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</si>
  <si>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</si>
  <si>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</si>
  <si>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</si>
  <si>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</si>
  <si>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</si>
  <si>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</si>
  <si>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</si>
  <si>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</si>
  <si>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</si>
  <si>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</si>
  <si>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</si>
  <si>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</si>
  <si>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</si>
  <si>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</si>
  <si>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</si>
  <si>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</si>
  <si>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</si>
  <si>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</si>
  <si>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</si>
  <si>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</si>
  <si>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</si>
  <si>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</si>
  <si>
    <t>成新度</t>
  </si>
  <si>
    <t>划拨</t>
    <phoneticPr fontId="225" type="noConversion"/>
  </si>
  <si>
    <t>出让</t>
    <phoneticPr fontId="225" type="noConversion"/>
  </si>
  <si>
    <t>地上办公（满年限）5.56</t>
    <phoneticPr fontId="225" type="noConversion"/>
  </si>
  <si>
    <t>出让-划拨</t>
    <phoneticPr fontId="225" type="noConversion"/>
  </si>
  <si>
    <t>差值</t>
    <phoneticPr fontId="225" type="noConversion"/>
  </si>
  <si>
    <t>补缴出让价款</t>
    <phoneticPr fontId="225" type="noConversion"/>
  </si>
  <si>
    <t>地上办公（无限年期）5.56</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</si>
</sst>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0" fillId="0" borderId="0" xfId="0" applyAlignment="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2" fillId="0" borderId="0" xfId="0" applyFont="1" applyAlignment="1">
      <alignment horizontal="center" vertical="center"/>
    </xf>
    <xf numFmtId="0" fontId="286" fillId="8" borderId="2" xfId="1" applyFont="1" applyFill="1" applyBorder="1" applyAlignment="1">
      <alignment horizontal="center"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2" fillId="0" borderId="2" xfId="0" applyFont="1" applyBorder="1" applyAlignment="1">
      <alignment horizontal="center" vertical="center"/>
    </xf>
    <xf numFmtId="0" fontId="286" fillId="8" borderId="2" xfId="1" applyFont="1" applyFill="1" applyBorder="1" applyAlignment="1">
      <alignment horizontal="center" vertical="center" wrapText="1"/>
    </xf>
    <xf numFmtId="0" fontId="286" fillId="8" borderId="2" xfId="1" applyFont="1" applyFill="1" applyBorder="1" applyAlignment="1">
      <alignment horizontal="center" vertical="center"/>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xf numFmtId="0" fontId="306" fillId="0" borderId="10" xfId="0" applyFont="1" applyBorder="1" applyAlignment="1">
      <alignment horizontal="center" vertical="center"/>
    </xf>
    <xf numFmtId="0" fontId="306" fillId="0" borderId="0" xfId="0" applyFont="1" applyAlignment="1">
      <alignment horizontal="center" vertical="center"/>
    </xf>
    <xf numFmtId="0" fontId="306" fillId="0" borderId="3" xfId="0" applyFont="1" applyBorder="1" applyAlignment="1">
      <alignment horizontal="center" vertical="center"/>
    </xf>
    <xf numFmtId="0" fontId="306" fillId="0" borderId="21" xfId="0" applyFont="1" applyBorder="1" applyAlignment="1">
      <alignment horizontal="center" vertical="center"/>
    </xf>
    <xf numFmtId="0" fontId="306" fillId="0" borderId="2" xfId="0" applyFont="1" applyBorder="1" applyAlignment="1">
      <alignment horizontal="center" vertical="center"/>
    </xf>
    <xf numFmtId="0" fontId="286" fillId="0" borderId="2" xfId="0" applyFont="1" applyBorder="1" applyAlignment="1">
      <alignment horizontal="center" vertical="center"/>
    </xf>
    <xf numFmtId="0" fontId="306" fillId="0" borderId="2" xfId="0" applyFont="1" applyBorder="1" applyAlignment="1">
      <alignment horizontal="center" vertical="center"/>
    </xf>
    <xf numFmtId="0" fontId="306" fillId="8" borderId="2" xfId="0" applyFont="1" applyFill="1" applyBorder="1" applyAlignment="1">
      <alignment horizontal="center" vertical="center"/>
    </xf>
    <xf numFmtId="0" fontId="144" fillId="0" borderId="2" xfId="0" applyFont="1" applyBorder="1" applyAlignment="1">
      <alignment horizontal="center" vertical="center"/>
    </xf>
    <xf numFmtId="10" fontId="144" fillId="0" borderId="2" xfId="0" applyNumberFormat="1" applyFont="1" applyBorder="1" applyAlignment="1">
      <alignment horizontal="center" vertical="center"/>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29</xdr:row>
      <xdr:rowOff>152400</xdr:rowOff>
    </xdr:from>
    <xdr:to>
      <xdr:col>9</xdr:col>
      <xdr:colOff>289930</xdr:colOff>
      <xdr:row>43</xdr:row>
      <xdr:rowOff>47338</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1616;&#34920;02&#23481;&#31215;&#29575;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7169;&#25311;&#21327;&#35758;&#20986;&#35753;&#21452;&#27088;&#37324;/&#20140;&#28304;&#22823;&#21414;/0418&#35843;&#25972;&#24605;&#36335;&#20986;&#35753;&#20943;&#21010;&#25320;/0418&#27979;&#31639;-&#20140;&#28304;&#22823;&#21414;&#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C31">
            <v>22664</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项目基本情况"/>
      <sheetName val="数据-基础表"/>
      <sheetName val="抵押物清单（分楼）"/>
      <sheetName val="数据-汇总表"/>
      <sheetName val="数据-取费表"/>
      <sheetName val="估价对象房地状况"/>
      <sheetName val="结果表"/>
      <sheetName val="结果-划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成本逼近法"/>
      <sheetName val="一级开发成本案例"/>
      <sheetName val="一级开发成本"/>
      <sheetName val="土地增值收益率"/>
      <sheetName val="剩余法"/>
      <sheetName val="比较法-工业"/>
      <sheetName val="修正"/>
      <sheetName val="区片价"/>
      <sheetName val="容积率修正"/>
      <sheetName val="因素修正幅度"/>
      <sheetName val="基准地价（汇总）"/>
      <sheetName val="收益还原法"/>
      <sheetName val="不动产收益法-办公"/>
      <sheetName val="办公租金案例"/>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B2" t="str">
            <v>成本逼近法</v>
          </cell>
          <cell r="C2">
            <v>11408</v>
          </cell>
        </row>
        <row r="3">
          <cell r="B3" t="str">
            <v>剩余法（增值收益扣减）</v>
          </cell>
          <cell r="C3">
            <v>17798</v>
          </cell>
        </row>
        <row r="4">
          <cell r="B4" t="str">
            <v>增值收益率</v>
          </cell>
          <cell r="C4">
            <v>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根据《国有土地使用证》[]，估价对象（分摊）出让国有建设用地使用权面积为1613.09平方米。根据《建设工程规划许可证》[]、《出让合同》[]，估价对象规划建筑面积为8968.8平方米。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1613.09</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16"/>
  <sheetViews>
    <sheetView topLeftCell="E1" workbookViewId="0">
      <selection activeCell="J17" sqref="J17"/>
    </sheetView>
  </sheetViews>
  <sheetFormatPr defaultRowHeight="13.5"/>
  <cols>
    <col min="2" max="2" width="13.125" customWidth="1"/>
    <col min="3" max="3" width="13.5" customWidth="1"/>
  </cols>
  <sheetData>
    <row r="1" spans="2:11">
      <c r="I1" s="3208" t="s">
        <v>3478</v>
      </c>
      <c r="J1" s="3208" t="s">
        <v>3479</v>
      </c>
    </row>
    <row r="2" spans="2:11">
      <c r="B2" s="3208" t="s">
        <v>3476</v>
      </c>
      <c r="I2" s="3208">
        <v>-1</v>
      </c>
      <c r="J2">
        <v>3504.8</v>
      </c>
    </row>
    <row r="3" spans="2:11">
      <c r="B3" s="3208" t="s">
        <v>3470</v>
      </c>
      <c r="C3">
        <v>3500</v>
      </c>
      <c r="E3" s="3208" t="s">
        <v>3474</v>
      </c>
      <c r="F3">
        <v>5105.0200000000004</v>
      </c>
      <c r="I3" s="3208">
        <v>-2</v>
      </c>
      <c r="J3">
        <v>0</v>
      </c>
    </row>
    <row r="4" spans="2:11">
      <c r="B4" s="3208" t="s">
        <v>3471</v>
      </c>
      <c r="C4">
        <v>3386.6</v>
      </c>
      <c r="E4" s="3208" t="s">
        <v>3366</v>
      </c>
      <c r="F4">
        <v>35064.1</v>
      </c>
      <c r="I4" s="3208">
        <v>-3</v>
      </c>
      <c r="J4">
        <v>3167.5</v>
      </c>
    </row>
    <row r="5" spans="2:11">
      <c r="B5" s="3208" t="s">
        <v>3472</v>
      </c>
      <c r="C5">
        <v>2082.1999999999998</v>
      </c>
      <c r="E5" s="3208" t="s">
        <v>3475</v>
      </c>
      <c r="F5">
        <f>ROUND(F4/F3,2)</f>
        <v>6.87</v>
      </c>
      <c r="I5" s="3208">
        <v>1</v>
      </c>
      <c r="J5">
        <v>3505.6</v>
      </c>
    </row>
    <row r="6" spans="2:11">
      <c r="C6">
        <f>SUM(C3:C5)</f>
        <v>8968.7999999999993</v>
      </c>
      <c r="I6" s="3208">
        <v>2</v>
      </c>
      <c r="J6">
        <v>3088.6</v>
      </c>
    </row>
    <row r="7" spans="2:11">
      <c r="B7" s="3208" t="s">
        <v>3477</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3480</v>
      </c>
    </row>
    <row r="14" spans="2:11">
      <c r="J14" s="3599">
        <f>SUM(J2:J13)</f>
        <v>35064.1</v>
      </c>
      <c r="K14">
        <f>SUM(J5:J13)</f>
        <v>28391.8</v>
      </c>
    </row>
    <row r="15" spans="2:11">
      <c r="K15">
        <f>ROUND(K14/F3,2)</f>
        <v>5.56</v>
      </c>
    </row>
    <row r="16" spans="2:11">
      <c r="J16">
        <f>J14-K14</f>
        <v>6672.2999999999993</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C19" sqref="C19"/>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41" t="str">
        <f>IF(B10="北京市","北京市",C10)&amp;F10&amp;B16&amp;"国有建设用地使用权"&amp;B9&amp;"预评估"</f>
        <v>北京市出让国有建设用地使用权市场价格预评估</v>
      </c>
      <c r="C1" s="3642"/>
      <c r="D1" s="3642"/>
      <c r="E1" s="3642"/>
      <c r="F1" s="3642"/>
      <c r="G1" s="3642"/>
      <c r="H1" s="3642"/>
      <c r="I1" s="3643"/>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3446</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47"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48"/>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44"/>
      <c r="C12" s="3645"/>
      <c r="D12" s="3646"/>
      <c r="E12" s="1590" t="s">
        <v>2028</v>
      </c>
      <c r="F12" s="3662" t="s">
        <v>2838</v>
      </c>
      <c r="G12" s="3663"/>
      <c r="H12" s="3663"/>
      <c r="I12" s="3664"/>
      <c r="J12" s="3034"/>
      <c r="K12" s="3017"/>
      <c r="L12" s="3013"/>
      <c r="M12" s="3013"/>
      <c r="N12" s="3014"/>
      <c r="O12" s="3015"/>
      <c r="P12" s="3014"/>
      <c r="Q12" s="3014"/>
      <c r="R12" s="3014"/>
      <c r="S12" s="3014"/>
      <c r="T12" s="3014"/>
      <c r="U12" s="3014"/>
    </row>
    <row r="13" spans="1:21">
      <c r="A13" s="1581" t="s">
        <v>2026</v>
      </c>
      <c r="B13" s="3644"/>
      <c r="C13" s="3645"/>
      <c r="D13" s="3646"/>
      <c r="E13" s="1590" t="s">
        <v>2028</v>
      </c>
      <c r="F13" s="3662" t="s">
        <v>2839</v>
      </c>
      <c r="G13" s="3663"/>
      <c r="H13" s="3663"/>
      <c r="I13" s="3664"/>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3357</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59"/>
      <c r="E20" s="3660"/>
      <c r="F20" s="3660"/>
      <c r="G20" s="3660"/>
      <c r="H20" s="3660"/>
      <c r="I20" s="3661"/>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49" t="s">
        <v>1965</v>
      </c>
      <c r="F21" s="3650"/>
      <c r="G21" s="3650"/>
      <c r="H21" s="3650"/>
      <c r="I21" s="3651"/>
      <c r="J21" s="3034"/>
      <c r="K21" s="3017"/>
      <c r="L21" s="3013"/>
      <c r="M21" s="3013"/>
      <c r="N21" s="3014"/>
      <c r="O21" s="3015"/>
      <c r="P21" s="3014"/>
      <c r="Q21" s="3014"/>
      <c r="R21" s="3014"/>
      <c r="S21" s="3014"/>
      <c r="T21" s="3014"/>
      <c r="U21" s="3014"/>
    </row>
    <row r="22" spans="1:21">
      <c r="A22" s="2762" t="s">
        <v>927</v>
      </c>
      <c r="B22" s="1558" t="s">
        <v>1928</v>
      </c>
      <c r="C22" s="1580">
        <f>'数据-汇总表'!D3</f>
        <v>1613.09</v>
      </c>
      <c r="D22" s="1581" t="s">
        <v>1927</v>
      </c>
      <c r="E22" s="3649" t="s">
        <v>2840</v>
      </c>
      <c r="F22" s="3650"/>
      <c r="G22" s="3650"/>
      <c r="H22" s="3650"/>
      <c r="I22" s="3651"/>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52" t="s">
        <v>1933</v>
      </c>
      <c r="C24" s="3653"/>
      <c r="D24" s="3654" t="s">
        <v>1934</v>
      </c>
      <c r="E24" s="3655"/>
      <c r="F24" s="1598" t="s">
        <v>1935</v>
      </c>
      <c r="G24" s="3034"/>
      <c r="H24" s="3034"/>
      <c r="I24" s="3038"/>
      <c r="J24" s="3034"/>
      <c r="K24" s="3640"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40"/>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40"/>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67" t="s">
        <v>1968</v>
      </c>
      <c r="B31" s="1650" t="s">
        <v>1969</v>
      </c>
      <c r="C31" s="3665"/>
      <c r="D31" s="3666"/>
      <c r="E31" s="3034"/>
      <c r="F31" s="3034"/>
      <c r="G31" s="3034"/>
      <c r="H31" s="3034"/>
      <c r="I31" s="3038"/>
      <c r="J31" s="3034"/>
      <c r="K31" s="3020"/>
      <c r="L31" s="3014"/>
      <c r="M31" s="3014"/>
      <c r="N31" s="3014"/>
      <c r="O31" s="3014"/>
      <c r="P31" s="3014"/>
      <c r="Q31" s="3014"/>
      <c r="R31" s="3014"/>
      <c r="S31" s="3014"/>
      <c r="T31" s="3014"/>
      <c r="U31" s="3014"/>
    </row>
    <row r="32" spans="1:21">
      <c r="A32" s="3667"/>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67"/>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68"/>
      <c r="B34" s="1558" t="s">
        <v>1972</v>
      </c>
      <c r="C34" s="3669"/>
      <c r="D34" s="3670"/>
      <c r="E34" s="3034"/>
      <c r="F34" s="3034"/>
      <c r="G34" s="3034"/>
      <c r="H34" s="3034"/>
      <c r="I34" s="3038"/>
      <c r="J34" s="3034"/>
      <c r="K34" s="3020"/>
      <c r="L34" s="3014"/>
      <c r="M34" s="3014"/>
      <c r="N34" s="3014"/>
      <c r="O34" s="3014"/>
      <c r="P34" s="3014"/>
      <c r="Q34" s="3014"/>
      <c r="R34" s="3014"/>
      <c r="S34" s="3014"/>
      <c r="T34" s="3014"/>
      <c r="U34" s="3014"/>
    </row>
    <row r="35" spans="1:28">
      <c r="A35" s="3671" t="s">
        <v>823</v>
      </c>
      <c r="B35" s="1612"/>
      <c r="C35" s="1659" t="str">
        <f>IF(B35="场地平整","——","具体情况：")</f>
        <v>具体情况：</v>
      </c>
      <c r="D35" s="3673"/>
      <c r="E35" s="3674"/>
      <c r="F35" s="3674"/>
      <c r="G35" s="3674"/>
      <c r="H35" s="3674"/>
      <c r="I35" s="3675"/>
      <c r="J35" s="3034"/>
      <c r="K35" s="3021"/>
      <c r="L35" s="3013"/>
      <c r="M35" s="3013"/>
      <c r="N35" s="3014"/>
      <c r="O35" s="3015"/>
      <c r="P35" s="3014"/>
      <c r="Q35" s="3014"/>
      <c r="R35" s="3014"/>
      <c r="S35" s="3014"/>
      <c r="T35" s="3014"/>
      <c r="U35" s="3014"/>
    </row>
    <row r="36" spans="1:28">
      <c r="A36" s="3667"/>
      <c r="B36" s="3676" t="s">
        <v>2021</v>
      </c>
      <c r="C36" s="3677"/>
      <c r="D36" s="1675"/>
      <c r="E36" s="3678"/>
      <c r="F36" s="3678"/>
      <c r="G36" s="1581" t="str">
        <f>IF(B35="场地未平整","估价结果处理","")</f>
        <v/>
      </c>
      <c r="H36" s="3679"/>
      <c r="I36" s="3679"/>
      <c r="J36" s="3034"/>
      <c r="K36" s="3021"/>
      <c r="L36" s="3013"/>
      <c r="M36" s="3013"/>
      <c r="N36" s="3014"/>
      <c r="O36" s="3015"/>
      <c r="P36" s="3014"/>
      <c r="Q36" s="3014"/>
      <c r="R36" s="3014"/>
      <c r="S36" s="3014"/>
      <c r="T36" s="3014"/>
      <c r="U36" s="3014"/>
    </row>
    <row r="37" spans="1:28" ht="28.5">
      <c r="A37" s="3667"/>
      <c r="B37" s="3656"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67"/>
      <c r="B38" s="3657"/>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668"/>
      <c r="B39" s="3658"/>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39" t="s">
        <v>1952</v>
      </c>
      <c r="T40" s="1621" t="str">
        <f>NUMBERSTRING(7-K40,1)&amp;"通"</f>
        <v>七通</v>
      </c>
      <c r="U40" s="3014"/>
    </row>
    <row r="41" spans="1:28">
      <c r="A41" s="1560"/>
      <c r="B41" s="3672" t="s">
        <v>1696</v>
      </c>
      <c r="C41" s="3672"/>
      <c r="D41" s="3672"/>
      <c r="E41" s="3672"/>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39"/>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F16" sqref="F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B3/面积!K15</f>
        <v>1613.093525179856</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1613.09</v>
      </c>
      <c r="F6" s="27" t="s">
        <v>1</v>
      </c>
      <c r="G6" s="27" t="s">
        <v>2</v>
      </c>
      <c r="H6" s="33">
        <f>SUMIF(I$12:AB$12,"总值",I6:AB6)</f>
        <v>1613.09</v>
      </c>
      <c r="I6" s="27">
        <f t="shared" ref="I6:AB6" si="2">ROUND($A$3*I5/$B$3,2)</f>
        <v>1613.09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1613.09</v>
      </c>
      <c r="AZ6" s="27" t="s">
        <v>3</v>
      </c>
      <c r="BA6" s="27">
        <f>ROUND($AY$6*BA5/$AZ$5,2)</f>
        <v>1613.09</v>
      </c>
      <c r="BB6" s="27">
        <f>ROUND($AY$6*BB5/$AZ$5,2)</f>
        <v>1613.09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3481</v>
      </c>
      <c r="D13" s="2691" t="s">
        <v>1653</v>
      </c>
      <c r="E13" s="27">
        <f t="shared" ref="E13:E20" si="6">IF($C$3="是",ROUND($A$3*G13/$B$3,2),ROUND($A$3*(G13-AT13)/$B$3,2))</f>
        <v>629.5</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629.5</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3482</v>
      </c>
      <c r="D14" s="2691" t="s">
        <v>1653</v>
      </c>
      <c r="E14" s="27">
        <f t="shared" si="6"/>
        <v>609.1</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609.1</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3483</v>
      </c>
      <c r="D15" s="2691" t="s">
        <v>1653</v>
      </c>
      <c r="E15" s="27">
        <f t="shared" si="6"/>
        <v>374.5</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374.5</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0" t="s">
        <v>0</v>
      </c>
      <c r="B1" s="3680" t="s">
        <v>4</v>
      </c>
      <c r="C1" s="3680" t="s">
        <v>5</v>
      </c>
      <c r="D1" s="3681" t="s">
        <v>40</v>
      </c>
      <c r="E1" s="3681" t="s">
        <v>41</v>
      </c>
      <c r="F1" s="3681"/>
      <c r="G1" s="3681"/>
      <c r="H1" s="3681"/>
      <c r="I1" s="3681"/>
      <c r="J1" s="3681"/>
      <c r="K1" s="3681"/>
      <c r="L1" s="3681"/>
      <c r="M1" s="3681"/>
    </row>
    <row r="2" spans="1:13" ht="27" customHeight="1">
      <c r="A2" s="3680"/>
      <c r="B2" s="3680"/>
      <c r="C2" s="3680"/>
      <c r="D2" s="3681"/>
      <c r="E2" s="3681" t="s">
        <v>24</v>
      </c>
      <c r="F2" s="3681" t="s">
        <v>25</v>
      </c>
      <c r="G2" s="3681"/>
      <c r="H2" s="3681"/>
      <c r="I2" s="3681"/>
      <c r="J2" s="3681" t="s">
        <v>26</v>
      </c>
      <c r="K2" s="3681"/>
      <c r="L2" s="3681"/>
      <c r="M2" s="3681"/>
    </row>
    <row r="3" spans="1:13" ht="28.5">
      <c r="A3" s="3680"/>
      <c r="B3" s="3680"/>
      <c r="C3" s="3680"/>
      <c r="D3" s="3681"/>
      <c r="E3" s="36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1" t="s">
        <v>42</v>
      </c>
      <c r="B9" s="3681"/>
      <c r="C9" s="36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691" t="s">
        <v>203</v>
      </c>
      <c r="B2" s="3691"/>
      <c r="C2" s="3691"/>
      <c r="D2" s="1857" t="s">
        <v>204</v>
      </c>
      <c r="E2" s="106" t="s">
        <v>205</v>
      </c>
      <c r="F2" s="3043"/>
      <c r="G2" s="1162"/>
      <c r="H2" s="1163"/>
      <c r="I2" s="1164" t="s">
        <v>833</v>
      </c>
      <c r="J2" s="3043"/>
      <c r="K2" s="3043"/>
      <c r="L2" s="3043"/>
      <c r="M2" s="3043"/>
      <c r="N2" s="3043"/>
      <c r="O2" s="3043"/>
      <c r="P2" s="3043"/>
    </row>
    <row r="3" spans="1:16" ht="15.75" thickBot="1">
      <c r="A3" s="3692" t="s">
        <v>206</v>
      </c>
      <c r="B3" s="3692"/>
      <c r="C3" s="3692"/>
      <c r="D3" s="107">
        <f>'数据-基础表'!AY6</f>
        <v>1613.09</v>
      </c>
      <c r="E3" s="107">
        <f>'数据-基础表'!AZ5</f>
        <v>8968.7999999999993</v>
      </c>
      <c r="F3" s="3043"/>
      <c r="G3" s="277" t="s">
        <v>834</v>
      </c>
      <c r="H3" s="272" t="s">
        <v>835</v>
      </c>
      <c r="I3" s="1858">
        <f>ROUND('数据-基础表'!B3/'数据-基础表'!A3,2)</f>
        <v>5.56</v>
      </c>
      <c r="J3" s="3043"/>
      <c r="K3" s="3043"/>
      <c r="L3" s="3043"/>
      <c r="M3" s="3043"/>
      <c r="N3" s="3043"/>
      <c r="O3" s="3043"/>
      <c r="P3" s="3043"/>
    </row>
    <row r="4" spans="1:16" ht="15">
      <c r="A4" s="3693"/>
      <c r="B4" s="3694"/>
      <c r="C4" s="3695"/>
      <c r="D4" s="108" t="s">
        <v>204</v>
      </c>
      <c r="E4" s="109" t="s">
        <v>205</v>
      </c>
      <c r="F4" s="3043"/>
      <c r="G4" s="1165"/>
      <c r="H4" s="272" t="s">
        <v>836</v>
      </c>
      <c r="I4" s="1858">
        <f>ROUND(SUMIF('数据-基础表'!I9:AS9,"地上",'数据-基础表'!I5:AS5)/'数据-基础表'!A3,2)</f>
        <v>5.56</v>
      </c>
      <c r="J4" s="3043"/>
      <c r="K4" s="3043"/>
      <c r="L4" s="3043"/>
      <c r="M4" s="3043"/>
      <c r="N4" s="3043"/>
      <c r="O4" s="3043"/>
      <c r="P4" s="3043"/>
    </row>
    <row r="5" spans="1:16">
      <c r="A5" s="110" t="s">
        <v>207</v>
      </c>
      <c r="B5" s="3696" t="s">
        <v>230</v>
      </c>
      <c r="C5" s="3696"/>
      <c r="D5" s="111">
        <f>ROUND($D$3*E5/$E$3,2)</f>
        <v>0</v>
      </c>
      <c r="E5" s="112">
        <f>SUMIF('数据-基础表'!$11:$11,"住宅",'数据-基础表'!$5:$5)</f>
        <v>0</v>
      </c>
      <c r="F5" s="3043"/>
      <c r="G5" s="277" t="s">
        <v>837</v>
      </c>
      <c r="H5" s="272" t="s">
        <v>835</v>
      </c>
      <c r="I5" s="1858">
        <f>ROUND(E31/D31,2)</f>
        <v>5.56</v>
      </c>
      <c r="J5" s="3043"/>
      <c r="K5" s="3043"/>
      <c r="L5" s="3043"/>
      <c r="M5" s="3043"/>
      <c r="N5" s="3043"/>
      <c r="O5" s="3043"/>
      <c r="P5" s="3043"/>
    </row>
    <row r="6" spans="1:16" ht="15" thickBot="1">
      <c r="A6" s="113"/>
      <c r="B6" s="3696" t="s">
        <v>208</v>
      </c>
      <c r="C6" s="3696"/>
      <c r="D6" s="111">
        <f>ROUND($D$3*E6/$E$3,2)</f>
        <v>1613.09</v>
      </c>
      <c r="E6" s="112">
        <f>E3-E5</f>
        <v>8968.7999999999993</v>
      </c>
      <c r="F6" s="3043"/>
      <c r="G6" s="1165"/>
      <c r="H6" s="272" t="s">
        <v>836</v>
      </c>
      <c r="I6" s="1858">
        <f>ROUND(F31/D31,2)</f>
        <v>5.56</v>
      </c>
      <c r="J6" s="3043"/>
      <c r="K6" s="3043"/>
      <c r="L6" s="3043"/>
      <c r="M6" s="3043"/>
      <c r="N6" s="3043"/>
      <c r="O6" s="3043"/>
      <c r="P6" s="3043"/>
    </row>
    <row r="7" spans="1:16" ht="15">
      <c r="A7" s="3688"/>
      <c r="B7" s="3689"/>
      <c r="C7" s="3690"/>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1613.09</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1613.09</v>
      </c>
      <c r="E16" s="120">
        <f>SUM(E8:E15)</f>
        <v>8968.7999999999993</v>
      </c>
      <c r="F16" s="3043"/>
      <c r="G16" s="3044"/>
      <c r="H16" s="937" t="s">
        <v>219</v>
      </c>
      <c r="I16" s="938"/>
      <c r="J16" s="1866"/>
      <c r="K16" s="3682" t="s">
        <v>2520</v>
      </c>
      <c r="L16" s="3683"/>
      <c r="M16" s="3683"/>
      <c r="N16" s="3683"/>
      <c r="O16" s="3683"/>
      <c r="P16" s="3684"/>
    </row>
    <row r="17" spans="1:19" ht="15">
      <c r="A17" s="121" t="s">
        <v>216</v>
      </c>
      <c r="B17" s="122" t="s">
        <v>217</v>
      </c>
      <c r="C17" s="2145" t="s">
        <v>2278</v>
      </c>
      <c r="D17" s="108" t="s">
        <v>204</v>
      </c>
      <c r="E17" s="124" t="s">
        <v>205</v>
      </c>
      <c r="F17" s="125"/>
      <c r="G17" s="1291"/>
      <c r="H17" s="939" t="s">
        <v>218</v>
      </c>
      <c r="I17" s="940" t="s">
        <v>2277</v>
      </c>
      <c r="J17" s="1866"/>
      <c r="K17" s="3685" t="s">
        <v>2521</v>
      </c>
      <c r="L17" s="3686"/>
      <c r="M17" s="3687"/>
      <c r="N17" s="3685" t="s">
        <v>2522</v>
      </c>
      <c r="O17" s="3686"/>
      <c r="P17" s="3687"/>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3473</v>
      </c>
      <c r="D19" s="111">
        <f t="shared" ref="D19:D26" si="1">ROUND($D$3*E19/$E$3,2)</f>
        <v>1613.09</v>
      </c>
      <c r="E19" s="134">
        <f t="shared" ref="E19:E26" si="2">SUM(F19:G19)</f>
        <v>8968.7999999999993</v>
      </c>
      <c r="F19" s="3454">
        <f>'数据-基础表'!I5</f>
        <v>8968.7999999999993</v>
      </c>
      <c r="G19" s="3046"/>
      <c r="H19" s="943">
        <f>ROUND($D$3*I19/$E$3,2)</f>
        <v>1613.09</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3226.18</v>
      </c>
      <c r="S19" s="2148">
        <f t="shared" si="4"/>
        <v>17937.599999999999</v>
      </c>
    </row>
    <row r="20" spans="1:19">
      <c r="A20" s="137"/>
      <c r="B20" s="115" t="s">
        <v>226</v>
      </c>
      <c r="D20" s="111">
        <f t="shared" si="1"/>
        <v>0</v>
      </c>
      <c r="E20" s="134">
        <f t="shared" si="2"/>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1613.09</v>
      </c>
      <c r="E27" s="141">
        <f>IF(SUM(E19:E26)='数据-基础表'!BA5,SUM(E19:E26),IF(F27="地上面积有误","面积有误","地下面积有误"))</f>
        <v>8968.7999999999993</v>
      </c>
      <c r="F27" s="134">
        <f>IF(SUM(F19:F26)=E8,SUM(F19:F26),"地上面积有误")</f>
        <v>8968.7999999999993</v>
      </c>
      <c r="G27" s="112">
        <f>SUM(G19:G26)</f>
        <v>0</v>
      </c>
      <c r="H27" s="944">
        <f>SUM(H19:H26)</f>
        <v>1613.09</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3226.18误差1613.09</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1613.09</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6" activePane="bottomRight" state="frozen"/>
      <selection activeCell="B34" sqref="B34"/>
      <selection pane="topRight" activeCell="B34" sqref="B34"/>
      <selection pane="bottomLeft" activeCell="B34" sqref="B34"/>
      <selection pane="bottomRight" activeCell="L11" sqref="L11"/>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3484</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7"/>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8"/>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3289</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6">
        <v>3000</v>
      </c>
      <c r="M7" s="175">
        <f t="shared" si="0"/>
        <v>2691</v>
      </c>
      <c r="N7" s="2703">
        <v>0.6</v>
      </c>
      <c r="O7" s="175" t="str">
        <f t="shared" ref="O7:O14" si="3">IF($N$5="成新度","——",ROUND(M7*N7,0))</f>
        <v>——</v>
      </c>
      <c r="P7" s="176" t="str">
        <f t="shared" ref="P7:P14" si="4">IF($N$5="成新度","——",M7-O7)</f>
        <v>——</v>
      </c>
      <c r="Q7" s="2704">
        <v>0.2</v>
      </c>
      <c r="R7" s="177">
        <f>'数据-汇总表'!H19</f>
        <v>1613.09</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8">
        <v>5.5</v>
      </c>
      <c r="V7" s="179">
        <v>0</v>
      </c>
      <c r="W7" s="179">
        <v>0.05</v>
      </c>
      <c r="X7" s="2168"/>
      <c r="Y7" s="180">
        <v>1</v>
      </c>
      <c r="Z7" s="181"/>
      <c r="AA7" s="174"/>
      <c r="AB7" s="174"/>
      <c r="AC7" s="2171"/>
      <c r="AD7" s="182"/>
      <c r="AE7" s="941">
        <v>50</v>
      </c>
      <c r="AF7" s="139"/>
      <c r="AG7" s="1177">
        <f t="shared" ref="AG7:AG13" si="6">IF(AF7="",0,AE7-AF7)</f>
        <v>0</v>
      </c>
      <c r="AH7" s="3486">
        <f>'数据-汇总表'!E19</f>
        <v>8968.7999999999993</v>
      </c>
      <c r="AI7" s="185">
        <v>365</v>
      </c>
      <c r="AJ7" s="186"/>
      <c r="AK7" s="187">
        <v>1.4999999999999999E-2</v>
      </c>
      <c r="AL7" s="188">
        <v>1.5E-3</v>
      </c>
      <c r="AM7" s="2212">
        <v>1.4999999999999999E-2</v>
      </c>
      <c r="AN7" s="2214" t="s">
        <v>3290</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0.6</v>
      </c>
      <c r="O16" s="203">
        <f>SUM(O6:O14)</f>
        <v>0</v>
      </c>
      <c r="P16" s="203">
        <f>SUM(P6:P14)</f>
        <v>0</v>
      </c>
      <c r="Q16" s="205">
        <f>ROUND(SUMPRODUCT(Q6:Q13,K6:K13)/SUMPRODUCT((Q6:Q13&gt;0)*(K6:K13)),2)</f>
        <v>0.2</v>
      </c>
      <c r="R16" s="2158">
        <f>SUM(R6:R13)</f>
        <v>1613.09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2</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2</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697" t="s">
        <v>1638</v>
      </c>
      <c r="B1" s="3698"/>
      <c r="C1" s="3698"/>
      <c r="D1" s="3698"/>
      <c r="E1" s="3698"/>
      <c r="F1" s="3698"/>
      <c r="G1" s="3698"/>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43" t="str">
        <f>项目基本情况!K2</f>
        <v>北京市出让国有建设用地使用权</v>
      </c>
      <c r="B2" s="3744"/>
      <c r="C2" s="3745"/>
      <c r="D2" s="3745"/>
      <c r="E2" s="3745"/>
      <c r="F2" s="3745"/>
      <c r="G2" s="3744"/>
      <c r="H2" s="3744"/>
      <c r="I2" s="3746"/>
      <c r="J2" s="1881"/>
      <c r="K2" s="1880"/>
      <c r="L2" s="1880"/>
      <c r="M2" s="1880"/>
      <c r="N2" s="1880"/>
      <c r="O2" s="1880"/>
      <c r="P2" s="1880"/>
      <c r="Q2" s="1880"/>
      <c r="R2" s="1880"/>
      <c r="S2" s="1880"/>
      <c r="T2" s="1880"/>
      <c r="U2" s="1880"/>
      <c r="V2" s="1880"/>
    </row>
    <row r="3" spans="1:22" ht="14.25">
      <c r="A3" s="3754" t="s">
        <v>298</v>
      </c>
      <c r="B3" s="3755"/>
      <c r="C3" s="3755"/>
      <c r="D3" s="3755"/>
      <c r="E3" s="3755"/>
      <c r="F3" s="3755"/>
      <c r="G3" s="3755"/>
      <c r="H3" s="3755"/>
      <c r="I3" s="3755"/>
      <c r="J3" s="1881"/>
      <c r="K3" s="1880"/>
      <c r="L3" s="1880"/>
      <c r="M3" s="1880"/>
      <c r="N3" s="1880"/>
      <c r="O3" s="1880"/>
      <c r="P3" s="1880"/>
      <c r="Q3" s="1880"/>
      <c r="R3" s="1880"/>
      <c r="S3" s="1880"/>
      <c r="T3" s="1880"/>
      <c r="U3" s="1880"/>
      <c r="V3" s="1880"/>
    </row>
    <row r="4" spans="1:22" ht="14.25">
      <c r="A4" s="255" t="s">
        <v>299</v>
      </c>
      <c r="B4" s="256" t="s">
        <v>300</v>
      </c>
      <c r="C4" s="257"/>
      <c r="D4" s="257"/>
      <c r="E4" s="3718" t="s">
        <v>301</v>
      </c>
      <c r="F4" s="3760"/>
      <c r="G4" s="3760"/>
      <c r="H4" s="3760"/>
      <c r="I4" s="3719"/>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47" t="s">
        <v>302</v>
      </c>
      <c r="B5" s="3748">
        <v>25</v>
      </c>
      <c r="C5" s="3756"/>
      <c r="D5" s="3759"/>
      <c r="E5" s="258" t="s">
        <v>303</v>
      </c>
      <c r="F5" s="259"/>
      <c r="G5" s="259"/>
      <c r="H5" s="259"/>
      <c r="I5" s="260"/>
      <c r="J5" s="1881"/>
      <c r="K5" s="1880"/>
      <c r="L5" s="1880"/>
      <c r="M5" s="1880"/>
      <c r="N5" s="1880"/>
      <c r="O5" s="1880"/>
      <c r="P5" s="1880"/>
      <c r="Q5" s="1880"/>
      <c r="R5" s="1880"/>
      <c r="S5" s="1880"/>
      <c r="T5" s="1880"/>
      <c r="U5" s="1880"/>
      <c r="V5" s="1880"/>
    </row>
    <row r="6" spans="1:22" ht="14.25">
      <c r="A6" s="3747"/>
      <c r="B6" s="3748"/>
      <c r="C6" s="3757"/>
      <c r="D6" s="3759"/>
      <c r="E6" s="258" t="s">
        <v>304</v>
      </c>
      <c r="F6" s="259"/>
      <c r="G6" s="259"/>
      <c r="H6" s="259"/>
      <c r="I6" s="260"/>
      <c r="J6" s="1881"/>
      <c r="K6" s="1880"/>
      <c r="L6" s="1880"/>
      <c r="M6" s="1880"/>
      <c r="N6" s="1880"/>
      <c r="O6" s="1880"/>
      <c r="P6" s="1880"/>
      <c r="Q6" s="1880"/>
      <c r="R6" s="1880"/>
      <c r="S6" s="1880"/>
      <c r="T6" s="1880"/>
      <c r="U6" s="1880"/>
      <c r="V6" s="1880"/>
    </row>
    <row r="7" spans="1:22" ht="14.25">
      <c r="A7" s="3747"/>
      <c r="B7" s="3748"/>
      <c r="C7" s="3758"/>
      <c r="D7" s="3759"/>
      <c r="E7" s="258" t="s">
        <v>305</v>
      </c>
      <c r="F7" s="259"/>
      <c r="G7" s="259"/>
      <c r="H7" s="259"/>
      <c r="I7" s="260"/>
      <c r="J7" s="1881"/>
      <c r="K7" s="1880"/>
      <c r="L7" s="1880"/>
      <c r="M7" s="1880"/>
      <c r="N7" s="1880"/>
      <c r="O7" s="1880"/>
      <c r="P7" s="1880"/>
      <c r="Q7" s="1880"/>
      <c r="R7" s="1880"/>
      <c r="S7" s="1880"/>
      <c r="T7" s="1880"/>
      <c r="U7" s="1880"/>
      <c r="V7" s="1880"/>
    </row>
    <row r="8" spans="1:22" ht="14.25">
      <c r="A8" s="3747" t="s">
        <v>306</v>
      </c>
      <c r="B8" s="3748">
        <v>15</v>
      </c>
      <c r="C8" s="3756"/>
      <c r="D8" s="3759"/>
      <c r="E8" s="258" t="s">
        <v>307</v>
      </c>
      <c r="F8" s="259"/>
      <c r="G8" s="259"/>
      <c r="H8" s="259"/>
      <c r="I8" s="260"/>
      <c r="J8" s="1881"/>
      <c r="K8" s="1880"/>
      <c r="L8" s="1880"/>
      <c r="M8" s="1880"/>
      <c r="N8" s="1880"/>
      <c r="O8" s="1880"/>
      <c r="P8" s="1880"/>
      <c r="Q8" s="1880"/>
      <c r="R8" s="1880"/>
      <c r="S8" s="1880"/>
      <c r="T8" s="1880"/>
      <c r="U8" s="1880"/>
      <c r="V8" s="1880"/>
    </row>
    <row r="9" spans="1:22" ht="14.25">
      <c r="A9" s="3747"/>
      <c r="B9" s="3748"/>
      <c r="C9" s="3758"/>
      <c r="D9" s="3759"/>
      <c r="E9" s="258" t="s">
        <v>308</v>
      </c>
      <c r="F9" s="259"/>
      <c r="G9" s="259"/>
      <c r="H9" s="259"/>
      <c r="I9" s="260"/>
      <c r="J9" s="1881"/>
      <c r="K9" s="1880"/>
      <c r="L9" s="1880"/>
      <c r="M9" s="1880"/>
      <c r="N9" s="1880"/>
      <c r="O9" s="1880"/>
      <c r="P9" s="1880"/>
      <c r="Q9" s="1880"/>
      <c r="R9" s="1880"/>
      <c r="S9" s="1880"/>
      <c r="T9" s="1880"/>
      <c r="U9" s="1880"/>
      <c r="V9" s="1880"/>
    </row>
    <row r="10" spans="1:22" ht="14.25">
      <c r="A10" s="3747" t="s">
        <v>309</v>
      </c>
      <c r="B10" s="3748">
        <v>15</v>
      </c>
      <c r="C10" s="3756"/>
      <c r="D10" s="3759"/>
      <c r="E10" s="258" t="s">
        <v>310</v>
      </c>
      <c r="F10" s="259"/>
      <c r="G10" s="259"/>
      <c r="H10" s="259"/>
      <c r="I10" s="260"/>
      <c r="J10" s="1881"/>
      <c r="K10" s="1880"/>
      <c r="L10" s="1880"/>
      <c r="M10" s="1880"/>
      <c r="N10" s="1880"/>
      <c r="O10" s="1880"/>
      <c r="P10" s="1880"/>
      <c r="Q10" s="1880"/>
      <c r="R10" s="1880"/>
      <c r="S10" s="1880"/>
      <c r="T10" s="1880"/>
      <c r="U10" s="1880"/>
      <c r="V10" s="1880"/>
    </row>
    <row r="11" spans="1:22" ht="14.25">
      <c r="A11" s="3747"/>
      <c r="B11" s="3748"/>
      <c r="C11" s="3758"/>
      <c r="D11" s="3759"/>
      <c r="E11" s="258" t="s">
        <v>311</v>
      </c>
      <c r="F11" s="259"/>
      <c r="G11" s="259"/>
      <c r="H11" s="259"/>
      <c r="I11" s="260"/>
      <c r="J11" s="1881"/>
      <c r="K11" s="1880"/>
      <c r="L11" s="1880"/>
      <c r="M11" s="1880"/>
      <c r="N11" s="1880"/>
      <c r="O11" s="1880"/>
      <c r="P11" s="1880"/>
      <c r="Q11" s="1880"/>
      <c r="R11" s="1880"/>
      <c r="S11" s="1880"/>
      <c r="T11" s="1880"/>
      <c r="U11" s="1880"/>
      <c r="V11" s="1880"/>
    </row>
    <row r="12" spans="1:22" ht="14.25">
      <c r="A12" s="3747" t="s">
        <v>312</v>
      </c>
      <c r="B12" s="3748">
        <v>15</v>
      </c>
      <c r="C12" s="3756"/>
      <c r="D12" s="3759"/>
      <c r="E12" s="258" t="s">
        <v>313</v>
      </c>
      <c r="F12" s="259"/>
      <c r="G12" s="259"/>
      <c r="H12" s="259"/>
      <c r="I12" s="260"/>
      <c r="J12" s="1881"/>
      <c r="K12" s="1880"/>
      <c r="L12" s="1880"/>
      <c r="M12" s="1880"/>
      <c r="N12" s="1880"/>
      <c r="O12" s="1880"/>
      <c r="P12" s="1880"/>
      <c r="Q12" s="1880"/>
      <c r="R12" s="1880"/>
      <c r="S12" s="1880"/>
      <c r="T12" s="1880"/>
      <c r="U12" s="1880"/>
      <c r="V12" s="1880"/>
    </row>
    <row r="13" spans="1:22" ht="14.25">
      <c r="A13" s="3747"/>
      <c r="B13" s="3748"/>
      <c r="C13" s="3758"/>
      <c r="D13" s="3759"/>
      <c r="E13" s="258" t="s">
        <v>314</v>
      </c>
      <c r="F13" s="259"/>
      <c r="G13" s="259"/>
      <c r="H13" s="259"/>
      <c r="I13" s="260"/>
      <c r="J13" s="1881"/>
      <c r="K13" s="1880"/>
      <c r="L13" s="1880"/>
      <c r="M13" s="1880"/>
      <c r="N13" s="1880"/>
      <c r="O13" s="1880"/>
      <c r="P13" s="1880"/>
      <c r="Q13" s="1880"/>
      <c r="R13" s="1880"/>
      <c r="S13" s="1880"/>
      <c r="T13" s="1880"/>
      <c r="U13" s="1880"/>
      <c r="V13" s="1880"/>
    </row>
    <row r="14" spans="1:22" ht="14.25">
      <c r="A14" s="3747" t="s">
        <v>315</v>
      </c>
      <c r="B14" s="3748">
        <v>30</v>
      </c>
      <c r="C14" s="3756"/>
      <c r="D14" s="3759"/>
      <c r="E14" s="258" t="s">
        <v>316</v>
      </c>
      <c r="F14" s="259"/>
      <c r="G14" s="259"/>
      <c r="H14" s="259"/>
      <c r="I14" s="260"/>
      <c r="J14" s="1881"/>
      <c r="K14" s="1880"/>
      <c r="L14" s="1880"/>
      <c r="M14" s="1880"/>
      <c r="N14" s="1880"/>
      <c r="O14" s="1880"/>
      <c r="P14" s="1880"/>
      <c r="Q14" s="1880"/>
      <c r="R14" s="1880"/>
      <c r="S14" s="1880"/>
      <c r="T14" s="1880"/>
      <c r="U14" s="1880"/>
      <c r="V14" s="1880"/>
    </row>
    <row r="15" spans="1:22" ht="14.25">
      <c r="A15" s="3747"/>
      <c r="B15" s="3748"/>
      <c r="C15" s="3757"/>
      <c r="D15" s="3759"/>
      <c r="E15" s="258" t="s">
        <v>317</v>
      </c>
      <c r="F15" s="259"/>
      <c r="G15" s="259"/>
      <c r="H15" s="259"/>
      <c r="I15" s="260"/>
      <c r="J15" s="1881"/>
      <c r="K15" s="1880"/>
      <c r="L15" s="1880"/>
      <c r="M15" s="1880"/>
      <c r="N15" s="1880"/>
      <c r="O15" s="1880"/>
      <c r="P15" s="1880"/>
      <c r="Q15" s="1880"/>
      <c r="R15" s="1880"/>
      <c r="S15" s="1880"/>
      <c r="T15" s="1880"/>
      <c r="U15" s="1880"/>
      <c r="V15" s="1880"/>
    </row>
    <row r="16" spans="1:22" ht="14.25">
      <c r="A16" s="3747"/>
      <c r="B16" s="3748"/>
      <c r="C16" s="3758"/>
      <c r="D16" s="3759"/>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61" t="s">
        <v>2930</v>
      </c>
      <c r="F18" s="3762"/>
      <c r="G18" s="3762"/>
      <c r="H18" s="3762"/>
      <c r="I18" s="3762"/>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20"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67"/>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63" t="s">
        <v>2932</v>
      </c>
      <c r="B31" s="3763"/>
      <c r="C31" s="3763"/>
      <c r="D31" s="3763"/>
      <c r="E31" s="3763"/>
      <c r="F31" s="3763"/>
      <c r="G31" s="3763"/>
      <c r="H31" s="3763"/>
      <c r="I31" s="3763"/>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20"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21"/>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22"/>
      <c r="F35" s="298" t="s">
        <v>342</v>
      </c>
      <c r="G35" s="951"/>
      <c r="H35" s="950" t="s">
        <v>343</v>
      </c>
      <c r="I35" s="308"/>
      <c r="J35" s="1880"/>
      <c r="K35" s="3726" t="s">
        <v>350</v>
      </c>
      <c r="L35" s="3726" t="s">
        <v>351</v>
      </c>
      <c r="M35" s="1199" t="s">
        <v>352</v>
      </c>
      <c r="N35" s="3726" t="s">
        <v>353</v>
      </c>
      <c r="O35" s="3726" t="s">
        <v>354</v>
      </c>
      <c r="P35" s="1880"/>
      <c r="V35" s="1880"/>
    </row>
    <row r="36" spans="1:26" ht="16.5" customHeight="1">
      <c r="A36" s="300" t="s">
        <v>344</v>
      </c>
      <c r="B36" s="301" t="s">
        <v>333</v>
      </c>
      <c r="C36" s="302" t="s">
        <v>345</v>
      </c>
      <c r="D36" s="302" t="s">
        <v>346</v>
      </c>
      <c r="E36" s="303" t="s">
        <v>347</v>
      </c>
      <c r="F36" s="308"/>
      <c r="G36" s="308"/>
      <c r="H36" s="308"/>
      <c r="I36" s="308"/>
      <c r="J36" s="1882"/>
      <c r="K36" s="3727"/>
      <c r="L36" s="3727"/>
      <c r="M36" s="1201" t="s">
        <v>355</v>
      </c>
      <c r="N36" s="3727"/>
      <c r="O36" s="3727"/>
      <c r="P36" s="1880"/>
      <c r="V36" s="1880"/>
    </row>
    <row r="37" spans="1:26" ht="16.5" customHeight="1" thickBot="1">
      <c r="A37" s="1195" t="s">
        <v>348</v>
      </c>
      <c r="B37" s="304"/>
      <c r="C37" s="291"/>
      <c r="D37" s="291"/>
      <c r="E37" s="292"/>
      <c r="F37" s="308"/>
      <c r="G37" s="308"/>
      <c r="H37" s="308"/>
      <c r="I37" s="308"/>
      <c r="J37" s="1882"/>
      <c r="K37" s="3728"/>
      <c r="L37" s="3728"/>
      <c r="M37" s="1202"/>
      <c r="N37" s="3728"/>
      <c r="O37" s="3728"/>
      <c r="P37" s="1880"/>
      <c r="V37" s="1880"/>
    </row>
    <row r="38" spans="1:26" ht="16.5" customHeight="1" thickBot="1">
      <c r="A38" s="1195" t="s">
        <v>349</v>
      </c>
      <c r="B38" s="304"/>
      <c r="C38" s="291"/>
      <c r="D38" s="291"/>
      <c r="E38" s="292"/>
      <c r="F38" s="308"/>
      <c r="G38" s="308"/>
      <c r="H38" s="308"/>
      <c r="I38" s="308"/>
      <c r="J38" s="1882"/>
      <c r="K38" s="1203">
        <f>'数据-汇总表'!D3</f>
        <v>1613.09</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39" t="str">
        <f>MID(A44,3,LEN(A44)-2)</f>
        <v/>
      </c>
      <c r="L39" s="3740"/>
      <c r="M39" s="3740"/>
      <c r="N39" s="3741"/>
      <c r="O39" s="1313" t="str">
        <f>C44</f>
        <v>——</v>
      </c>
      <c r="P39" s="1880"/>
      <c r="V39" s="1880"/>
    </row>
    <row r="40" spans="1:26" ht="19.5" thickBot="1">
      <c r="A40" s="104" t="s">
        <v>848</v>
      </c>
      <c r="B40" s="308"/>
      <c r="C40" s="308"/>
      <c r="D40" s="308"/>
      <c r="E40" s="308"/>
      <c r="F40" s="308"/>
      <c r="G40" s="308"/>
      <c r="H40" s="308"/>
      <c r="I40" s="308"/>
      <c r="J40" s="1882"/>
      <c r="K40" s="3739" t="str">
        <f t="shared" ref="K40:K41" si="0">MID(A45,3,LEN(A45)-2)</f>
        <v/>
      </c>
      <c r="L40" s="3740"/>
      <c r="M40" s="3740"/>
      <c r="N40" s="3741"/>
      <c r="O40" s="1313" t="str">
        <f>C45</f>
        <v>——</v>
      </c>
      <c r="P40" s="1880"/>
      <c r="V40" s="1880"/>
    </row>
    <row r="41" spans="1:26" ht="16.5" thickBot="1">
      <c r="A41" s="309" t="s">
        <v>356</v>
      </c>
      <c r="B41" s="310"/>
      <c r="C41" s="311" t="s">
        <v>357</v>
      </c>
      <c r="D41" s="312" t="s">
        <v>358</v>
      </c>
      <c r="E41" s="312" t="s">
        <v>359</v>
      </c>
      <c r="F41" s="313" t="s">
        <v>360</v>
      </c>
      <c r="G41" s="308"/>
      <c r="H41" s="308"/>
      <c r="I41" s="308"/>
      <c r="J41" s="1882"/>
      <c r="K41" s="3739" t="str">
        <f t="shared" si="0"/>
        <v/>
      </c>
      <c r="L41" s="3740"/>
      <c r="M41" s="3740"/>
      <c r="N41" s="3741"/>
      <c r="O41" s="1313" t="str">
        <f>C46</f>
        <v>——</v>
      </c>
      <c r="P41" s="1880"/>
      <c r="V41" s="1880"/>
    </row>
    <row r="42" spans="1:26" ht="29.25">
      <c r="A42" s="3768" t="s">
        <v>2034</v>
      </c>
      <c r="B42" s="3769"/>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78" t="s">
        <v>2683</v>
      </c>
      <c r="B43" s="3779"/>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68" t="str">
        <f>IF(OR(项目基本情况!E8="抵押价格",项目基本情况!E8="已注销及未注销"),"3.抵押价格","——")</f>
        <v>——</v>
      </c>
      <c r="B44" s="3769"/>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73" t="str">
        <f>IF(项目基本情况!E8="已注销及未注销","4.抵押担保权已注销时的抵押价格",IF(项目基本情况!E8="已注销","3.抵押担保权已注销时的抵押价格","——"))</f>
        <v>——</v>
      </c>
      <c r="B45" s="3774"/>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70" t="str">
        <f>IF(项目基本情况!E9="抵押净值",IF(A45="——","4.抵押净值","5.抵押净值"),"——")</f>
        <v>——</v>
      </c>
      <c r="B46" s="3771"/>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31" t="s">
        <v>374</v>
      </c>
      <c r="B63" s="3732"/>
      <c r="C63" s="3733"/>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75" t="s">
        <v>378</v>
      </c>
      <c r="B64" s="3776"/>
      <c r="C64" s="3776"/>
      <c r="D64" s="3776"/>
      <c r="E64" s="3776"/>
      <c r="F64" s="3776"/>
      <c r="G64" s="3777"/>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72" t="s">
        <v>386</v>
      </c>
      <c r="B66" s="3738"/>
      <c r="C66" s="3738"/>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699" t="s">
        <v>385</v>
      </c>
      <c r="M66" s="3700"/>
      <c r="N66" s="2280"/>
      <c r="O66" s="2281"/>
      <c r="P66" s="2282"/>
      <c r="Q66" s="1880"/>
      <c r="R66" s="1880"/>
      <c r="S66" s="1880"/>
      <c r="T66" s="1880"/>
      <c r="U66" s="1880"/>
      <c r="V66" s="1880"/>
    </row>
    <row r="67" spans="1:22" ht="25.5" customHeight="1">
      <c r="A67" s="349" t="s">
        <v>389</v>
      </c>
      <c r="B67" s="3750" t="s">
        <v>390</v>
      </c>
      <c r="C67" s="3750"/>
      <c r="D67" s="350">
        <v>0</v>
      </c>
      <c r="E67" s="41" t="s">
        <v>391</v>
      </c>
      <c r="F67" s="62" t="s">
        <v>21</v>
      </c>
      <c r="G67" s="3734"/>
      <c r="H67" s="2967" t="s">
        <v>2933</v>
      </c>
      <c r="I67" s="2969"/>
      <c r="J67" s="1887"/>
      <c r="K67" s="1859">
        <v>2</v>
      </c>
      <c r="L67" s="3704" t="s">
        <v>388</v>
      </c>
      <c r="M67" s="3704"/>
      <c r="N67" s="1260">
        <f>'数据-取费表'!B2</f>
        <v>44651</v>
      </c>
      <c r="O67" s="1260"/>
      <c r="P67" s="1260"/>
      <c r="Q67" s="1880"/>
      <c r="R67" s="1880"/>
      <c r="S67" s="1880"/>
      <c r="T67" s="1880"/>
      <c r="U67" s="1880"/>
      <c r="V67" s="1880"/>
    </row>
    <row r="68" spans="1:22" ht="25.5" customHeight="1">
      <c r="A68" s="351"/>
      <c r="B68" s="3750" t="s">
        <v>393</v>
      </c>
      <c r="C68" s="3750"/>
      <c r="D68" s="352"/>
      <c r="E68" s="77"/>
      <c r="F68" s="353"/>
      <c r="G68" s="3735"/>
      <c r="H68" s="2968" t="s">
        <v>2934</v>
      </c>
      <c r="I68" s="2969"/>
      <c r="J68" s="1887"/>
      <c r="K68" s="1859">
        <v>3</v>
      </c>
      <c r="L68" s="3704" t="s">
        <v>392</v>
      </c>
      <c r="M68" s="3704"/>
      <c r="N68" s="1228" t="e">
        <f ca="1">C42</f>
        <v>#REF!</v>
      </c>
      <c r="O68" s="1228"/>
      <c r="P68" s="1228"/>
      <c r="Q68" s="1880"/>
      <c r="R68" s="1880"/>
      <c r="S68" s="1880"/>
      <c r="T68" s="1880"/>
      <c r="U68" s="1880"/>
      <c r="V68" s="1880"/>
    </row>
    <row r="69" spans="1:22" ht="23.45" customHeight="1">
      <c r="A69" s="354"/>
      <c r="B69" s="3750" t="s">
        <v>394</v>
      </c>
      <c r="C69" s="3750"/>
      <c r="D69" s="355"/>
      <c r="E69" s="73"/>
      <c r="F69" s="353"/>
      <c r="G69" s="3736"/>
      <c r="H69" s="2968" t="s">
        <v>2935</v>
      </c>
      <c r="I69" s="2969"/>
      <c r="J69" s="1887"/>
      <c r="K69" s="1229">
        <v>4</v>
      </c>
      <c r="L69" s="3705" t="s">
        <v>2832</v>
      </c>
      <c r="M69" s="3706"/>
      <c r="N69" s="1230" t="str">
        <f>C44</f>
        <v>——</v>
      </c>
      <c r="O69" s="1230"/>
      <c r="P69" s="1230"/>
      <c r="Q69" s="1880"/>
      <c r="R69" s="1880"/>
      <c r="S69" s="1880"/>
      <c r="T69" s="1880"/>
      <c r="U69" s="1880"/>
      <c r="V69" s="1880"/>
    </row>
    <row r="70" spans="1:22" ht="24" customHeight="1">
      <c r="A70" s="356" t="s">
        <v>395</v>
      </c>
      <c r="B70" s="3750" t="s">
        <v>396</v>
      </c>
      <c r="C70" s="3750"/>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49" t="s">
        <v>2964</v>
      </c>
      <c r="C71" s="3766"/>
      <c r="D71" s="355" t="e">
        <f ca="1">ROUND(D63*'数据-取费表'!B41/(1+'数据-取费表'!C42),0)</f>
        <v>#REF!</v>
      </c>
      <c r="E71" s="17" t="s">
        <v>397</v>
      </c>
      <c r="F71" s="357">
        <f>'数据-取费表'!B41</f>
        <v>5.6000000000000001E-2</v>
      </c>
      <c r="G71" s="358"/>
      <c r="H71" s="308"/>
      <c r="I71" s="1227"/>
      <c r="J71" s="1887"/>
      <c r="K71" s="2725" t="s">
        <v>398</v>
      </c>
      <c r="L71" s="3707" t="s">
        <v>399</v>
      </c>
      <c r="M71" s="3707"/>
      <c r="N71" s="2725" t="s">
        <v>400</v>
      </c>
      <c r="O71" s="2725" t="s">
        <v>401</v>
      </c>
      <c r="P71" s="2725" t="s">
        <v>402</v>
      </c>
      <c r="Q71" s="1880"/>
      <c r="R71" s="1880"/>
      <c r="S71" s="1880"/>
      <c r="T71" s="1880"/>
      <c r="U71" s="1880"/>
      <c r="V71" s="1880"/>
    </row>
    <row r="72" spans="1:22" ht="12" customHeight="1">
      <c r="A72" s="356" t="s">
        <v>405</v>
      </c>
      <c r="B72" s="3749" t="s">
        <v>2965</v>
      </c>
      <c r="C72" s="3766"/>
      <c r="D72" s="355" t="e">
        <f ca="1">C86</f>
        <v>#REF!</v>
      </c>
      <c r="E72" s="73" t="s">
        <v>406</v>
      </c>
      <c r="F72" s="357">
        <f>'数据-取费表'!B41</f>
        <v>5.6000000000000001E-2</v>
      </c>
      <c r="G72" s="358"/>
      <c r="H72" s="1233"/>
      <c r="I72" s="1227"/>
      <c r="J72" s="1887"/>
      <c r="K72" s="1859">
        <v>1</v>
      </c>
      <c r="L72" s="3703" t="s">
        <v>404</v>
      </c>
      <c r="M72" s="3703"/>
      <c r="N72" s="1231" t="b">
        <f>D66</f>
        <v>0</v>
      </c>
      <c r="O72" s="1743" t="str">
        <f>E66</f>
        <v>销售额×税（费）率</v>
      </c>
      <c r="P72" s="1232">
        <f>F66</f>
        <v>5.6000000000000001E-2</v>
      </c>
      <c r="Q72" s="1880"/>
      <c r="R72" s="1880"/>
      <c r="S72" s="1880"/>
      <c r="T72" s="1880"/>
      <c r="U72" s="1880"/>
      <c r="V72" s="1880"/>
    </row>
    <row r="73" spans="1:22" ht="24" customHeight="1">
      <c r="A73" s="3737" t="s">
        <v>408</v>
      </c>
      <c r="B73" s="3738"/>
      <c r="C73" s="3738"/>
      <c r="D73" s="359" t="e">
        <f ca="1">IF(H73="个人住宅",0,ROUND(D63*I73,0))</f>
        <v>#REF!</v>
      </c>
      <c r="E73" s="17" t="s">
        <v>409</v>
      </c>
      <c r="F73" s="357" t="str">
        <f>IF(H73="正常",I73,"免征")</f>
        <v>免征</v>
      </c>
      <c r="G73" s="358"/>
      <c r="H73" s="189"/>
      <c r="I73" s="357">
        <f>'数据-取费表'!B49</f>
        <v>5.0000000000000001E-4</v>
      </c>
      <c r="J73" s="1887"/>
      <c r="K73" s="1859">
        <v>2</v>
      </c>
      <c r="L73" s="3703" t="s">
        <v>407</v>
      </c>
      <c r="M73" s="3703"/>
      <c r="N73" s="1231" t="e">
        <f t="shared" ref="N73:P74" ca="1" si="1">D73</f>
        <v>#REF!</v>
      </c>
      <c r="O73" s="1743" t="str">
        <f t="shared" si="1"/>
        <v>销售额×税（费）率</v>
      </c>
      <c r="P73" s="1232" t="str">
        <f t="shared" si="1"/>
        <v>免征</v>
      </c>
      <c r="Q73" s="1880"/>
      <c r="R73" s="1880"/>
      <c r="S73" s="1880"/>
      <c r="T73" s="1880"/>
      <c r="U73" s="1880"/>
      <c r="V73" s="1880"/>
    </row>
    <row r="74" spans="1:22" ht="24.75">
      <c r="A74" s="3737" t="s">
        <v>411</v>
      </c>
      <c r="B74" s="3738"/>
      <c r="C74" s="3738"/>
      <c r="D74" s="359" t="e">
        <f ca="1">IF(H74="个人住宅",D75,D76)</f>
        <v>#REF!</v>
      </c>
      <c r="E74" s="17" t="s">
        <v>412</v>
      </c>
      <c r="F74" s="357" t="str">
        <f>IF(H74="正常",F76,"免征")</f>
        <v>免征</v>
      </c>
      <c r="G74" s="952" t="s">
        <v>413</v>
      </c>
      <c r="H74" s="360"/>
      <c r="I74" s="42"/>
      <c r="J74" s="1887"/>
      <c r="K74" s="1859">
        <v>3</v>
      </c>
      <c r="L74" s="3703" t="s">
        <v>410</v>
      </c>
      <c r="M74" s="3703"/>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18" t="s">
        <v>415</v>
      </c>
      <c r="C75" s="3719"/>
      <c r="D75" s="361">
        <v>0</v>
      </c>
      <c r="E75" s="41" t="s">
        <v>416</v>
      </c>
      <c r="F75" s="362"/>
      <c r="G75" s="358"/>
      <c r="H75" s="42"/>
      <c r="I75" s="42"/>
      <c r="J75" s="1887"/>
      <c r="K75" s="2719">
        <f>IF(H77="非个人房产","",4)</f>
        <v>4</v>
      </c>
      <c r="L75" s="3703" t="str">
        <f>IF(H77="非个人房产","——","个人所得税")</f>
        <v>个人所得税</v>
      </c>
      <c r="M75" s="3703"/>
      <c r="N75" s="1235">
        <f>D77</f>
        <v>0</v>
      </c>
      <c r="O75" s="1756" t="str">
        <f>E77</f>
        <v>差额计税</v>
      </c>
      <c r="P75" s="1236">
        <f>F77</f>
        <v>0.01</v>
      </c>
      <c r="Q75" s="1880"/>
      <c r="R75" s="1880"/>
      <c r="S75" s="1880"/>
      <c r="T75" s="1880"/>
      <c r="U75" s="1880"/>
      <c r="V75" s="1880"/>
    </row>
    <row r="76" spans="1:22" ht="24.75">
      <c r="A76" s="356" t="s">
        <v>395</v>
      </c>
      <c r="B76" s="3718" t="s">
        <v>418</v>
      </c>
      <c r="C76" s="3760"/>
      <c r="D76" s="359" t="e">
        <f ca="1">IF(H76="转让取得",C99,C115)</f>
        <v>#REF!</v>
      </c>
      <c r="E76" s="17" t="s">
        <v>419</v>
      </c>
      <c r="F76" s="53" t="s">
        <v>21</v>
      </c>
      <c r="G76" s="358"/>
      <c r="H76" s="360"/>
      <c r="I76" s="42"/>
      <c r="J76" s="1887"/>
      <c r="K76" s="2719" t="str">
        <f>IF(项目基本情况!K6="上海银行",IF(K75="",4,K75+1),"")</f>
        <v/>
      </c>
      <c r="L76" s="3714" t="str">
        <f>IF(项目基本情况!K6="上海银行","其他处置费用","")</f>
        <v/>
      </c>
      <c r="M76" s="3715"/>
      <c r="N76" s="1231" t="str">
        <f>IF(项目基本情况!K6="上海银行",N89,"")</f>
        <v/>
      </c>
      <c r="O76" s="3716" t="str">
        <f>IF(项目基本情况!K6="上海银行","包含处置中涉及的律师、诉讼、拍卖、评估等费用","")</f>
        <v/>
      </c>
      <c r="P76" s="3717"/>
      <c r="Q76" s="1880"/>
      <c r="R76" s="1880"/>
      <c r="S76" s="1880"/>
      <c r="T76" s="1880"/>
      <c r="U76" s="1880"/>
      <c r="V76" s="1880"/>
    </row>
    <row r="77" spans="1:22" ht="24.75" thickBot="1">
      <c r="A77" s="3729" t="s">
        <v>421</v>
      </c>
      <c r="B77" s="3730"/>
      <c r="C77" s="3730"/>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25">
        <f>IF(AND(K75="",K76=""),4,IF(项目基本情况!K6="上海银行",K76+1,K75+1))</f>
        <v>5</v>
      </c>
      <c r="L77" s="3703"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25"/>
      <c r="L78" s="3703"/>
      <c r="M78" s="2724" t="s">
        <v>420</v>
      </c>
      <c r="N78" s="1237"/>
      <c r="O78" s="1238" t="str">
        <f ca="1">NUMBERSTRING(INT(O77*10000),2)&amp;"元整"</f>
        <v>零元整</v>
      </c>
      <c r="P78" s="1239"/>
      <c r="Q78" s="1880"/>
      <c r="R78" s="1880"/>
      <c r="S78" s="1880"/>
      <c r="T78" s="1880"/>
      <c r="U78" s="1880"/>
      <c r="V78" s="1880"/>
    </row>
    <row r="79" spans="1:22" ht="13.5" thickBot="1">
      <c r="A79" s="3780" t="s">
        <v>422</v>
      </c>
      <c r="B79" s="3780"/>
      <c r="C79" s="3780"/>
      <c r="D79" s="3780"/>
      <c r="E79" s="3780"/>
      <c r="F79" s="42"/>
      <c r="G79" s="42"/>
      <c r="H79" s="972"/>
      <c r="I79" s="308"/>
      <c r="J79" s="1887"/>
      <c r="K79" s="3701">
        <f>K77+1</f>
        <v>6</v>
      </c>
      <c r="L79" s="3703" t="s">
        <v>2834</v>
      </c>
      <c r="M79" s="2724" t="s">
        <v>417</v>
      </c>
      <c r="N79" s="1237"/>
      <c r="O79" s="1238" t="e">
        <f ca="1">N69-O77</f>
        <v>#VALUE!</v>
      </c>
      <c r="P79" s="1239"/>
      <c r="Q79" s="1880"/>
      <c r="R79" s="1880"/>
      <c r="S79" s="1880"/>
      <c r="T79" s="1880"/>
      <c r="U79" s="1880"/>
      <c r="V79" s="1880"/>
    </row>
    <row r="80" spans="1:22" ht="12.75">
      <c r="A80" s="3711" t="s">
        <v>423</v>
      </c>
      <c r="B80" s="3712"/>
      <c r="C80" s="963"/>
      <c r="D80" s="963" t="s">
        <v>424</v>
      </c>
      <c r="E80" s="363" t="s">
        <v>425</v>
      </c>
      <c r="F80" s="42"/>
      <c r="G80" s="42"/>
      <c r="H80" s="972"/>
      <c r="I80" s="308"/>
      <c r="J80" s="1880"/>
      <c r="K80" s="3702"/>
      <c r="L80" s="3703"/>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23" t="s">
        <v>2835</v>
      </c>
      <c r="M81" s="3724"/>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13"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13"/>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13"/>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13"/>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13"/>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52" t="s">
        <v>432</v>
      </c>
      <c r="B88" s="3753"/>
      <c r="C88" s="3753"/>
      <c r="D88" s="3753"/>
      <c r="E88" s="3753"/>
      <c r="F88" s="3753"/>
      <c r="G88" s="3753"/>
      <c r="H88" s="3753"/>
      <c r="I88" s="1250"/>
      <c r="J88" s="1888"/>
      <c r="K88" s="3713"/>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11" t="s">
        <v>423</v>
      </c>
      <c r="B89" s="3712"/>
      <c r="C89" s="963"/>
      <c r="D89" s="963" t="s">
        <v>424</v>
      </c>
      <c r="E89" s="384" t="s">
        <v>433</v>
      </c>
      <c r="F89" s="385"/>
      <c r="G89" s="385"/>
      <c r="H89" s="386"/>
      <c r="I89" s="1251"/>
      <c r="J89" s="1890"/>
      <c r="K89" s="3713"/>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49" t="s">
        <v>441</v>
      </c>
      <c r="F94" s="3750"/>
      <c r="G94" s="3750"/>
      <c r="H94" s="3751"/>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08" t="s">
        <v>2390</v>
      </c>
      <c r="F96" s="3709"/>
      <c r="G96" s="3709"/>
      <c r="H96" s="3710"/>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52" t="s">
        <v>448</v>
      </c>
      <c r="B101" s="3753"/>
      <c r="C101" s="3753"/>
      <c r="D101" s="3753"/>
      <c r="E101" s="3753"/>
      <c r="F101" s="3753"/>
      <c r="G101" s="3753"/>
      <c r="H101" s="3753"/>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11" t="s">
        <v>423</v>
      </c>
      <c r="B102" s="3712"/>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64" t="s">
        <v>2928</v>
      </c>
      <c r="H108" s="3765"/>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42" t="s">
        <v>456</v>
      </c>
      <c r="F109" s="3709"/>
      <c r="G109" s="3709"/>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42" t="s">
        <v>458</v>
      </c>
      <c r="F110" s="3709"/>
      <c r="G110" s="3709"/>
      <c r="H110" s="3710"/>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08" t="s">
        <v>2390</v>
      </c>
      <c r="F111" s="3709"/>
      <c r="G111" s="3709"/>
      <c r="H111" s="3710"/>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42" t="s">
        <v>2408</v>
      </c>
      <c r="F112" s="3709"/>
      <c r="G112" s="3709"/>
      <c r="H112" s="3710"/>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0"/>
  <sheetViews>
    <sheetView tabSelected="1" zoomScale="110" zoomScaleNormal="110" workbookViewId="0">
      <selection activeCell="E18" sqref="E18"/>
    </sheetView>
  </sheetViews>
  <sheetFormatPr defaultRowHeight="13.5"/>
  <cols>
    <col min="1" max="1" width="9" style="3602"/>
    <col min="2" max="2" width="13.5" style="3602" customWidth="1"/>
    <col min="3" max="3" width="21.125" style="3602" customWidth="1"/>
    <col min="4" max="4" width="12.875" style="3602" customWidth="1"/>
    <col min="5" max="5" width="9" style="3602"/>
    <col min="6" max="6" width="16.5" style="3602" customWidth="1"/>
    <col min="7" max="7" width="11.75" style="3602" customWidth="1"/>
    <col min="8" max="16384" width="9" style="3602"/>
  </cols>
  <sheetData>
    <row r="1" spans="1:7">
      <c r="A1" s="3606"/>
      <c r="B1" s="3496" t="s">
        <v>3151</v>
      </c>
      <c r="C1" s="3496" t="s">
        <v>3152</v>
      </c>
      <c r="D1" s="3496" t="s">
        <v>3153</v>
      </c>
      <c r="E1" s="3496" t="s">
        <v>3154</v>
      </c>
      <c r="F1" s="3496" t="s">
        <v>3155</v>
      </c>
      <c r="G1" s="3496" t="s">
        <v>3156</v>
      </c>
    </row>
    <row r="2" spans="1:7" s="4016" customFormat="1">
      <c r="A2" s="4015" t="s">
        <v>3486</v>
      </c>
      <c r="B2" s="3782" t="s">
        <v>3487</v>
      </c>
      <c r="C2" s="3607" t="s">
        <v>3157</v>
      </c>
      <c r="D2" s="3607">
        <f>[2]基准地价修正!$C$31</f>
        <v>22664</v>
      </c>
      <c r="E2" s="3607">
        <v>0.7</v>
      </c>
      <c r="F2" s="3782">
        <f ca="1">ROUND(D2*E2+D3*E3,0)</f>
        <v>22080</v>
      </c>
      <c r="G2" s="3783">
        <f ca="1">ROUND(F2*0.25,0)</f>
        <v>5520</v>
      </c>
    </row>
    <row r="3" spans="1:7" s="4016" customFormat="1" ht="14.25" customHeight="1">
      <c r="A3" s="4017"/>
      <c r="B3" s="3782"/>
      <c r="C3" s="3607" t="s">
        <v>3158</v>
      </c>
      <c r="D3" s="3607">
        <f ca="1">'剩余法-现房'!B3</f>
        <v>20718</v>
      </c>
      <c r="E3" s="3607">
        <f>1-E2</f>
        <v>0.30000000000000004</v>
      </c>
      <c r="F3" s="3782"/>
      <c r="G3" s="3783"/>
    </row>
    <row r="4" spans="1:7" s="4016" customFormat="1">
      <c r="A4" s="4018"/>
      <c r="B4" s="4019" t="s">
        <v>3410</v>
      </c>
      <c r="C4" s="4019"/>
      <c r="D4" s="4019"/>
      <c r="E4" s="4019"/>
      <c r="F4" s="4020">
        <f ca="1">ROUND(F2*'数据-汇总表'!E6/10000,4)</f>
        <v>19803.110400000001</v>
      </c>
      <c r="G4" s="4020">
        <f ca="1">ROUND(G2*'数据-汇总表'!E6/10000,4)</f>
        <v>4950.7776000000003</v>
      </c>
    </row>
    <row r="5" spans="1:7" s="4016" customFormat="1">
      <c r="A5" s="4021" t="s">
        <v>3485</v>
      </c>
      <c r="B5" s="3782" t="s">
        <v>3491</v>
      </c>
      <c r="C5" s="4019" t="str">
        <f>'[3]结果-划拨'!$B$2</f>
        <v>成本逼近法</v>
      </c>
      <c r="D5" s="4019">
        <f>'[3]结果-划拨'!$C$2</f>
        <v>11408</v>
      </c>
      <c r="E5" s="4019">
        <f>E2</f>
        <v>0.7</v>
      </c>
      <c r="F5" s="3782">
        <f>ROUND(D5*E5+D6*E6,0)</f>
        <v>13325</v>
      </c>
      <c r="G5" s="4021"/>
    </row>
    <row r="6" spans="1:7" s="4016" customFormat="1">
      <c r="A6" s="4021"/>
      <c r="B6" s="3782"/>
      <c r="C6" s="4019" t="str">
        <f>'[3]结果-划拨'!$B$3</f>
        <v>剩余法（增值收益扣减）</v>
      </c>
      <c r="D6" s="4019">
        <f>'[3]结果-划拨'!$C$3</f>
        <v>17798</v>
      </c>
      <c r="E6" s="4019">
        <f>E3</f>
        <v>0.30000000000000004</v>
      </c>
      <c r="F6" s="3782"/>
      <c r="G6" s="4021"/>
    </row>
    <row r="7" spans="1:7" s="4016" customFormat="1">
      <c r="A7" s="4021"/>
      <c r="B7" s="3782"/>
      <c r="C7" s="4023" t="str">
        <f>'[3]结果-划拨'!$B$4</f>
        <v>增值收益率</v>
      </c>
      <c r="D7" s="4024">
        <f>'[3]结果-划拨'!$C$4</f>
        <v>0.2</v>
      </c>
      <c r="E7" s="4019"/>
      <c r="F7" s="3782"/>
      <c r="G7" s="4021"/>
    </row>
    <row r="8" spans="1:7" s="4016" customFormat="1">
      <c r="A8" s="4021"/>
      <c r="B8" s="4019" t="s">
        <v>3410</v>
      </c>
      <c r="C8" s="4019"/>
      <c r="D8" s="4019"/>
      <c r="E8" s="4019"/>
      <c r="F8" s="4022">
        <f>ROUND(F5*'数据-汇总表'!E6/10000,4)</f>
        <v>11950.925999999999</v>
      </c>
      <c r="G8" s="4019"/>
    </row>
    <row r="9" spans="1:7" s="4016" customFormat="1">
      <c r="A9" s="3781" t="s">
        <v>3489</v>
      </c>
      <c r="B9" s="4019" t="s">
        <v>3488</v>
      </c>
      <c r="C9" s="4019"/>
      <c r="D9" s="4019"/>
      <c r="E9" s="4019"/>
      <c r="F9" s="4019">
        <f ca="1">F2-F5</f>
        <v>8755</v>
      </c>
      <c r="G9" s="4019"/>
    </row>
    <row r="10" spans="1:7">
      <c r="A10" s="3781"/>
      <c r="B10" s="3603" t="s">
        <v>3490</v>
      </c>
      <c r="C10" s="3604"/>
      <c r="D10" s="3604"/>
      <c r="E10" s="3604"/>
      <c r="F10" s="3605">
        <f ca="1">ROUND(F9*'数据-汇总表'!E6/10000,4)</f>
        <v>7852.1844000000001</v>
      </c>
      <c r="G10" s="3604"/>
    </row>
  </sheetData>
  <mergeCells count="9">
    <mergeCell ref="A9:A10"/>
    <mergeCell ref="A2:A4"/>
    <mergeCell ref="B2:B3"/>
    <mergeCell ref="F2:F3"/>
    <mergeCell ref="G2:G3"/>
    <mergeCell ref="B5:B7"/>
    <mergeCell ref="F5:F7"/>
    <mergeCell ref="G5:G7"/>
    <mergeCell ref="A5:A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08" t="str">
        <f>项目基本情况!B1</f>
        <v>北京市出让国有建设用地使用权市场价格预评估</v>
      </c>
      <c r="C37" s="3608"/>
      <c r="D37" s="3608"/>
      <c r="E37" s="3608"/>
      <c r="F37" s="3608"/>
      <c r="G37" s="3608"/>
      <c r="H37" s="3608"/>
      <c r="I37" s="3608"/>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3151</v>
      </c>
      <c r="B1" s="3496" t="s">
        <v>3152</v>
      </c>
      <c r="C1" s="3496" t="s">
        <v>3153</v>
      </c>
      <c r="D1" s="3496" t="s">
        <v>3154</v>
      </c>
      <c r="E1" s="3496" t="s">
        <v>3155</v>
      </c>
      <c r="F1" s="3496" t="s">
        <v>3156</v>
      </c>
      <c r="K1" s="3488" t="s">
        <v>3400</v>
      </c>
    </row>
    <row r="2" spans="1:12">
      <c r="A2" s="3782" t="s">
        <v>3405</v>
      </c>
      <c r="B2" s="3525" t="s">
        <v>3157</v>
      </c>
      <c r="C2" s="3526">
        <f>[4]结果汇总表!$C$2</f>
        <v>65568</v>
      </c>
      <c r="D2" s="3582">
        <v>0.4</v>
      </c>
      <c r="E2" s="3787">
        <f>ROUND(C2*D2+C3*D3+C4*D4,0)</f>
        <v>46567</v>
      </c>
      <c r="F2" s="3784">
        <f>ROUND(E2*0.25,0)</f>
        <v>11642</v>
      </c>
      <c r="K2" s="3488" t="s">
        <v>3395</v>
      </c>
      <c r="L2" s="3488">
        <f>E5</f>
        <v>31991</v>
      </c>
    </row>
    <row r="3" spans="1:12">
      <c r="A3" s="3782"/>
      <c r="B3" s="3525" t="s">
        <v>3158</v>
      </c>
      <c r="C3" s="3526">
        <f>[4]结果汇总表!$C$3</f>
        <v>33899</v>
      </c>
      <c r="D3" s="3582">
        <f>1-D2</f>
        <v>0.6</v>
      </c>
      <c r="E3" s="3788"/>
      <c r="F3" s="3785"/>
      <c r="K3" s="3488" t="s">
        <v>3394</v>
      </c>
      <c r="L3" s="3538" t="e">
        <f>#REF!</f>
        <v>#REF!</v>
      </c>
    </row>
    <row r="4" spans="1:12">
      <c r="A4" s="3782"/>
      <c r="B4" s="3525" t="s">
        <v>3159</v>
      </c>
      <c r="C4" s="3526">
        <v>0</v>
      </c>
      <c r="D4" s="3525">
        <v>0</v>
      </c>
      <c r="E4" s="3789"/>
      <c r="F4" s="3786"/>
    </row>
    <row r="5" spans="1:12">
      <c r="A5" s="3782" t="s">
        <v>3406</v>
      </c>
      <c r="B5" s="3525" t="s">
        <v>3157</v>
      </c>
      <c r="C5" s="3526">
        <f>[4]结果汇总表!$C$5</f>
        <v>36004</v>
      </c>
      <c r="D5" s="3525">
        <f>D2</f>
        <v>0.4</v>
      </c>
      <c r="E5" s="3787">
        <f>ROUND(C5*D5+C6*D6+C7*D7,0)</f>
        <v>31991</v>
      </c>
      <c r="F5" s="3784">
        <f>ROUND(E5*0.25,0)</f>
        <v>7998</v>
      </c>
      <c r="K5" s="3488" t="s">
        <v>3396</v>
      </c>
      <c r="L5" s="3488">
        <f>E2</f>
        <v>46567</v>
      </c>
    </row>
    <row r="6" spans="1:12">
      <c r="A6" s="3782"/>
      <c r="B6" s="3525" t="s">
        <v>3158</v>
      </c>
      <c r="C6" s="3526">
        <f>[4]结果汇总表!$C$6</f>
        <v>29315</v>
      </c>
      <c r="D6" s="3525">
        <f>D3</f>
        <v>0.6</v>
      </c>
      <c r="E6" s="3788"/>
      <c r="F6" s="3785"/>
      <c r="K6" s="3488" t="s">
        <v>3397</v>
      </c>
      <c r="L6" s="3538" t="e">
        <f>#REF!</f>
        <v>#REF!</v>
      </c>
    </row>
    <row r="7" spans="1:12">
      <c r="A7" s="3782"/>
      <c r="B7" s="3525" t="s">
        <v>3159</v>
      </c>
      <c r="C7" s="3525">
        <v>0</v>
      </c>
      <c r="D7" s="3525">
        <f>D4</f>
        <v>0</v>
      </c>
      <c r="E7" s="3789"/>
      <c r="F7" s="3786"/>
    </row>
    <row r="8" spans="1:12">
      <c r="A8" s="3787" t="s">
        <v>3404</v>
      </c>
      <c r="B8" s="3525" t="s">
        <v>3157</v>
      </c>
      <c r="C8" s="3596">
        <f ca="1">ROUND(C5*'基准地价-办公'!C20,0)</f>
        <v>36004</v>
      </c>
      <c r="D8" s="3525">
        <f>D2</f>
        <v>0.4</v>
      </c>
      <c r="E8" s="3787">
        <f ca="1">ROUND(C8*D8+C9*D9+C10*D10,0)</f>
        <v>31991</v>
      </c>
      <c r="F8" s="3784">
        <f ca="1">ROUND(E8*0.25,0)</f>
        <v>7998</v>
      </c>
      <c r="G8" s="3545">
        <f ca="1">ROUND(C5*'基准地价-办公'!C20,0)</f>
        <v>36004</v>
      </c>
    </row>
    <row r="9" spans="1:12">
      <c r="A9" s="3788"/>
      <c r="B9" s="3525" t="s">
        <v>3158</v>
      </c>
      <c r="C9" s="3596">
        <f ca="1">ROUND(C6*'基准地价-办公'!C20,0)</f>
        <v>29315</v>
      </c>
      <c r="D9" s="3525">
        <f>D3</f>
        <v>0.6</v>
      </c>
      <c r="E9" s="3788"/>
      <c r="F9" s="3785"/>
      <c r="G9" s="3545">
        <f ca="1">ROUND(C6*'基准地价-办公'!C20,0)</f>
        <v>29315</v>
      </c>
    </row>
    <row r="10" spans="1:12">
      <c r="A10" s="3789"/>
      <c r="B10" s="3525" t="s">
        <v>3159</v>
      </c>
      <c r="C10" s="3525">
        <v>0</v>
      </c>
      <c r="D10" s="3525">
        <f>D7</f>
        <v>0</v>
      </c>
      <c r="E10" s="3789"/>
      <c r="F10" s="3786"/>
    </row>
    <row r="11" spans="1:12">
      <c r="A11" s="3787" t="s">
        <v>3401</v>
      </c>
      <c r="B11" s="3525" t="s">
        <v>3157</v>
      </c>
      <c r="C11" s="3525">
        <f ca="1">'基准地价-办公'!C37</f>
        <v>6831</v>
      </c>
      <c r="D11" s="3525">
        <f>D2</f>
        <v>0.4</v>
      </c>
      <c r="E11" s="3787">
        <f ca="1">ROUND(C11*D11+C12*D12+C13*D13,0)</f>
        <v>7130</v>
      </c>
      <c r="F11" s="3784">
        <f ca="1">ROUND(E11*0.25,0)</f>
        <v>1783</v>
      </c>
      <c r="K11" s="3488" t="s">
        <v>3398</v>
      </c>
      <c r="L11" s="3488" t="e">
        <f>ROUND(L2*L3/10000,4)</f>
        <v>#REF!</v>
      </c>
    </row>
    <row r="12" spans="1:12">
      <c r="A12" s="3788"/>
      <c r="B12" s="3525" t="s">
        <v>3158</v>
      </c>
      <c r="C12" s="3525">
        <f ca="1">ROUND(C9*0.25,0)</f>
        <v>7329</v>
      </c>
      <c r="D12" s="3525">
        <f>D3</f>
        <v>0.6</v>
      </c>
      <c r="E12" s="3788"/>
      <c r="F12" s="3785"/>
      <c r="K12" s="3488" t="s">
        <v>3399</v>
      </c>
      <c r="L12" s="3488" t="e">
        <f>ROUND((L2-L5)*L6/10000,4)</f>
        <v>#REF!</v>
      </c>
    </row>
    <row r="13" spans="1:12" hidden="1">
      <c r="A13" s="3789"/>
      <c r="B13" s="3525" t="s">
        <v>3159</v>
      </c>
      <c r="C13" s="3525">
        <v>0</v>
      </c>
      <c r="D13" s="3525">
        <f>D4</f>
        <v>0</v>
      </c>
      <c r="E13" s="3789"/>
      <c r="F13" s="3786"/>
    </row>
    <row r="14" spans="1:12">
      <c r="A14" s="3787" t="s">
        <v>3402</v>
      </c>
      <c r="B14" s="3525" t="s">
        <v>3157</v>
      </c>
      <c r="C14" s="3525" t="e">
        <f ca="1">'基准地价-办公'!C38</f>
        <v>#VALUE!</v>
      </c>
      <c r="D14" s="3525">
        <f>D2</f>
        <v>0.4</v>
      </c>
      <c r="E14" s="3787" t="e">
        <f ca="1">ROUND(C14*D14+C15*D15+C16*D16,0)</f>
        <v>#VALUE!</v>
      </c>
      <c r="F14" s="3784" t="e">
        <f ca="1">ROUND(E14*0.25,0)</f>
        <v>#VALUE!</v>
      </c>
      <c r="L14" s="3539" t="e">
        <f>L11+L12</f>
        <v>#REF!</v>
      </c>
    </row>
    <row r="15" spans="1:12">
      <c r="A15" s="3788"/>
      <c r="B15" s="3525" t="s">
        <v>3158</v>
      </c>
      <c r="C15" s="3525">
        <f ca="1">ROUND(C9*0.25,0)</f>
        <v>7329</v>
      </c>
      <c r="D15" s="3525">
        <f>D3</f>
        <v>0.6</v>
      </c>
      <c r="E15" s="3788"/>
      <c r="F15" s="3785"/>
    </row>
    <row r="16" spans="1:12" hidden="1">
      <c r="A16" s="3789"/>
      <c r="B16" s="3525" t="s">
        <v>3159</v>
      </c>
      <c r="C16" s="3525">
        <v>0</v>
      </c>
      <c r="D16" s="3525">
        <f>D4</f>
        <v>0</v>
      </c>
      <c r="E16" s="3789"/>
      <c r="F16" s="3786"/>
    </row>
    <row r="17" spans="1:8" ht="13.5" customHeight="1">
      <c r="A17" s="3787" t="s">
        <v>3403</v>
      </c>
      <c r="B17" s="3525" t="s">
        <v>3157</v>
      </c>
      <c r="C17" s="3525" t="e">
        <f ca="1">'基准地价-办公'!C39</f>
        <v>#VALUE!</v>
      </c>
      <c r="D17" s="3525">
        <f>D2</f>
        <v>0.4</v>
      </c>
      <c r="E17" s="3787" t="e">
        <f ca="1">ROUND(C17*D17+C18*D18+C19*D19,0)</f>
        <v>#VALUE!</v>
      </c>
      <c r="F17" s="3784" t="e">
        <f ca="1">ROUND(E17*0.25,0)</f>
        <v>#VALUE!</v>
      </c>
    </row>
    <row r="18" spans="1:8">
      <c r="A18" s="3788"/>
      <c r="B18" s="3525" t="s">
        <v>3158</v>
      </c>
      <c r="C18" s="3525">
        <f ca="1">ROUND(C9*0.2,0)</f>
        <v>5863</v>
      </c>
      <c r="D18" s="3525">
        <f>D3</f>
        <v>0.6</v>
      </c>
      <c r="E18" s="3788"/>
      <c r="F18" s="3785"/>
    </row>
    <row r="19" spans="1:8" ht="13.5" hidden="1" customHeight="1">
      <c r="A19" s="3789"/>
      <c r="B19" s="3525" t="s">
        <v>3160</v>
      </c>
      <c r="C19" s="3525">
        <f>ROUND(C7*0.2*'[5]基准地价-办公'!C20,0)</f>
        <v>0</v>
      </c>
      <c r="D19" s="3525">
        <f>D4</f>
        <v>0</v>
      </c>
      <c r="E19" s="3789"/>
      <c r="F19" s="3786"/>
    </row>
    <row r="21" spans="1:8">
      <c r="A21" s="3500" t="s">
        <v>3291</v>
      </c>
      <c r="B21" s="3540"/>
      <c r="C21" s="3540"/>
      <c r="D21" s="3540"/>
      <c r="E21" s="3540"/>
      <c r="F21" s="3540"/>
      <c r="G21" s="3540"/>
      <c r="H21" s="3540"/>
    </row>
    <row r="22" spans="1:8" ht="13.5" customHeight="1">
      <c r="A22" s="3821" t="s">
        <v>3313</v>
      </c>
      <c r="B22" s="3821" t="s">
        <v>3314</v>
      </c>
      <c r="C22" s="3821" t="s">
        <v>3315</v>
      </c>
      <c r="D22" s="3821" t="s">
        <v>3310</v>
      </c>
      <c r="E22" s="3821" t="s">
        <v>3316</v>
      </c>
      <c r="F22" s="3821" t="s">
        <v>3317</v>
      </c>
      <c r="G22" s="3523" t="s">
        <v>3294</v>
      </c>
      <c r="H22" s="3487"/>
    </row>
    <row r="23" spans="1:8">
      <c r="A23" s="3822"/>
      <c r="B23" s="3822"/>
      <c r="C23" s="3822"/>
      <c r="D23" s="3822"/>
      <c r="E23" s="3822"/>
      <c r="F23" s="3822"/>
      <c r="G23" s="3523" t="s">
        <v>3295</v>
      </c>
      <c r="H23" s="3487"/>
    </row>
    <row r="24" spans="1:8">
      <c r="A24" s="3827" t="s">
        <v>3125</v>
      </c>
      <c r="B24" s="3830" t="s">
        <v>3296</v>
      </c>
      <c r="C24" s="3527" t="s">
        <v>3306</v>
      </c>
      <c r="D24" s="3527">
        <f>E2</f>
        <v>46567</v>
      </c>
      <c r="E24" s="3527" t="s">
        <v>3298</v>
      </c>
      <c r="F24" s="3527" t="e">
        <f>#REF!</f>
        <v>#REF!</v>
      </c>
      <c r="G24" s="3528" t="e">
        <f>ROUND((F24*D24)/10000,4)</f>
        <v>#REF!</v>
      </c>
      <c r="H24" s="3487"/>
    </row>
    <row r="25" spans="1:8">
      <c r="A25" s="3828"/>
      <c r="B25" s="3831"/>
      <c r="C25" s="3527" t="s">
        <v>3307</v>
      </c>
      <c r="D25" s="3527">
        <f>E5</f>
        <v>31991</v>
      </c>
      <c r="E25" s="3527" t="s">
        <v>3298</v>
      </c>
      <c r="F25" s="3529" t="e">
        <f>#REF!</f>
        <v>#REF!</v>
      </c>
      <c r="G25" s="3528" t="e">
        <f>ROUND((F25*D25)/10000,4)</f>
        <v>#REF!</v>
      </c>
      <c r="H25" s="3487"/>
    </row>
    <row r="26" spans="1:8">
      <c r="A26" s="3829"/>
      <c r="B26" s="3832" t="s">
        <v>27</v>
      </c>
      <c r="C26" s="3833"/>
      <c r="D26" s="3833"/>
      <c r="E26" s="3834"/>
      <c r="F26" s="3527" t="e">
        <f>F25-F24</f>
        <v>#REF!</v>
      </c>
      <c r="G26" s="3532" t="e">
        <f>G25-G24</f>
        <v>#REF!</v>
      </c>
      <c r="H26" s="3487"/>
    </row>
    <row r="27" spans="1:8">
      <c r="A27" s="3835" t="s">
        <v>3127</v>
      </c>
      <c r="B27" s="3523" t="s">
        <v>3297</v>
      </c>
      <c r="C27" s="3523" t="s">
        <v>3128</v>
      </c>
      <c r="D27" s="3522">
        <f ca="1">E11</f>
        <v>7130</v>
      </c>
      <c r="E27" s="3522" t="s">
        <v>3298</v>
      </c>
      <c r="F27" s="3522" t="e">
        <f>#REF!</f>
        <v>#REF!</v>
      </c>
      <c r="G27" s="3492" t="e">
        <f ca="1">ROUND(D27*F27/10000,4)</f>
        <v>#REF!</v>
      </c>
      <c r="H27" s="3487"/>
    </row>
    <row r="28" spans="1:8">
      <c r="A28" s="3836"/>
      <c r="B28" s="3523" t="s">
        <v>3297</v>
      </c>
      <c r="C28" s="3523" t="s">
        <v>3356</v>
      </c>
      <c r="D28" s="3522" t="e">
        <f ca="1">E14</f>
        <v>#VALUE!</v>
      </c>
      <c r="E28" s="3522" t="s">
        <v>3298</v>
      </c>
      <c r="F28" s="3491" t="e">
        <f>#REF!</f>
        <v>#REF!</v>
      </c>
      <c r="G28" s="3492" t="e">
        <f ca="1">ROUND(D28*F28/10000,4)</f>
        <v>#VALUE!</v>
      </c>
      <c r="H28" s="3487"/>
    </row>
    <row r="29" spans="1:8">
      <c r="A29" s="3836"/>
      <c r="B29" s="3523" t="s">
        <v>3297</v>
      </c>
      <c r="C29" s="3523" t="s">
        <v>3129</v>
      </c>
      <c r="D29" s="3522" t="e">
        <f ca="1">E17</f>
        <v>#VALUE!</v>
      </c>
      <c r="E29" s="3522" t="s">
        <v>3298</v>
      </c>
      <c r="F29" s="3491" t="e">
        <f>#REF!</f>
        <v>#REF!</v>
      </c>
      <c r="G29" s="3492" t="e">
        <f ca="1">ROUND(D29*F29/10000,4)</f>
        <v>#VALUE!</v>
      </c>
      <c r="H29" s="3487"/>
    </row>
    <row r="30" spans="1:8">
      <c r="A30" s="3837"/>
      <c r="B30" s="3806" t="s">
        <v>27</v>
      </c>
      <c r="C30" s="3807"/>
      <c r="D30" s="3807"/>
      <c r="E30" s="3808"/>
      <c r="F30" s="3493" t="e">
        <f>F27+F29+F28</f>
        <v>#REF!</v>
      </c>
      <c r="G30" s="3490" t="e">
        <f ca="1">G27+G29+G28</f>
        <v>#REF!</v>
      </c>
      <c r="H30" s="3487"/>
    </row>
    <row r="31" spans="1:8">
      <c r="A31" s="3826" t="s">
        <v>3299</v>
      </c>
      <c r="B31" s="3826"/>
      <c r="C31" s="3826"/>
      <c r="D31" s="3826"/>
      <c r="E31" s="3826"/>
      <c r="F31" s="3494" t="e">
        <f>F26+F30</f>
        <v>#REF!</v>
      </c>
      <c r="G31" s="3495" t="e">
        <f ca="1">G26+G30</f>
        <v>#REF!</v>
      </c>
      <c r="H31" s="3487"/>
    </row>
    <row r="32" spans="1:8">
      <c r="A32" s="3487"/>
      <c r="B32" s="3487"/>
      <c r="C32" s="3487"/>
      <c r="D32" s="3487"/>
      <c r="E32" s="3487"/>
      <c r="F32" s="3487"/>
      <c r="G32" s="3487"/>
      <c r="H32" s="3487"/>
    </row>
    <row r="33" spans="1:8">
      <c r="A33" s="3500" t="s">
        <v>3300</v>
      </c>
      <c r="B33" s="3487"/>
      <c r="C33" s="3487"/>
      <c r="D33" s="3487"/>
      <c r="E33" s="3487"/>
      <c r="F33" s="3487"/>
      <c r="G33" s="3487"/>
      <c r="H33" s="3487"/>
    </row>
    <row r="34" spans="1:8" ht="24">
      <c r="A34" s="3817" t="s">
        <v>3292</v>
      </c>
      <c r="B34" s="3817" t="s">
        <v>3293</v>
      </c>
      <c r="C34" s="3817" t="s">
        <v>3151</v>
      </c>
      <c r="D34" s="3817" t="s">
        <v>3318</v>
      </c>
      <c r="E34" s="3817" t="s">
        <v>3311</v>
      </c>
      <c r="F34" s="3817" t="s">
        <v>3312</v>
      </c>
      <c r="G34" s="3523" t="s">
        <v>3301</v>
      </c>
      <c r="H34" s="3487"/>
    </row>
    <row r="35" spans="1:8">
      <c r="A35" s="3817"/>
      <c r="B35" s="3817"/>
      <c r="C35" s="3817"/>
      <c r="D35" s="3817"/>
      <c r="E35" s="3817"/>
      <c r="F35" s="3817"/>
      <c r="G35" s="3523" t="s">
        <v>3295</v>
      </c>
      <c r="H35" s="3487"/>
    </row>
    <row r="36" spans="1:8">
      <c r="A36" s="3805" t="s">
        <v>3125</v>
      </c>
      <c r="B36" s="3821" t="s">
        <v>3296</v>
      </c>
      <c r="C36" s="3522" t="str">
        <f>C24</f>
        <v>旧用途-商业</v>
      </c>
      <c r="D36" s="3522">
        <f>F2</f>
        <v>11642</v>
      </c>
      <c r="E36" s="3522" t="s">
        <v>3298</v>
      </c>
      <c r="F36" s="3491" t="e">
        <f t="shared" ref="F36:F43" si="0">F24</f>
        <v>#REF!</v>
      </c>
      <c r="G36" s="3522" t="e">
        <f>ROUND(F36*D36/10000,4)</f>
        <v>#REF!</v>
      </c>
      <c r="H36" s="3487"/>
    </row>
    <row r="37" spans="1:8">
      <c r="A37" s="3805"/>
      <c r="B37" s="3822"/>
      <c r="C37" s="3522" t="str">
        <f>C25</f>
        <v>新用途-办公</v>
      </c>
      <c r="D37" s="3522">
        <f>F5</f>
        <v>7998</v>
      </c>
      <c r="E37" s="3522" t="s">
        <v>3298</v>
      </c>
      <c r="F37" s="3522" t="e">
        <f t="shared" si="0"/>
        <v>#REF!</v>
      </c>
      <c r="G37" s="3522" t="e">
        <f>ROUND(F37*D37/10000,4)</f>
        <v>#REF!</v>
      </c>
      <c r="H37" s="3487"/>
    </row>
    <row r="38" spans="1:8">
      <c r="A38" s="3805"/>
      <c r="B38" s="3823" t="s">
        <v>27</v>
      </c>
      <c r="C38" s="3823"/>
      <c r="D38" s="3823"/>
      <c r="E38" s="3823"/>
      <c r="F38" s="3489" t="e">
        <f t="shared" si="0"/>
        <v>#REF!</v>
      </c>
      <c r="G38" s="3497" t="e">
        <f>G37-G36</f>
        <v>#REF!</v>
      </c>
      <c r="H38" s="3487"/>
    </row>
    <row r="39" spans="1:8">
      <c r="A39" s="3824" t="s">
        <v>3127</v>
      </c>
      <c r="B39" s="3530" t="s">
        <v>3297</v>
      </c>
      <c r="C39" s="3530" t="str">
        <f>C27</f>
        <v>地下办公</v>
      </c>
      <c r="D39" s="3527">
        <f ca="1">F11</f>
        <v>1783</v>
      </c>
      <c r="E39" s="3527" t="s">
        <v>3298</v>
      </c>
      <c r="F39" s="3529" t="e">
        <f t="shared" si="0"/>
        <v>#REF!</v>
      </c>
      <c r="G39" s="3527" t="e">
        <f ca="1">ROUND(D39*F39/10000,4)</f>
        <v>#REF!</v>
      </c>
      <c r="H39" s="3487"/>
    </row>
    <row r="40" spans="1:8">
      <c r="A40" s="3824"/>
      <c r="B40" s="3530" t="s">
        <v>3297</v>
      </c>
      <c r="C40" s="3530" t="s">
        <v>3356</v>
      </c>
      <c r="D40" s="3527" t="e">
        <f ca="1">F14</f>
        <v>#VALUE!</v>
      </c>
      <c r="E40" s="3527" t="s">
        <v>3298</v>
      </c>
      <c r="F40" s="3529" t="e">
        <f t="shared" si="0"/>
        <v>#REF!</v>
      </c>
      <c r="G40" s="3527" t="e">
        <f ca="1">ROUND(D40*F40/10000,4)</f>
        <v>#VALUE!</v>
      </c>
      <c r="H40" s="3487"/>
    </row>
    <row r="41" spans="1:8" ht="15.75" customHeight="1">
      <c r="A41" s="3824"/>
      <c r="B41" s="3530" t="s">
        <v>3297</v>
      </c>
      <c r="C41" s="3530" t="str">
        <f>C29</f>
        <v>地下车库</v>
      </c>
      <c r="D41" s="3527" t="e">
        <f ca="1">F17</f>
        <v>#VALUE!</v>
      </c>
      <c r="E41" s="3527" t="s">
        <v>3298</v>
      </c>
      <c r="F41" s="3529" t="e">
        <f t="shared" si="0"/>
        <v>#REF!</v>
      </c>
      <c r="G41" s="3527" t="e">
        <f ca="1">ROUND(D41*F41/10000,4)</f>
        <v>#VALUE!</v>
      </c>
      <c r="H41" s="3487"/>
    </row>
    <row r="42" spans="1:8">
      <c r="A42" s="3824"/>
      <c r="B42" s="3825" t="s">
        <v>27</v>
      </c>
      <c r="C42" s="3825"/>
      <c r="D42" s="3825"/>
      <c r="E42" s="3825"/>
      <c r="F42" s="3531" t="e">
        <f t="shared" si="0"/>
        <v>#REF!</v>
      </c>
      <c r="G42" s="3533" t="e">
        <f ca="1">G39+G41+G40</f>
        <v>#REF!</v>
      </c>
      <c r="H42" s="3487"/>
    </row>
    <row r="43" spans="1:8">
      <c r="A43" s="3826" t="s">
        <v>3299</v>
      </c>
      <c r="B43" s="3826"/>
      <c r="C43" s="3826"/>
      <c r="D43" s="3826"/>
      <c r="E43" s="3826"/>
      <c r="F43" s="3494" t="e">
        <f t="shared" si="0"/>
        <v>#REF!</v>
      </c>
      <c r="G43" s="3524" t="e">
        <f ca="1">G38+G42</f>
        <v>#REF!</v>
      </c>
      <c r="H43" s="3487"/>
    </row>
    <row r="44" spans="1:8">
      <c r="A44" s="3487"/>
      <c r="B44" s="3487"/>
      <c r="C44" s="3487"/>
      <c r="D44" s="3487"/>
      <c r="E44" s="3487"/>
      <c r="F44" s="3487"/>
      <c r="G44" s="3487"/>
      <c r="H44" s="3487"/>
    </row>
    <row r="45" spans="1:8">
      <c r="A45" s="3500" t="s">
        <v>3302</v>
      </c>
      <c r="B45" s="3487"/>
      <c r="C45" s="3487"/>
      <c r="D45" s="3487"/>
      <c r="E45" s="3487"/>
      <c r="F45" s="3487"/>
      <c r="G45" s="3487"/>
      <c r="H45" s="3487"/>
    </row>
    <row r="46" spans="1:8" ht="15.75" customHeight="1">
      <c r="A46" s="3817" t="s">
        <v>3292</v>
      </c>
      <c r="B46" s="3817" t="s">
        <v>3293</v>
      </c>
      <c r="C46" s="3817" t="s">
        <v>3151</v>
      </c>
      <c r="D46" s="3817" t="s">
        <v>3310</v>
      </c>
      <c r="E46" s="3817" t="s">
        <v>3311</v>
      </c>
      <c r="F46" s="3817" t="s">
        <v>3318</v>
      </c>
      <c r="G46" s="3817" t="s">
        <v>3319</v>
      </c>
      <c r="H46" s="3523" t="s">
        <v>3303</v>
      </c>
    </row>
    <row r="47" spans="1:8" ht="21.75" customHeight="1">
      <c r="A47" s="3817"/>
      <c r="B47" s="3817"/>
      <c r="C47" s="3817"/>
      <c r="D47" s="3817"/>
      <c r="E47" s="3817"/>
      <c r="F47" s="3817"/>
      <c r="G47" s="3817"/>
      <c r="H47" s="3523" t="s">
        <v>3295</v>
      </c>
    </row>
    <row r="48" spans="1:8">
      <c r="A48" s="3805" t="s">
        <v>3125</v>
      </c>
      <c r="B48" s="3523" t="s">
        <v>3304</v>
      </c>
      <c r="C48" s="3522" t="s">
        <v>3308</v>
      </c>
      <c r="D48" s="3534">
        <f>D24</f>
        <v>46567</v>
      </c>
      <c r="E48" s="3522" t="s">
        <v>3298</v>
      </c>
      <c r="F48" s="3522">
        <f>D36</f>
        <v>11642</v>
      </c>
      <c r="G48" s="3491" t="e">
        <f t="shared" ref="G48:G52" si="1">F36</f>
        <v>#REF!</v>
      </c>
      <c r="H48" s="3498" t="e">
        <f>G24</f>
        <v>#REF!</v>
      </c>
    </row>
    <row r="49" spans="1:16">
      <c r="A49" s="3805"/>
      <c r="B49" s="3523" t="s">
        <v>3305</v>
      </c>
      <c r="C49" s="3522" t="s">
        <v>3309</v>
      </c>
      <c r="D49" s="3534">
        <f>D25</f>
        <v>31991</v>
      </c>
      <c r="E49" s="3522" t="s">
        <v>3298</v>
      </c>
      <c r="F49" s="3522">
        <f>D37</f>
        <v>7998</v>
      </c>
      <c r="G49" s="3522" t="e">
        <f t="shared" si="1"/>
        <v>#REF!</v>
      </c>
      <c r="H49" s="3499" t="e">
        <f>G25</f>
        <v>#REF!</v>
      </c>
    </row>
    <row r="50" spans="1:16">
      <c r="A50" s="3805"/>
      <c r="B50" s="3806" t="s">
        <v>27</v>
      </c>
      <c r="C50" s="3807"/>
      <c r="D50" s="3807"/>
      <c r="E50" s="3807"/>
      <c r="F50" s="3808"/>
      <c r="G50" s="3489" t="e">
        <f t="shared" si="1"/>
        <v>#REF!</v>
      </c>
      <c r="H50" s="3521" t="e">
        <f>G26</f>
        <v>#REF!</v>
      </c>
    </row>
    <row r="51" spans="1:16">
      <c r="A51" s="3805" t="s">
        <v>3127</v>
      </c>
      <c r="B51" s="3523" t="s">
        <v>3297</v>
      </c>
      <c r="C51" s="3523" t="str">
        <f>C39</f>
        <v>地下办公</v>
      </c>
      <c r="D51" s="3522">
        <f ca="1">D27</f>
        <v>7130</v>
      </c>
      <c r="E51" s="3522" t="s">
        <v>3298</v>
      </c>
      <c r="F51" s="3534">
        <f ca="1">D39</f>
        <v>1783</v>
      </c>
      <c r="G51" s="3491" t="e">
        <f t="shared" si="1"/>
        <v>#REF!</v>
      </c>
      <c r="H51" s="3492" t="e">
        <f ca="1">G39</f>
        <v>#REF!</v>
      </c>
    </row>
    <row r="52" spans="1:16">
      <c r="A52" s="3805"/>
      <c r="B52" s="3523" t="s">
        <v>3297</v>
      </c>
      <c r="C52" s="3523" t="s">
        <v>3356</v>
      </c>
      <c r="D52" s="3522" t="e">
        <f ca="1">D28</f>
        <v>#VALUE!</v>
      </c>
      <c r="E52" s="3522"/>
      <c r="F52" s="3534" t="e">
        <f ca="1">D40</f>
        <v>#VALUE!</v>
      </c>
      <c r="G52" s="3491" t="e">
        <f t="shared" si="1"/>
        <v>#REF!</v>
      </c>
      <c r="H52" s="3492" t="e">
        <f ca="1">G40</f>
        <v>#VALUE!</v>
      </c>
    </row>
    <row r="53" spans="1:16" ht="14.25" customHeight="1">
      <c r="A53" s="3805"/>
      <c r="B53" s="3523" t="s">
        <v>3297</v>
      </c>
      <c r="C53" s="3523" t="str">
        <f>C41</f>
        <v>地下车库</v>
      </c>
      <c r="D53" s="3522" t="e">
        <f ca="1">D29</f>
        <v>#VALUE!</v>
      </c>
      <c r="E53" s="3522" t="s">
        <v>3298</v>
      </c>
      <c r="F53" s="3534" t="e">
        <f ca="1">D41</f>
        <v>#VALUE!</v>
      </c>
      <c r="G53" s="3491" t="e">
        <f t="shared" ref="G53" si="2">F41</f>
        <v>#REF!</v>
      </c>
      <c r="H53" s="3492" t="e">
        <f ca="1">G41</f>
        <v>#VALUE!</v>
      </c>
    </row>
    <row r="54" spans="1:16">
      <c r="A54" s="3805"/>
      <c r="B54" s="3806" t="s">
        <v>27</v>
      </c>
      <c r="C54" s="3807"/>
      <c r="D54" s="3807"/>
      <c r="E54" s="3807"/>
      <c r="F54" s="3808"/>
      <c r="G54" s="3493" t="e">
        <f>F42</f>
        <v>#REF!</v>
      </c>
      <c r="H54" s="3521" t="e">
        <f ca="1">G42</f>
        <v>#REF!</v>
      </c>
      <c r="I54" s="3488">
        <v>1054.0253</v>
      </c>
    </row>
    <row r="55" spans="1:16">
      <c r="A55" s="3818" t="s">
        <v>3299</v>
      </c>
      <c r="B55" s="3819"/>
      <c r="C55" s="3819"/>
      <c r="D55" s="3819"/>
      <c r="E55" s="3819"/>
      <c r="F55" s="3820"/>
      <c r="G55" s="3494" t="e">
        <f>G50+G54</f>
        <v>#REF!</v>
      </c>
      <c r="H55" s="3495" t="e">
        <f ca="1">H54+H50</f>
        <v>#REF!</v>
      </c>
    </row>
    <row r="58" spans="1:16">
      <c r="A58" s="3500" t="s">
        <v>3358</v>
      </c>
      <c r="B58" s="3541"/>
      <c r="C58" s="3542"/>
      <c r="D58" s="3541"/>
      <c r="E58" s="3541"/>
      <c r="F58" s="3541"/>
      <c r="G58" s="3541"/>
      <c r="H58" s="3543"/>
      <c r="I58" s="3541"/>
      <c r="J58" s="3541"/>
      <c r="K58" s="3541"/>
      <c r="L58" s="3541"/>
      <c r="M58" s="3541"/>
      <c r="N58" s="3541"/>
      <c r="O58" s="3541"/>
      <c r="P58" s="3541"/>
    </row>
    <row r="59" spans="1:16" ht="41.25" customHeight="1">
      <c r="A59" s="3523" t="s">
        <v>3151</v>
      </c>
      <c r="B59" s="3523" t="s">
        <v>3359</v>
      </c>
      <c r="C59" s="3523" t="s">
        <v>3360</v>
      </c>
      <c r="D59" s="3523" t="s">
        <v>3361</v>
      </c>
      <c r="E59" s="3523" t="s">
        <v>3362</v>
      </c>
      <c r="F59" s="3523" t="s">
        <v>3363</v>
      </c>
      <c r="G59" s="3523" t="s">
        <v>3364</v>
      </c>
      <c r="H59" s="3523" t="s">
        <v>3365</v>
      </c>
      <c r="I59" s="3523" t="s">
        <v>3189</v>
      </c>
      <c r="J59" s="3523" t="s">
        <v>3433</v>
      </c>
      <c r="K59" s="3523" t="s">
        <v>3366</v>
      </c>
      <c r="L59" s="3523" t="s">
        <v>3367</v>
      </c>
      <c r="M59" s="3523" t="s">
        <v>3368</v>
      </c>
      <c r="N59" s="3523" t="s">
        <v>3369</v>
      </c>
      <c r="O59" s="3488" t="s">
        <v>3410</v>
      </c>
    </row>
    <row r="60" spans="1:16">
      <c r="A60" s="3523" t="s">
        <v>3370</v>
      </c>
      <c r="B60" s="3523" t="s">
        <v>3374</v>
      </c>
      <c r="C60" s="3523">
        <v>17430</v>
      </c>
      <c r="D60" s="3523">
        <f>'基准地价-商业原容积率'!C19</f>
        <v>1.3963000000000001</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3371</v>
      </c>
      <c r="B61" s="3523" t="s">
        <v>3375</v>
      </c>
      <c r="C61" s="3523">
        <v>17140</v>
      </c>
      <c r="D61" s="3523">
        <f>'基准地价-办公'!C19</f>
        <v>1.3963000000000001</v>
      </c>
      <c r="E61" s="3523">
        <f ca="1">'基准地价-办公'!C20</f>
        <v>1</v>
      </c>
      <c r="F61" s="3523">
        <f>'基准地价-办公'!C21</f>
        <v>0.80310000000000004</v>
      </c>
      <c r="G61" s="3523">
        <f>'基准地价-办公'!C24</f>
        <v>1.056</v>
      </c>
      <c r="H61" s="3523">
        <v>1</v>
      </c>
      <c r="I61" s="3523">
        <f t="shared" ref="I61:I64" ca="1" si="3">ROUND(C61*D61*E61*F61*G61*H61,0)</f>
        <v>20297</v>
      </c>
      <c r="J61" s="3523">
        <f t="shared" ref="J61:J64" ca="1" si="4">ROUND(I61*0.25,0)</f>
        <v>5074</v>
      </c>
      <c r="K61" s="3523" t="e">
        <f>G49</f>
        <v>#REF!</v>
      </c>
      <c r="L61" s="3523" t="e">
        <f t="shared" ref="L61:L64" ca="1" si="5">ROUND(J61*K61/10000,4)</f>
        <v>#REF!</v>
      </c>
      <c r="M61" s="3523">
        <v>0</v>
      </c>
      <c r="N61" s="3523">
        <v>0</v>
      </c>
      <c r="O61" s="3544" t="e">
        <f ca="1">ROUND(I61*K61/10000,4)</f>
        <v>#REF!</v>
      </c>
      <c r="P61" s="3488" t="e">
        <f ca="1">O61-O60</f>
        <v>#REF!</v>
      </c>
    </row>
    <row r="62" spans="1:16">
      <c r="A62" s="3523" t="s">
        <v>3372</v>
      </c>
      <c r="B62" s="3523" t="s">
        <v>2770</v>
      </c>
      <c r="C62" s="3523">
        <f>C61</f>
        <v>17140</v>
      </c>
      <c r="D62" s="3523">
        <f>D61</f>
        <v>1.3963000000000001</v>
      </c>
      <c r="E62" s="3523">
        <f ca="1">E61</f>
        <v>1</v>
      </c>
      <c r="F62" s="3523">
        <v>1</v>
      </c>
      <c r="G62" s="3523">
        <f>G61</f>
        <v>1.056</v>
      </c>
      <c r="H62" s="3523">
        <f>'基准地价-办公'!F37</f>
        <v>0.25</v>
      </c>
      <c r="I62" s="3523">
        <f t="shared" ca="1" si="3"/>
        <v>6318</v>
      </c>
      <c r="J62" s="3523">
        <f t="shared" ca="1" si="4"/>
        <v>1580</v>
      </c>
      <c r="K62" s="3515" t="e">
        <f>G51</f>
        <v>#REF!</v>
      </c>
      <c r="L62" s="3523" t="e">
        <f t="shared" ca="1" si="5"/>
        <v>#REF!</v>
      </c>
      <c r="M62" s="3523">
        <v>0</v>
      </c>
      <c r="N62" s="3523">
        <v>0</v>
      </c>
      <c r="O62" s="3488" t="e">
        <f ca="1">ROUND(I62*K62/10000,4)</f>
        <v>#REF!</v>
      </c>
    </row>
    <row r="63" spans="1:16">
      <c r="A63" s="3523" t="s">
        <v>3356</v>
      </c>
      <c r="B63" s="3523" t="s">
        <v>2770</v>
      </c>
      <c r="C63" s="3523">
        <f>C61</f>
        <v>17140</v>
      </c>
      <c r="D63" s="3523">
        <f>D61</f>
        <v>1.3963000000000001</v>
      </c>
      <c r="E63" s="3523">
        <f ca="1">E61</f>
        <v>1</v>
      </c>
      <c r="F63" s="3523">
        <v>1</v>
      </c>
      <c r="G63" s="3523">
        <f>G61</f>
        <v>1.056</v>
      </c>
      <c r="H63" s="3523">
        <f>'基准地价-办公'!F38</f>
        <v>0.25</v>
      </c>
      <c r="I63" s="3523">
        <f t="shared" ca="1" si="3"/>
        <v>6318</v>
      </c>
      <c r="J63" s="3523">
        <f t="shared" ca="1" si="4"/>
        <v>1580</v>
      </c>
      <c r="K63" s="3515" t="e">
        <f>G52</f>
        <v>#REF!</v>
      </c>
      <c r="L63" s="3523" t="e">
        <f t="shared" ca="1" si="5"/>
        <v>#REF!</v>
      </c>
      <c r="M63" s="3523">
        <v>0</v>
      </c>
      <c r="N63" s="3523">
        <v>0</v>
      </c>
      <c r="O63" s="3488" t="e">
        <f t="shared" ref="O63:O64" ca="1" si="6">ROUND(I63*K63/10000,4)</f>
        <v>#REF!</v>
      </c>
    </row>
    <row r="64" spans="1:16">
      <c r="A64" s="3523" t="s">
        <v>3373</v>
      </c>
      <c r="B64" s="3523" t="s">
        <v>2770</v>
      </c>
      <c r="C64" s="3523">
        <f>C61</f>
        <v>17140</v>
      </c>
      <c r="D64" s="3523">
        <f>D61</f>
        <v>1.3963000000000001</v>
      </c>
      <c r="E64" s="3523">
        <f ca="1">E61</f>
        <v>1</v>
      </c>
      <c r="F64" s="3523">
        <v>1</v>
      </c>
      <c r="G64" s="3523">
        <f>G61</f>
        <v>1.056</v>
      </c>
      <c r="H64" s="3523">
        <f>'基准地价-办公'!F39</f>
        <v>0.2</v>
      </c>
      <c r="I64" s="3523">
        <f t="shared" ca="1" si="3"/>
        <v>5055</v>
      </c>
      <c r="J64" s="3523">
        <f t="shared" ca="1" si="4"/>
        <v>1264</v>
      </c>
      <c r="K64" s="3515" t="e">
        <f>G53</f>
        <v>#REF!</v>
      </c>
      <c r="L64" s="3523" t="e">
        <f t="shared" ca="1" si="5"/>
        <v>#REF!</v>
      </c>
      <c r="M64" s="3523">
        <v>0</v>
      </c>
      <c r="N64" s="3523">
        <v>0</v>
      </c>
      <c r="O64" s="3488" t="e">
        <f t="shared" ca="1" si="6"/>
        <v>#REF!</v>
      </c>
    </row>
    <row r="65" spans="2:16">
      <c r="K65" s="3523" t="s">
        <v>3408</v>
      </c>
      <c r="L65" s="3535" t="e">
        <f ca="1">O61-O60</f>
        <v>#REF!</v>
      </c>
      <c r="M65" s="3523">
        <v>0</v>
      </c>
      <c r="N65" s="3523">
        <v>0</v>
      </c>
      <c r="O65" s="3539" t="e">
        <f ca="1">SUM(O62:O64)</f>
        <v>#REF!</v>
      </c>
      <c r="P65" s="3488" t="e">
        <f ca="1">O65</f>
        <v>#REF!</v>
      </c>
    </row>
    <row r="66" spans="2:16">
      <c r="K66" s="3523" t="s">
        <v>3409</v>
      </c>
      <c r="L66" s="3517" t="e">
        <f ca="1">L62+L63+L64</f>
        <v>#REF!</v>
      </c>
      <c r="M66" s="3523">
        <v>0</v>
      </c>
      <c r="N66" s="3523">
        <v>0</v>
      </c>
    </row>
    <row r="67" spans="2:16">
      <c r="K67" s="3545" t="s">
        <v>3382</v>
      </c>
      <c r="L67" s="3545">
        <v>1250</v>
      </c>
    </row>
    <row r="68" spans="2:16" ht="12.75" thickBot="1">
      <c r="K68" s="3488" t="s">
        <v>3379</v>
      </c>
      <c r="L68" s="3488">
        <f>L67*0.03</f>
        <v>37.5</v>
      </c>
    </row>
    <row r="69" spans="2:16" ht="15" customHeight="1" thickBot="1">
      <c r="B69" s="3546" t="s">
        <v>3383</v>
      </c>
      <c r="C69" s="3547" t="s">
        <v>3292</v>
      </c>
      <c r="D69" s="3547" t="s">
        <v>3151</v>
      </c>
      <c r="E69" s="3547" t="s">
        <v>3384</v>
      </c>
      <c r="F69" s="3547" t="s">
        <v>3385</v>
      </c>
      <c r="G69" s="3547" t="s">
        <v>3386</v>
      </c>
      <c r="H69" s="3547" t="s">
        <v>3387</v>
      </c>
      <c r="I69" s="3547" t="s">
        <v>3180</v>
      </c>
      <c r="K69" s="3488" t="s">
        <v>3380</v>
      </c>
      <c r="L69" s="3488">
        <f>L67*0.0005</f>
        <v>0.625</v>
      </c>
    </row>
    <row r="70" spans="2:16" ht="60" customHeight="1">
      <c r="B70" s="3809" t="s">
        <v>3434</v>
      </c>
      <c r="C70" s="3812" t="s">
        <v>3388</v>
      </c>
      <c r="D70" s="3812" t="s">
        <v>3388</v>
      </c>
      <c r="E70" s="3812" t="e">
        <f>#REF!</f>
        <v>#REF!</v>
      </c>
      <c r="F70" s="3812" t="e">
        <f>#REF!</f>
        <v>#REF!</v>
      </c>
      <c r="G70" s="3812" t="e">
        <f>F70-E70</f>
        <v>#REF!</v>
      </c>
      <c r="H70" s="3814">
        <v>-0.27</v>
      </c>
      <c r="I70" s="3809" t="s">
        <v>3435</v>
      </c>
      <c r="K70" s="3488" t="s">
        <v>3381</v>
      </c>
      <c r="L70" s="3488">
        <f>L67+L68+L69</f>
        <v>1288.125</v>
      </c>
    </row>
    <row r="71" spans="2:16" ht="20.25" customHeight="1" thickBot="1">
      <c r="B71" s="3798"/>
      <c r="C71" s="3813"/>
      <c r="D71" s="3813"/>
      <c r="E71" s="3813"/>
      <c r="F71" s="3813"/>
      <c r="G71" s="3813"/>
      <c r="H71" s="3815"/>
      <c r="I71" s="3798"/>
    </row>
    <row r="72" spans="2:16" ht="21" customHeight="1" thickBot="1">
      <c r="B72" s="3796" t="s">
        <v>3436</v>
      </c>
      <c r="C72" s="3796" t="s">
        <v>3125</v>
      </c>
      <c r="D72" s="3548" t="s">
        <v>3389</v>
      </c>
      <c r="E72" s="3549" t="e">
        <f>#REF!</f>
        <v>#REF!</v>
      </c>
      <c r="F72" s="3551">
        <v>0</v>
      </c>
      <c r="G72" s="3575" t="e">
        <f>F72-E72</f>
        <v>#REF!</v>
      </c>
      <c r="H72" s="3809" t="s">
        <v>3437</v>
      </c>
      <c r="I72" s="3796" t="s">
        <v>3438</v>
      </c>
    </row>
    <row r="73" spans="2:16" ht="15" customHeight="1" thickBot="1">
      <c r="B73" s="3797"/>
      <c r="C73" s="3797"/>
      <c r="D73" s="3548" t="s">
        <v>3390</v>
      </c>
      <c r="E73" s="3551">
        <v>0</v>
      </c>
      <c r="F73" s="3549" t="e">
        <f>E72</f>
        <v>#REF!</v>
      </c>
      <c r="G73" s="3575" t="e">
        <f>F73-E73</f>
        <v>#REF!</v>
      </c>
      <c r="H73" s="3816"/>
      <c r="I73" s="3798"/>
    </row>
    <row r="74" spans="2:16" ht="15" customHeight="1" thickBot="1">
      <c r="B74" s="3797"/>
      <c r="C74" s="3797"/>
      <c r="D74" s="3548" t="s">
        <v>3390</v>
      </c>
      <c r="E74" s="3551">
        <v>0</v>
      </c>
      <c r="F74" s="3550" t="e">
        <f>#REF!</f>
        <v>#REF!</v>
      </c>
      <c r="G74" s="3574" t="e">
        <f>F74-E74</f>
        <v>#REF!</v>
      </c>
      <c r="H74" s="3568" t="s">
        <v>3439</v>
      </c>
      <c r="I74" s="3573" t="s">
        <v>3445</v>
      </c>
    </row>
    <row r="75" spans="2:16" ht="15" customHeight="1" thickBot="1">
      <c r="B75" s="3797"/>
      <c r="C75" s="3798"/>
      <c r="D75" s="3548" t="s">
        <v>27</v>
      </c>
      <c r="E75" s="3549" t="e">
        <f>SUM(E72:E74)</f>
        <v>#REF!</v>
      </c>
      <c r="F75" s="3551" t="e">
        <f>SUM(F72:F74)</f>
        <v>#REF!</v>
      </c>
      <c r="G75" s="3574" t="e">
        <f>SUM(G72:G74)</f>
        <v>#REF!</v>
      </c>
      <c r="H75" s="3548" t="s">
        <v>3440</v>
      </c>
      <c r="I75" s="3551" t="s">
        <v>3388</v>
      </c>
    </row>
    <row r="76" spans="2:16" ht="15" customHeight="1" thickBot="1">
      <c r="B76" s="3797"/>
      <c r="C76" s="3796" t="s">
        <v>3126</v>
      </c>
      <c r="D76" s="3548" t="s">
        <v>3441</v>
      </c>
      <c r="E76" s="3551">
        <v>0</v>
      </c>
      <c r="F76" s="3549" t="e">
        <f>#REF!</f>
        <v>#REF!</v>
      </c>
      <c r="G76" s="3550" t="e">
        <f>F76-E76</f>
        <v>#REF!</v>
      </c>
      <c r="H76" s="3809" t="s">
        <v>3391</v>
      </c>
      <c r="I76" s="3809" t="s">
        <v>3444</v>
      </c>
    </row>
    <row r="77" spans="2:16" ht="30.75" customHeight="1" thickBot="1">
      <c r="B77" s="3797"/>
      <c r="C77" s="3797"/>
      <c r="D77" s="3548" t="s">
        <v>3393</v>
      </c>
      <c r="E77" s="3551">
        <v>0</v>
      </c>
      <c r="F77" s="3549" t="e">
        <f>#REF!</f>
        <v>#REF!</v>
      </c>
      <c r="G77" s="3550" t="e">
        <f t="shared" ref="G77:G79" si="7">F77-E77</f>
        <v>#REF!</v>
      </c>
      <c r="H77" s="3797"/>
      <c r="I77" s="3797"/>
    </row>
    <row r="78" spans="2:16" ht="15" customHeight="1" thickBot="1">
      <c r="B78" s="3797"/>
      <c r="C78" s="3797"/>
      <c r="D78" s="3548" t="s">
        <v>3392</v>
      </c>
      <c r="E78" s="3551">
        <v>0</v>
      </c>
      <c r="F78" s="3549" t="e">
        <f>#REF!</f>
        <v>#REF!</v>
      </c>
      <c r="G78" s="3550" t="e">
        <f t="shared" si="7"/>
        <v>#REF!</v>
      </c>
      <c r="H78" s="3797"/>
      <c r="I78" s="3798"/>
    </row>
    <row r="79" spans="2:16" ht="15" customHeight="1" thickBot="1">
      <c r="B79" s="3797"/>
      <c r="C79" s="3797"/>
      <c r="D79" s="3548" t="s">
        <v>26</v>
      </c>
      <c r="E79" s="3551">
        <v>0</v>
      </c>
      <c r="F79" s="3549" t="e">
        <f>#REF!</f>
        <v>#REF!</v>
      </c>
      <c r="G79" s="3550" t="e">
        <f t="shared" si="7"/>
        <v>#REF!</v>
      </c>
      <c r="H79" s="3816"/>
      <c r="I79" s="3548" t="s">
        <v>3442</v>
      </c>
    </row>
    <row r="80" spans="2:16" ht="15" customHeight="1" thickBot="1">
      <c r="B80" s="3797"/>
      <c r="C80" s="3798"/>
      <c r="D80" s="3548" t="s">
        <v>27</v>
      </c>
      <c r="E80" s="3551">
        <f>SUM(E76:E79)</f>
        <v>0</v>
      </c>
      <c r="F80" s="3549" t="e">
        <f>SUM(F76:F79)</f>
        <v>#REF!</v>
      </c>
      <c r="G80" s="3550" t="e">
        <f>F80-E80</f>
        <v>#REF!</v>
      </c>
      <c r="H80" s="3551" t="s">
        <v>3388</v>
      </c>
      <c r="I80" s="3551" t="s">
        <v>3388</v>
      </c>
    </row>
    <row r="81" spans="2:9" ht="13.5" thickBot="1">
      <c r="B81" s="3798"/>
      <c r="C81" s="3810" t="s">
        <v>24</v>
      </c>
      <c r="D81" s="3811"/>
      <c r="E81" s="3576" t="e">
        <f>E75+E80</f>
        <v>#REF!</v>
      </c>
      <c r="F81" s="3576" t="e">
        <f>SUM(F75+F80)</f>
        <v>#REF!</v>
      </c>
      <c r="G81" s="3576" t="e">
        <f>F81-E81</f>
        <v>#REF!</v>
      </c>
      <c r="H81" s="3551" t="s">
        <v>3388</v>
      </c>
      <c r="I81" s="3548" t="s">
        <v>3443</v>
      </c>
    </row>
    <row r="83" spans="2:9">
      <c r="B83" s="3488" t="s">
        <v>3423</v>
      </c>
    </row>
    <row r="84" spans="2:9" ht="24">
      <c r="B84" s="3552" t="s">
        <v>3420</v>
      </c>
      <c r="C84" s="3553" t="s">
        <v>3418</v>
      </c>
      <c r="D84" s="3553" t="s">
        <v>3414</v>
      </c>
      <c r="E84" s="3556" t="s">
        <v>3415</v>
      </c>
      <c r="F84" s="3553" t="s">
        <v>3416</v>
      </c>
      <c r="G84" s="3556" t="s">
        <v>3417</v>
      </c>
    </row>
    <row r="85" spans="2:9" ht="22.5" customHeight="1">
      <c r="B85" s="3802" t="s">
        <v>3424</v>
      </c>
      <c r="C85" s="3803"/>
      <c r="D85" s="3803"/>
      <c r="E85" s="3803"/>
      <c r="F85" s="3803"/>
      <c r="G85" s="3804"/>
    </row>
    <row r="86" spans="2:9">
      <c r="B86" s="3553" t="s">
        <v>3425</v>
      </c>
      <c r="C86" s="3554" t="e">
        <f>E72</f>
        <v>#REF!</v>
      </c>
      <c r="D86" s="3553">
        <f>E2</f>
        <v>46567</v>
      </c>
      <c r="E86" s="3553" t="e">
        <f>ROUND(C86*D86/10000,4)</f>
        <v>#REF!</v>
      </c>
      <c r="F86" s="3553">
        <f>F2</f>
        <v>11642</v>
      </c>
      <c r="G86" s="3553" t="e">
        <f>ROUND(C86*F86/10000,4)</f>
        <v>#REF!</v>
      </c>
    </row>
    <row r="87" spans="2:9">
      <c r="B87" s="3553" t="s">
        <v>3426</v>
      </c>
      <c r="C87" s="3554" t="e">
        <f>C86</f>
        <v>#REF!</v>
      </c>
      <c r="D87" s="3553">
        <f>E5</f>
        <v>31991</v>
      </c>
      <c r="E87" s="3553" t="e">
        <f>ROUND(C87*D87/10000,4)</f>
        <v>#REF!</v>
      </c>
      <c r="F87" s="3553">
        <f>F5</f>
        <v>7998</v>
      </c>
      <c r="G87" s="3553" t="e">
        <f>ROUND(C87*F87/10000,4)</f>
        <v>#REF!</v>
      </c>
      <c r="H87" s="3488">
        <f>F87-F86</f>
        <v>-3644</v>
      </c>
    </row>
    <row r="88" spans="2:9" ht="16.5" customHeight="1">
      <c r="B88" s="3560" t="s">
        <v>3411</v>
      </c>
      <c r="C88" s="3561" t="e">
        <f>ROUND(C87*D88/10000,4)</f>
        <v>#REF!</v>
      </c>
      <c r="D88" s="3560">
        <f>D87-D86</f>
        <v>-14576</v>
      </c>
      <c r="E88" s="3562" t="e">
        <f>E87-E86</f>
        <v>#REF!</v>
      </c>
      <c r="F88" s="3560">
        <f>F87-F86</f>
        <v>-3644</v>
      </c>
      <c r="G88" s="3562" t="e">
        <f>ROUND(F88*C87/10000,4)</f>
        <v>#REF!</v>
      </c>
    </row>
    <row r="89" spans="2:9" ht="25.5" customHeight="1">
      <c r="B89" s="3799" t="s">
        <v>3432</v>
      </c>
      <c r="C89" s="3800"/>
      <c r="D89" s="3800"/>
      <c r="E89" s="3800"/>
      <c r="F89" s="3800"/>
      <c r="G89" s="3801"/>
    </row>
    <row r="90" spans="2:9">
      <c r="B90" s="3553" t="s">
        <v>3431</v>
      </c>
      <c r="C90" s="3555" t="e">
        <f>F74</f>
        <v>#REF!</v>
      </c>
      <c r="D90" s="3556">
        <f ca="1">E8</f>
        <v>31991</v>
      </c>
      <c r="E90" s="3562" t="e">
        <f ca="1">ROUND(C90*D90/10000,4)</f>
        <v>#REF!</v>
      </c>
      <c r="F90" s="3567">
        <f ca="1">F8</f>
        <v>7998</v>
      </c>
      <c r="G90" s="3567" t="e">
        <f ca="1">ROUND(F90*C90/10000,4)</f>
        <v>#REF!</v>
      </c>
      <c r="H90" s="3488" t="e">
        <f ca="1">G88+G90</f>
        <v>#REF!</v>
      </c>
    </row>
    <row r="91" spans="2:9">
      <c r="B91" s="3563" t="s">
        <v>3421</v>
      </c>
      <c r="C91" s="3564"/>
      <c r="D91" s="3565"/>
      <c r="E91" s="3566" t="e">
        <f ca="1">E90+E88</f>
        <v>#REF!</v>
      </c>
      <c r="F91" s="3565"/>
      <c r="G91" s="3577" t="e">
        <f ca="1">E90+G88</f>
        <v>#REF!</v>
      </c>
    </row>
    <row r="92" spans="2:9" ht="27.75" customHeight="1">
      <c r="B92" s="3799" t="s">
        <v>3419</v>
      </c>
      <c r="C92" s="3800"/>
      <c r="D92" s="3800"/>
      <c r="E92" s="3800"/>
      <c r="F92" s="3800"/>
      <c r="G92" s="3801"/>
    </row>
    <row r="93" spans="2:9">
      <c r="B93" s="3553" t="s">
        <v>3427</v>
      </c>
      <c r="C93" s="3554" t="e">
        <f>F76</f>
        <v>#REF!</v>
      </c>
      <c r="D93" s="3567">
        <f ca="1">E11</f>
        <v>7130</v>
      </c>
      <c r="E93" s="3567" t="e">
        <f ca="1">ROUND(C93*D93/10000,4)</f>
        <v>#REF!</v>
      </c>
      <c r="F93" s="3553">
        <f ca="1">F11</f>
        <v>1783</v>
      </c>
      <c r="G93" s="3553" t="e">
        <f ca="1">ROUND(C93*F93/10000,4)</f>
        <v>#REF!</v>
      </c>
    </row>
    <row r="94" spans="2:9">
      <c r="B94" s="3553" t="s">
        <v>3428</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3429</v>
      </c>
      <c r="C95" s="3554" t="e">
        <f>F78</f>
        <v>#REF!</v>
      </c>
      <c r="D95" s="3567" t="e">
        <f ca="1">E17</f>
        <v>#VALUE!</v>
      </c>
      <c r="E95" s="3567" t="e">
        <f t="shared" ca="1" si="8"/>
        <v>#REF!</v>
      </c>
      <c r="F95" s="3553" t="e">
        <f ca="1">F17</f>
        <v>#VALUE!</v>
      </c>
      <c r="G95" s="3553" t="e">
        <f t="shared" ca="1" si="9"/>
        <v>#REF!</v>
      </c>
    </row>
    <row r="96" spans="2:9">
      <c r="B96" s="3560" t="s">
        <v>3422</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3413</v>
      </c>
      <c r="C99" s="3553" t="str">
        <f>C84</f>
        <v>建筑面积（平方米）</v>
      </c>
      <c r="D99" s="3553" t="str">
        <f>D84</f>
        <v>熟地价单价（元/平方米）</v>
      </c>
      <c r="E99" s="3556" t="str">
        <f>E84</f>
        <v>熟地总价（万元）</v>
      </c>
      <c r="F99" s="3553" t="s">
        <v>3416</v>
      </c>
      <c r="G99" s="3556" t="str">
        <f>G84</f>
        <v>政府土地出让收益总价（万元）</v>
      </c>
    </row>
    <row r="100" spans="2:7" ht="27" customHeight="1">
      <c r="B100" s="3802" t="str">
        <f>B85</f>
        <v>地上用途变更部分（满年限 熟地价）</v>
      </c>
      <c r="C100" s="3803"/>
      <c r="D100" s="3803"/>
      <c r="E100" s="3803"/>
      <c r="F100" s="3803"/>
      <c r="G100" s="3804"/>
    </row>
    <row r="101" spans="2:7">
      <c r="B101" s="3553" t="s">
        <v>3425</v>
      </c>
      <c r="C101" s="3554" t="e">
        <f>C86</f>
        <v>#REF!</v>
      </c>
      <c r="D101" s="3553" t="e">
        <f ca="1">I60</f>
        <v>#DIV/0!</v>
      </c>
      <c r="E101" s="3553" t="e">
        <f ca="1">ROUND(C101*D101/10000,4)</f>
        <v>#REF!</v>
      </c>
      <c r="F101" s="3553" t="e">
        <f ca="1">J60</f>
        <v>#DIV/0!</v>
      </c>
      <c r="G101" s="3553" t="e">
        <f ca="1">ROUND(C101*F101/10000,4)</f>
        <v>#REF!</v>
      </c>
    </row>
    <row r="102" spans="2:7">
      <c r="B102" s="3553" t="s">
        <v>3426</v>
      </c>
      <c r="C102" s="3554" t="e">
        <f>C101</f>
        <v>#REF!</v>
      </c>
      <c r="D102" s="3553">
        <f ca="1">I61</f>
        <v>20297</v>
      </c>
      <c r="E102" s="3553" t="e">
        <f ca="1">ROUND(C102*D102/10000,4)</f>
        <v>#REF!</v>
      </c>
      <c r="F102" s="3553">
        <f ca="1">J61</f>
        <v>5074</v>
      </c>
      <c r="G102" s="3553" t="e">
        <f ca="1">ROUND(C102*F102/10000,4)</f>
        <v>#REF!</v>
      </c>
    </row>
    <row r="103" spans="2:7" ht="19.5" customHeight="1">
      <c r="B103" s="3560" t="s">
        <v>3411</v>
      </c>
      <c r="C103" s="3561"/>
      <c r="D103" s="3560"/>
      <c r="E103" s="3562" t="e">
        <f ca="1">E102-E101</f>
        <v>#REF!</v>
      </c>
      <c r="F103" s="3560"/>
      <c r="G103" s="3562" t="e">
        <f ca="1">G102-G101</f>
        <v>#REF!</v>
      </c>
    </row>
    <row r="104" spans="2:7" ht="23.25" customHeight="1">
      <c r="B104" s="3799" t="str">
        <f>B89</f>
        <v>地上新增部分（剩余年限 熟地价）</v>
      </c>
      <c r="C104" s="3800"/>
      <c r="D104" s="3800"/>
      <c r="E104" s="3800"/>
      <c r="F104" s="3800"/>
      <c r="G104" s="3801"/>
    </row>
    <row r="105" spans="2:7">
      <c r="B105" s="3553" t="str">
        <f>B90</f>
        <v>地上办公（剩余年限）容积率1.25</v>
      </c>
      <c r="C105" s="3555" t="e">
        <f>C90</f>
        <v>#REF!</v>
      </c>
      <c r="D105" s="3553">
        <f ca="1">D90</f>
        <v>31991</v>
      </c>
      <c r="E105" s="3562" t="e">
        <f ca="1">ROUND(C105*D105/10000,4)</f>
        <v>#REF!</v>
      </c>
      <c r="F105" s="3567" t="s">
        <v>3430</v>
      </c>
      <c r="G105" s="3567" t="s">
        <v>3430</v>
      </c>
    </row>
    <row r="106" spans="2:7" ht="16.5" customHeight="1">
      <c r="B106" s="3563" t="s">
        <v>3421</v>
      </c>
      <c r="C106" s="3564"/>
      <c r="D106" s="3565"/>
      <c r="E106" s="3566" t="e">
        <f ca="1">E105+E103</f>
        <v>#REF!</v>
      </c>
      <c r="F106" s="3565"/>
      <c r="G106" s="3577" t="e">
        <f ca="1">E105+G103</f>
        <v>#REF!</v>
      </c>
    </row>
    <row r="107" spans="2:7" ht="23.25" customHeight="1">
      <c r="B107" s="3799" t="str">
        <f>B92</f>
        <v>地下新增部分（剩余年限 政府土地出让收益）</v>
      </c>
      <c r="C107" s="3800"/>
      <c r="D107" s="3800"/>
      <c r="E107" s="3800"/>
      <c r="F107" s="3800"/>
      <c r="G107" s="3801"/>
    </row>
    <row r="108" spans="2:7">
      <c r="B108" s="3553" t="s">
        <v>3427</v>
      </c>
      <c r="C108" s="3554" t="e">
        <f>C93</f>
        <v>#REF!</v>
      </c>
      <c r="D108" s="3567" t="s">
        <v>3430</v>
      </c>
      <c r="E108" s="3567" t="s">
        <v>3430</v>
      </c>
      <c r="F108" s="3553">
        <f ca="1">J62</f>
        <v>1580</v>
      </c>
      <c r="G108" s="3553" t="e">
        <f ca="1">ROUND(C108*F108/10000,4)</f>
        <v>#REF!</v>
      </c>
    </row>
    <row r="109" spans="2:7">
      <c r="B109" s="3553" t="s">
        <v>3428</v>
      </c>
      <c r="C109" s="3554" t="e">
        <f t="shared" ref="C109:C110" si="10">C94</f>
        <v>#REF!</v>
      </c>
      <c r="D109" s="3567" t="s">
        <v>3430</v>
      </c>
      <c r="E109" s="3567" t="s">
        <v>3430</v>
      </c>
      <c r="F109" s="3553">
        <f ca="1">J63</f>
        <v>1580</v>
      </c>
      <c r="G109" s="3553" t="e">
        <f t="shared" ref="G109:G110" ca="1" si="11">ROUND(C109*F109/10000,4)</f>
        <v>#REF!</v>
      </c>
    </row>
    <row r="110" spans="2:7">
      <c r="B110" s="3553" t="s">
        <v>3429</v>
      </c>
      <c r="C110" s="3554" t="e">
        <f t="shared" si="10"/>
        <v>#REF!</v>
      </c>
      <c r="D110" s="3567" t="s">
        <v>3430</v>
      </c>
      <c r="E110" s="3567" t="s">
        <v>3430</v>
      </c>
      <c r="F110" s="3553">
        <f ca="1">J64</f>
        <v>1264</v>
      </c>
      <c r="G110" s="3553" t="e">
        <f t="shared" ca="1" si="11"/>
        <v>#REF!</v>
      </c>
    </row>
    <row r="111" spans="2:7">
      <c r="B111" s="3562" t="s">
        <v>3412</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3151</v>
      </c>
      <c r="C115" s="3584" t="s">
        <v>3359</v>
      </c>
      <c r="D115" s="3584" t="s">
        <v>3360</v>
      </c>
      <c r="E115" s="3584" t="s">
        <v>3361</v>
      </c>
      <c r="F115" s="3584" t="s">
        <v>3362</v>
      </c>
      <c r="G115" s="3584" t="s">
        <v>3364</v>
      </c>
      <c r="H115" s="3584" t="s">
        <v>3448</v>
      </c>
      <c r="I115" s="3584" t="s">
        <v>3449</v>
      </c>
      <c r="J115" s="3584" t="s">
        <v>3450</v>
      </c>
    </row>
    <row r="116" spans="2:11" ht="15" thickBot="1">
      <c r="B116" s="3585" t="s">
        <v>3451</v>
      </c>
      <c r="C116" s="3586" t="s">
        <v>3452</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3453</v>
      </c>
      <c r="C117" s="3586" t="s">
        <v>3454</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3455</v>
      </c>
      <c r="C118" s="3586" t="s">
        <v>3454</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3456</v>
      </c>
      <c r="C119" s="3790" t="s">
        <v>3454</v>
      </c>
      <c r="D119" s="3793">
        <v>17140</v>
      </c>
      <c r="E119" s="3793">
        <v>1.3963000000000001</v>
      </c>
      <c r="F119" s="3793">
        <v>0.78690000000000004</v>
      </c>
      <c r="G119" s="3793">
        <v>1.0537000000000001</v>
      </c>
      <c r="H119" s="3587">
        <v>0.25</v>
      </c>
      <c r="I119" s="3588">
        <f t="shared" si="12"/>
        <v>4961</v>
      </c>
      <c r="J119" s="3588">
        <f t="shared" si="13"/>
        <v>1240</v>
      </c>
      <c r="K119" s="3488">
        <f ca="1">F93</f>
        <v>1783</v>
      </c>
    </row>
    <row r="120" spans="2:11" ht="12.75" thickBot="1">
      <c r="B120" s="3585" t="s">
        <v>3457</v>
      </c>
      <c r="C120" s="3791"/>
      <c r="D120" s="3794"/>
      <c r="E120" s="3794"/>
      <c r="F120" s="3794"/>
      <c r="G120" s="3794"/>
      <c r="H120" s="3587">
        <v>0.25</v>
      </c>
      <c r="I120" s="3588">
        <f>I119</f>
        <v>4961</v>
      </c>
      <c r="J120" s="3588">
        <f t="shared" si="13"/>
        <v>1240</v>
      </c>
      <c r="K120" s="3488">
        <f ca="1">K119</f>
        <v>1783</v>
      </c>
    </row>
    <row r="121" spans="2:11" ht="12.75" thickBot="1">
      <c r="B121" s="3585" t="s">
        <v>3458</v>
      </c>
      <c r="C121" s="3792"/>
      <c r="D121" s="3795"/>
      <c r="E121" s="3795"/>
      <c r="F121" s="3795"/>
      <c r="G121" s="3795"/>
      <c r="H121" s="3587">
        <v>0.2</v>
      </c>
      <c r="I121" s="3588">
        <f>ROUND(D119*E119*F119*G119*H121,0)</f>
        <v>3969</v>
      </c>
      <c r="J121" s="3588">
        <f t="shared" si="13"/>
        <v>992</v>
      </c>
      <c r="K121" s="3488" t="e">
        <f ca="1">F95</f>
        <v>#VALUE!</v>
      </c>
    </row>
    <row r="122" spans="2:11" ht="12.75" thickBot="1">
      <c r="B122" s="3585" t="s">
        <v>3447</v>
      </c>
      <c r="C122" s="3587" t="s">
        <v>3245</v>
      </c>
      <c r="D122" s="3587" t="s">
        <v>3245</v>
      </c>
      <c r="E122" s="3587" t="s">
        <v>3245</v>
      </c>
      <c r="F122" s="3587" t="s">
        <v>3245</v>
      </c>
      <c r="G122" s="3587" t="s">
        <v>3245</v>
      </c>
      <c r="H122" s="3587" t="s">
        <v>3245</v>
      </c>
      <c r="I122" s="3588" t="s">
        <v>3245</v>
      </c>
      <c r="J122" s="3588" t="s">
        <v>3245</v>
      </c>
    </row>
    <row r="126" spans="2:11" ht="12.75" thickBot="1"/>
    <row r="127" spans="2:11" ht="31.5">
      <c r="B127" s="3844" t="s">
        <v>3292</v>
      </c>
      <c r="C127" s="3844" t="s">
        <v>3459</v>
      </c>
      <c r="D127" s="3844" t="s">
        <v>3151</v>
      </c>
      <c r="E127" s="3844" t="s">
        <v>3460</v>
      </c>
      <c r="F127" s="3844" t="s">
        <v>3312</v>
      </c>
      <c r="G127" s="3589" t="s">
        <v>3461</v>
      </c>
    </row>
    <row r="128" spans="2:11" ht="16.5" thickBot="1">
      <c r="B128" s="3845"/>
      <c r="C128" s="3845"/>
      <c r="D128" s="3845"/>
      <c r="E128" s="3845"/>
      <c r="F128" s="3845"/>
      <c r="G128" s="3590" t="s">
        <v>3295</v>
      </c>
    </row>
    <row r="129" spans="2:7" ht="14.25" thickBot="1">
      <c r="B129" s="3846" t="s">
        <v>3125</v>
      </c>
      <c r="C129" s="3849" t="s">
        <v>3437</v>
      </c>
      <c r="D129" s="3591" t="s">
        <v>3462</v>
      </c>
      <c r="E129" s="3592">
        <f>I116</f>
        <v>56548</v>
      </c>
      <c r="F129" s="3838">
        <v>10721.3</v>
      </c>
      <c r="G129" s="3838">
        <f>ROUND(E131*F129/10000,4)</f>
        <v>-26328.296399999999</v>
      </c>
    </row>
    <row r="130" spans="2:7" ht="14.25" thickBot="1">
      <c r="B130" s="3847"/>
      <c r="C130" s="3850"/>
      <c r="D130" s="3591" t="s">
        <v>3463</v>
      </c>
      <c r="E130" s="3592">
        <f>D87</f>
        <v>31991</v>
      </c>
      <c r="F130" s="3839"/>
      <c r="G130" s="3839"/>
    </row>
    <row r="131" spans="2:7" ht="14.25" thickBot="1">
      <c r="B131" s="3847"/>
      <c r="C131" s="3851"/>
      <c r="D131" s="3591" t="s">
        <v>3464</v>
      </c>
      <c r="E131" s="3592">
        <f>E130-E129</f>
        <v>-24557</v>
      </c>
      <c r="F131" s="3840"/>
      <c r="G131" s="3840"/>
    </row>
    <row r="132" spans="2:7" ht="14.25" thickBot="1">
      <c r="B132" s="3847"/>
      <c r="C132" s="3593" t="s">
        <v>3465</v>
      </c>
      <c r="D132" s="3591" t="s">
        <v>3130</v>
      </c>
      <c r="E132" s="3592">
        <v>24710</v>
      </c>
      <c r="F132" s="3592">
        <v>4277.95</v>
      </c>
      <c r="G132" s="3592">
        <f>ROUND(E132*F132/10000,4)</f>
        <v>10570.8145</v>
      </c>
    </row>
    <row r="133" spans="2:7" ht="14.25" thickBot="1">
      <c r="B133" s="3848"/>
      <c r="C133" s="3841" t="s">
        <v>27</v>
      </c>
      <c r="D133" s="3842"/>
      <c r="E133" s="3843"/>
      <c r="F133" s="3594" t="s">
        <v>2770</v>
      </c>
      <c r="G133" s="3594">
        <f>G129+G132</f>
        <v>-15757.481899999999</v>
      </c>
    </row>
    <row r="134" spans="2:7" ht="14.25" thickBot="1">
      <c r="B134" s="3846" t="s">
        <v>3126</v>
      </c>
      <c r="C134" s="3849" t="s">
        <v>3391</v>
      </c>
      <c r="D134" s="3593" t="s">
        <v>3466</v>
      </c>
      <c r="E134" s="3592">
        <f ca="1">F93</f>
        <v>1783</v>
      </c>
      <c r="F134" s="3592">
        <v>4429.25</v>
      </c>
      <c r="G134" s="3592">
        <f ca="1">ROUND(E134*F134/10000,4)</f>
        <v>789.73530000000005</v>
      </c>
    </row>
    <row r="135" spans="2:7" ht="14.25" thickBot="1">
      <c r="B135" s="3847"/>
      <c r="C135" s="3850"/>
      <c r="D135" s="3593" t="s">
        <v>3467</v>
      </c>
      <c r="E135" s="3592">
        <f ca="1">E134</f>
        <v>1783</v>
      </c>
      <c r="F135" s="3592">
        <v>1130</v>
      </c>
      <c r="G135" s="3592">
        <f t="shared" ref="G135:G136" ca="1" si="14">ROUND(E135*F135/10000,4)</f>
        <v>201.47900000000001</v>
      </c>
    </row>
    <row r="136" spans="2:7" ht="14.25" thickBot="1">
      <c r="B136" s="3847"/>
      <c r="C136" s="3851"/>
      <c r="D136" s="3593" t="s">
        <v>35</v>
      </c>
      <c r="E136" s="3592" t="e">
        <f ca="1">F95</f>
        <v>#VALUE!</v>
      </c>
      <c r="F136" s="3592">
        <v>3744.59</v>
      </c>
      <c r="G136" s="3592" t="e">
        <f t="shared" ca="1" si="14"/>
        <v>#VALUE!</v>
      </c>
    </row>
    <row r="137" spans="2:7" ht="14.25" thickBot="1">
      <c r="B137" s="3848"/>
      <c r="C137" s="3841" t="s">
        <v>27</v>
      </c>
      <c r="D137" s="3842"/>
      <c r="E137" s="3843"/>
      <c r="F137" s="3595" t="s">
        <v>2770</v>
      </c>
      <c r="G137" s="3594" t="e">
        <f ca="1">G134+G135+G136</f>
        <v>#VALUE!</v>
      </c>
    </row>
    <row r="138" spans="2:7" ht="14.25" thickBot="1">
      <c r="B138" s="3841" t="s">
        <v>3468</v>
      </c>
      <c r="C138" s="3842"/>
      <c r="D138" s="3842"/>
      <c r="E138" s="3843"/>
      <c r="F138" s="3595" t="s">
        <v>2770</v>
      </c>
      <c r="G138" s="3594"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52"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56"/>
      <c r="B8" s="1335" t="s">
        <v>909</v>
      </c>
      <c r="C8" s="1440" t="s">
        <v>3469</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7" t="s">
        <v>2735</v>
      </c>
      <c r="X8" s="3858"/>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6"/>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9"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6"/>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9"/>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6"/>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9"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52"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9"/>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0"/>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9"/>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60"/>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61"/>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52" t="s">
        <v>1813</v>
      </c>
      <c r="B16" s="1348" t="s">
        <v>925</v>
      </c>
      <c r="C16" s="1020" t="e">
        <f>ROUND(IF(F17="与级别开发程度一致",0,(G17-E17)/C17),0)</f>
        <v>#DIV/0!</v>
      </c>
      <c r="D16" s="3854" t="s">
        <v>929</v>
      </c>
      <c r="E16" s="3855"/>
      <c r="F16" s="3854" t="s">
        <v>926</v>
      </c>
      <c r="G16" s="3855"/>
      <c r="H16" s="1380" t="s">
        <v>3135</v>
      </c>
      <c r="I16" s="1380" t="s">
        <v>3136</v>
      </c>
      <c r="J16" s="1380" t="s">
        <v>3137</v>
      </c>
      <c r="K16" s="1380" t="s">
        <v>3138</v>
      </c>
      <c r="L16" s="1380" t="s">
        <v>3139</v>
      </c>
      <c r="M16" s="1380" t="s">
        <v>3377</v>
      </c>
      <c r="N16" s="1380" t="s">
        <v>3378</v>
      </c>
      <c r="O16" s="2814" t="s">
        <v>3376</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53"/>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3148</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3407</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3510"/>
      <c r="L90" s="3510"/>
      <c r="M90" s="3510"/>
      <c r="N90" s="3510"/>
    </row>
    <row r="91" spans="1:40">
      <c r="A91" s="3872" t="s">
        <v>873</v>
      </c>
      <c r="B91" s="3872" t="s">
        <v>1609</v>
      </c>
      <c r="C91" s="1104" t="s">
        <v>1610</v>
      </c>
      <c r="D91" s="1105"/>
      <c r="E91" s="1105"/>
      <c r="F91" s="1105"/>
      <c r="G91" s="1105"/>
      <c r="H91" s="1105"/>
      <c r="I91" s="1105"/>
      <c r="J91" s="1106"/>
      <c r="K91" s="1098"/>
      <c r="L91" s="1098"/>
      <c r="M91" s="1098"/>
      <c r="N91" s="1098"/>
    </row>
    <row r="92" spans="1:40">
      <c r="A92" s="3872"/>
      <c r="B92" s="3872"/>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4"/>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62"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63"/>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63"/>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63"/>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63"/>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63"/>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63"/>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63"/>
      <c r="B108" s="3865"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4"/>
      <c r="B109" s="3866"/>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67" t="s">
        <v>1614</v>
      </c>
      <c r="B110" s="3867"/>
      <c r="C110" s="3867"/>
      <c r="D110" s="3867"/>
      <c r="E110" s="3867"/>
      <c r="F110" s="3867"/>
      <c r="G110" s="3867"/>
      <c r="H110" s="3867"/>
      <c r="I110" s="3867"/>
      <c r="J110" s="3867"/>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52">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1" t="s">
        <v>2717</v>
      </c>
      <c r="X7" s="2608">
        <f>G2</f>
        <v>0</v>
      </c>
      <c r="Y7" s="2608" t="s">
        <v>2718</v>
      </c>
      <c r="Z7" s="2609">
        <f>G3</f>
        <v>5.56</v>
      </c>
      <c r="AA7" s="2041"/>
      <c r="AB7" s="2041"/>
      <c r="AC7" s="2042"/>
      <c r="AD7" s="2610"/>
      <c r="AE7" s="2610"/>
      <c r="AF7" s="2610"/>
      <c r="AG7" s="2610"/>
      <c r="AH7" s="2610"/>
      <c r="AI7" s="2610"/>
      <c r="AJ7" s="2611"/>
    </row>
    <row r="8" spans="1:39" ht="15">
      <c r="A8" s="3856"/>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7" t="s">
        <v>2735</v>
      </c>
      <c r="X8" s="3858"/>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6"/>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9"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6"/>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9"/>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6"/>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9"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52"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9"/>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0"/>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9"/>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60"/>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61"/>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52" t="s">
        <v>1813</v>
      </c>
      <c r="B16" s="1348" t="s">
        <v>925</v>
      </c>
      <c r="C16" s="1020" t="e">
        <f>ROUND(IF(F17="与级别开发程度一致",0,(G17-E17)/C17),0)</f>
        <v>#DIV/0!</v>
      </c>
      <c r="D16" s="3854" t="s">
        <v>929</v>
      </c>
      <c r="E16" s="3855"/>
      <c r="F16" s="3854" t="s">
        <v>926</v>
      </c>
      <c r="G16" s="3855"/>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53"/>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3150</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3449"/>
      <c r="L90" s="3449"/>
      <c r="M90" s="3449"/>
      <c r="N90" s="3449"/>
    </row>
    <row r="91" spans="1:40">
      <c r="A91" s="3872" t="s">
        <v>873</v>
      </c>
      <c r="B91" s="3872" t="s">
        <v>1609</v>
      </c>
      <c r="C91" s="1104" t="s">
        <v>1610</v>
      </c>
      <c r="D91" s="1105"/>
      <c r="E91" s="1105"/>
      <c r="F91" s="1105"/>
      <c r="G91" s="1105"/>
      <c r="H91" s="1105"/>
      <c r="I91" s="1105"/>
      <c r="J91" s="1106"/>
      <c r="K91" s="1098"/>
      <c r="L91" s="1098"/>
      <c r="M91" s="1098"/>
      <c r="N91" s="1098"/>
    </row>
    <row r="92" spans="1:40">
      <c r="A92" s="3872"/>
      <c r="B92" s="3872"/>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4"/>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62"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63"/>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63"/>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63"/>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63"/>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63"/>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63"/>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63"/>
      <c r="B108" s="3865"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4"/>
      <c r="B109" s="3866"/>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867" t="s">
        <v>1614</v>
      </c>
      <c r="B110" s="3867"/>
      <c r="C110" s="3867"/>
      <c r="D110" s="3867"/>
      <c r="E110" s="3867"/>
      <c r="F110" s="3867"/>
      <c r="G110" s="3867"/>
      <c r="H110" s="3867"/>
      <c r="I110" s="3867"/>
      <c r="J110" s="3867"/>
      <c r="K110" s="3448"/>
      <c r="L110" s="3448"/>
      <c r="M110" s="3448"/>
      <c r="N110" s="3448"/>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3161</v>
      </c>
      <c r="F3" s="1334" t="s">
        <v>3143</v>
      </c>
      <c r="G3" s="3458">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52"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56"/>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7" t="s">
        <v>2735</v>
      </c>
      <c r="X8" s="3858"/>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6"/>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9"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6"/>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9"/>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6"/>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9"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52"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9"/>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0"/>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9"/>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60"/>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61"/>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52" t="s">
        <v>1813</v>
      </c>
      <c r="B16" s="1348" t="s">
        <v>925</v>
      </c>
      <c r="C16" s="1020">
        <f>ROUND(IF(F17="与级别开发程度一致",0,(G17-E17)/C17),0)</f>
        <v>0</v>
      </c>
      <c r="D16" s="3854" t="s">
        <v>929</v>
      </c>
      <c r="E16" s="3855"/>
      <c r="F16" s="3854" t="s">
        <v>926</v>
      </c>
      <c r="G16" s="3855"/>
      <c r="H16" s="1380" t="s">
        <v>3135</v>
      </c>
      <c r="I16" s="1380" t="s">
        <v>3136</v>
      </c>
      <c r="J16" s="1380" t="s">
        <v>3137</v>
      </c>
      <c r="K16" s="1380" t="s">
        <v>3138</v>
      </c>
      <c r="L16" s="1380" t="s">
        <v>3139</v>
      </c>
      <c r="M16" s="1380" t="s">
        <v>3377</v>
      </c>
      <c r="N16" s="1380" t="s">
        <v>3378</v>
      </c>
      <c r="O16" s="2814" t="s">
        <v>3376</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53"/>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59"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3149</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3149</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3149</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3149</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3149</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3149</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3149</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3407</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3149</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2273"/>
      <c r="L90" s="2273"/>
      <c r="M90" s="2273"/>
      <c r="N90" s="2273"/>
    </row>
    <row r="91" spans="1:40">
      <c r="A91" s="3872" t="s">
        <v>1418</v>
      </c>
      <c r="B91" s="3872" t="s">
        <v>1609</v>
      </c>
      <c r="C91" s="1104" t="s">
        <v>1610</v>
      </c>
      <c r="D91" s="1105"/>
      <c r="E91" s="1105"/>
      <c r="F91" s="1105"/>
      <c r="G91" s="1105"/>
      <c r="H91" s="1105"/>
      <c r="I91" s="1105"/>
      <c r="J91" s="1106"/>
      <c r="K91" s="1098"/>
      <c r="L91" s="1098"/>
      <c r="M91" s="1098"/>
      <c r="N91" s="1098"/>
    </row>
    <row r="92" spans="1:40">
      <c r="A92" s="3872"/>
      <c r="B92" s="3872"/>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64"/>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62"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63"/>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63"/>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63"/>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63"/>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63"/>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63"/>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63"/>
      <c r="B108" s="3865"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64"/>
      <c r="B109" s="3866"/>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867" t="s">
        <v>1614</v>
      </c>
      <c r="B110" s="3867"/>
      <c r="C110" s="3867"/>
      <c r="D110" s="3867"/>
      <c r="E110" s="3867"/>
      <c r="F110" s="3867"/>
      <c r="G110" s="3867"/>
      <c r="H110" s="3867"/>
      <c r="I110" s="3867"/>
      <c r="J110" s="3867"/>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875" t="s">
        <v>2417</v>
      </c>
      <c r="C6" s="754" t="e">
        <f ca="1">ROUND(F6*F8*F7*(1-F9)/10000,0)</f>
        <v>#N/A</v>
      </c>
      <c r="D6" s="2316" t="s">
        <v>2416</v>
      </c>
      <c r="E6" s="755" t="s">
        <v>1713</v>
      </c>
      <c r="F6" s="756" t="e">
        <f ca="1">INDIRECT("'数据-取费表'!u"&amp;$G$1)</f>
        <v>#N/A</v>
      </c>
      <c r="G6" s="1914"/>
      <c r="H6" s="2323" t="s">
        <v>2422</v>
      </c>
      <c r="I6" s="3875" t="s">
        <v>2417</v>
      </c>
      <c r="J6" s="754" t="e">
        <f ca="1">ROUND(M6*M8*M7*(1-M9)/10000,0)</f>
        <v>#N/A</v>
      </c>
      <c r="K6" s="338" t="s">
        <v>1712</v>
      </c>
      <c r="L6" s="755" t="s">
        <v>1713</v>
      </c>
      <c r="M6" s="756" t="e">
        <f ca="1">INDIRECT("'数据-取费表'!z"&amp;$G$1)</f>
        <v>#N/A</v>
      </c>
    </row>
    <row r="7" spans="1:33" ht="18" customHeight="1">
      <c r="A7" s="2319"/>
      <c r="B7" s="3876"/>
      <c r="C7" s="759"/>
      <c r="D7" s="760"/>
      <c r="E7" s="755" t="s">
        <v>1714</v>
      </c>
      <c r="F7" s="756" t="e">
        <f ca="1">IF(INDIRECT("'数据-取费表'!ah"&amp;$G$1)="",INDIRECT("'数据-取费表'!k"&amp;$G$1),INDIRECT("'数据-取费表'!ah"&amp;$G$1))</f>
        <v>#N/A</v>
      </c>
      <c r="G7" s="1914"/>
      <c r="H7" s="2308"/>
      <c r="I7" s="3876"/>
      <c r="J7" s="759"/>
      <c r="K7" s="760"/>
      <c r="L7" s="755" t="s">
        <v>1714</v>
      </c>
      <c r="M7" s="756" t="e">
        <f ca="1">F7</f>
        <v>#N/A</v>
      </c>
    </row>
    <row r="8" spans="1:33" ht="18" customHeight="1">
      <c r="A8" s="2312"/>
      <c r="B8" s="3877"/>
      <c r="C8" s="759"/>
      <c r="D8" s="760"/>
      <c r="E8" s="755" t="s">
        <v>1715</v>
      </c>
      <c r="F8" s="756" t="e">
        <f ca="1">INDIRECT("'数据-取费表'!ai"&amp;$G$1)</f>
        <v>#N/A</v>
      </c>
      <c r="G8" s="1914"/>
      <c r="H8" s="2308"/>
      <c r="I8" s="3877"/>
      <c r="J8" s="759"/>
      <c r="K8" s="760"/>
      <c r="L8" s="755" t="s">
        <v>1715</v>
      </c>
      <c r="M8" s="756" t="e">
        <f ca="1">INDIRECT("'数据-取费表'!ai"&amp;$G$1)</f>
        <v>#N/A</v>
      </c>
    </row>
    <row r="9" spans="1:33" ht="18" customHeight="1">
      <c r="A9" s="757"/>
      <c r="B9" s="3878"/>
      <c r="C9" s="759"/>
      <c r="D9" s="760"/>
      <c r="E9" s="755" t="s">
        <v>1716</v>
      </c>
      <c r="F9" s="765" t="e">
        <f ca="1">INDIRECT("'数据-取费表'!w"&amp;$G$1)</f>
        <v>#N/A</v>
      </c>
      <c r="G9" s="1914"/>
      <c r="H9" s="2324"/>
      <c r="I9" s="3877"/>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3">
        <f>'数据-取费表'!B20</f>
        <v>2</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1E-3</v>
      </c>
      <c r="D24" s="2387" t="str">
        <f>IF(F23&lt;=1,"销售费用×利率×(建设周期÷2)","销售费用×((1+利率)^(建设周期÷2)-1)")</f>
        <v>销售费用×((1+利率)^(建设周期÷2)-1)</v>
      </c>
      <c r="E24" s="755" t="s">
        <v>1748</v>
      </c>
      <c r="F24" s="3514">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3288</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873" t="s">
        <v>2901</v>
      </c>
      <c r="L53" s="3874"/>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15712</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17519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97403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6494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25262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28167</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25262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2">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8968.7999999999993</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179</v>
      </c>
      <c r="D20" s="2535"/>
      <c r="E20" s="3436"/>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505</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1347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5085</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5085</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748</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748</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15712</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G16" sqref="G16"/>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18581.594695131815</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20718</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115193</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7680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25262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28167</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8968.7999999999993</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25262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40</v>
      </c>
      <c r="D17" s="447"/>
      <c r="E17" s="446"/>
      <c r="F17" s="448">
        <v>1.4999999999999999E-2</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2991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60</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145</v>
      </c>
      <c r="D20" s="454">
        <f ca="1">ROUND(((1+F20)^'[6]数据-取费表'!B20)-1,4)</f>
        <v>0</v>
      </c>
      <c r="E20" s="454"/>
      <c r="F20" s="463">
        <f ca="1">'数据-取费表'!B40</f>
        <v>4.7500000000000001E-2</v>
      </c>
      <c r="G20" s="1261" t="str">
        <f>IF('[6]数据-取费表'!B22&lt;=1,"单利计息。","复利计息。")&amp;"建造成本、管理费用产生的利息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610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2284</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79" t="s">
        <v>2995</v>
      </c>
      <c r="B24" s="3880"/>
      <c r="C24" s="3248">
        <f ca="1">ROUND(C6*F24/(1+'数据-取费表'!B42),0)</f>
        <v>0</v>
      </c>
      <c r="D24" s="3249"/>
      <c r="E24" s="454"/>
      <c r="F24" s="3601">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879" t="s">
        <v>2996</v>
      </c>
      <c r="B25" s="3880"/>
      <c r="C25" s="3248">
        <f ca="1">ROUND(C6*F25,0)</f>
        <v>0</v>
      </c>
      <c r="D25" s="3249"/>
      <c r="E25" s="454"/>
      <c r="F25" s="3600">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879" t="s">
        <v>2997</v>
      </c>
      <c r="B26" s="3880"/>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881" t="s">
        <v>2998</v>
      </c>
      <c r="B27" s="3882"/>
      <c r="C27" s="3259">
        <f ca="1">(C6-C23-C24-C25)/((1+F26)*(1+D20+F21))</f>
        <v>18581.594695131815</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03" t="s">
        <v>500</v>
      </c>
      <c r="D6" s="3904"/>
      <c r="E6" s="3905" t="s">
        <v>501</v>
      </c>
      <c r="F6" s="3906"/>
      <c r="G6" s="3903" t="s">
        <v>502</v>
      </c>
      <c r="H6" s="3904"/>
      <c r="I6" s="3903" t="s">
        <v>503</v>
      </c>
      <c r="J6" s="3904"/>
      <c r="K6" s="489" t="s">
        <v>504</v>
      </c>
      <c r="L6" s="1983"/>
      <c r="M6" s="1984"/>
      <c r="N6" s="1984"/>
      <c r="O6" s="1984"/>
      <c r="P6" s="3907" t="s">
        <v>505</v>
      </c>
      <c r="Q6" s="3908"/>
      <c r="R6" s="3913" t="s">
        <v>501</v>
      </c>
      <c r="S6" s="3914"/>
      <c r="T6" s="3913" t="s">
        <v>502</v>
      </c>
      <c r="U6" s="3914"/>
      <c r="V6" s="3893" t="s">
        <v>503</v>
      </c>
      <c r="W6" s="3893"/>
      <c r="X6" s="1473"/>
      <c r="Y6" s="3913" t="s">
        <v>505</v>
      </c>
      <c r="Z6" s="3914"/>
      <c r="AA6" s="3900" t="s">
        <v>501</v>
      </c>
      <c r="AB6" s="3901" t="s">
        <v>502</v>
      </c>
      <c r="AC6" s="3900" t="s">
        <v>503</v>
      </c>
    </row>
    <row r="7" spans="1:29" ht="15">
      <c r="A7" s="490"/>
      <c r="B7" s="491"/>
      <c r="C7" s="3921" t="s">
        <v>2867</v>
      </c>
      <c r="D7" s="3922"/>
      <c r="E7" s="3919" t="s">
        <v>2868</v>
      </c>
      <c r="F7" s="3920"/>
      <c r="G7" s="3921" t="s">
        <v>2869</v>
      </c>
      <c r="H7" s="3922"/>
      <c r="I7" s="3921" t="s">
        <v>2870</v>
      </c>
      <c r="J7" s="3922"/>
      <c r="K7" s="489"/>
      <c r="L7" s="1983"/>
      <c r="M7" s="1984"/>
      <c r="N7" s="1984"/>
      <c r="O7" s="1984"/>
      <c r="P7" s="3909"/>
      <c r="Q7" s="3910"/>
      <c r="R7" s="3915"/>
      <c r="S7" s="3916"/>
      <c r="T7" s="3915"/>
      <c r="U7" s="3916"/>
      <c r="V7" s="3893"/>
      <c r="W7" s="3893"/>
      <c r="X7" s="1473"/>
      <c r="Y7" s="3915"/>
      <c r="Z7" s="3916"/>
      <c r="AA7" s="3901"/>
      <c r="AB7" s="3901"/>
      <c r="AC7" s="3901"/>
    </row>
    <row r="8" spans="1:29" ht="15.75" thickBot="1">
      <c r="A8" s="492"/>
      <c r="B8" s="493"/>
      <c r="C8" s="3923" t="s">
        <v>2871</v>
      </c>
      <c r="D8" s="3924"/>
      <c r="E8" s="3926" t="s">
        <v>2871</v>
      </c>
      <c r="F8" s="3927"/>
      <c r="G8" s="3923" t="s">
        <v>2871</v>
      </c>
      <c r="H8" s="3924"/>
      <c r="I8" s="3923" t="s">
        <v>2871</v>
      </c>
      <c r="J8" s="3924"/>
      <c r="K8" s="489" t="s">
        <v>506</v>
      </c>
      <c r="L8" s="1983"/>
      <c r="M8" s="1984"/>
      <c r="N8" s="1984"/>
      <c r="O8" s="1984"/>
      <c r="P8" s="3911"/>
      <c r="Q8" s="3912"/>
      <c r="R8" s="3915"/>
      <c r="S8" s="3916"/>
      <c r="T8" s="3917"/>
      <c r="U8" s="3918"/>
      <c r="V8" s="3893"/>
      <c r="W8" s="3893"/>
      <c r="X8" s="1473"/>
      <c r="Y8" s="3917"/>
      <c r="Z8" s="3918"/>
      <c r="AA8" s="3902"/>
      <c r="AB8" s="3902"/>
      <c r="AC8" s="3902"/>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98" t="s">
        <v>508</v>
      </c>
      <c r="Q9" s="3925"/>
      <c r="R9" s="1474" t="s">
        <v>8</v>
      </c>
      <c r="S9" s="1475">
        <f t="shared" ref="S9:S17" si="0">F9</f>
        <v>0</v>
      </c>
      <c r="T9" s="1474" t="s">
        <v>8</v>
      </c>
      <c r="U9" s="1475">
        <f t="shared" ref="U9:U17" si="1">H9</f>
        <v>0</v>
      </c>
      <c r="V9" s="1474" t="s">
        <v>8</v>
      </c>
      <c r="W9" s="1475">
        <f t="shared" ref="W9:W17" si="2">J9</f>
        <v>0</v>
      </c>
      <c r="X9" s="1476"/>
      <c r="Y9" s="3898" t="s">
        <v>508</v>
      </c>
      <c r="Z9" s="3899"/>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98" t="s">
        <v>511</v>
      </c>
      <c r="Q10" s="3899"/>
      <c r="R10" s="1474" t="s">
        <v>8</v>
      </c>
      <c r="S10" s="1475">
        <f t="shared" si="0"/>
        <v>0</v>
      </c>
      <c r="T10" s="1474" t="s">
        <v>8</v>
      </c>
      <c r="U10" s="1475">
        <f t="shared" si="1"/>
        <v>0</v>
      </c>
      <c r="V10" s="1474" t="s">
        <v>8</v>
      </c>
      <c r="W10" s="1475">
        <f t="shared" si="2"/>
        <v>0</v>
      </c>
      <c r="X10" s="1476"/>
      <c r="Y10" s="3898" t="s">
        <v>511</v>
      </c>
      <c r="Z10" s="3899"/>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891" t="s">
        <v>513</v>
      </c>
      <c r="Q11" s="1115" t="str">
        <f t="shared" ref="Q11:Q17" si="6">B11</f>
        <v>用途</v>
      </c>
      <c r="R11" s="1474" t="s">
        <v>8</v>
      </c>
      <c r="S11" s="1475">
        <f t="shared" si="0"/>
        <v>100</v>
      </c>
      <c r="T11" s="1474" t="s">
        <v>8</v>
      </c>
      <c r="U11" s="1475">
        <f t="shared" si="1"/>
        <v>100</v>
      </c>
      <c r="V11" s="1474" t="s">
        <v>8</v>
      </c>
      <c r="W11" s="1475">
        <f t="shared" si="2"/>
        <v>100</v>
      </c>
      <c r="X11" s="1476"/>
      <c r="Y11" s="3748"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891"/>
      <c r="Q12" s="1115" t="str">
        <f t="shared" si="6"/>
        <v>土地使用年限（年）</v>
      </c>
      <c r="R12" s="1474" t="s">
        <v>8</v>
      </c>
      <c r="S12" s="1475">
        <f t="shared" si="0"/>
        <v>100</v>
      </c>
      <c r="T12" s="1474" t="s">
        <v>8</v>
      </c>
      <c r="U12" s="1475">
        <f t="shared" si="1"/>
        <v>100</v>
      </c>
      <c r="V12" s="1474" t="s">
        <v>8</v>
      </c>
      <c r="W12" s="1475">
        <f t="shared" si="2"/>
        <v>100</v>
      </c>
      <c r="X12" s="1476"/>
      <c r="Y12" s="3748"/>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891"/>
      <c r="Q13" s="1115" t="str">
        <f t="shared" si="6"/>
        <v>容积率</v>
      </c>
      <c r="R13" s="1474" t="s">
        <v>8</v>
      </c>
      <c r="S13" s="1475" t="e">
        <f t="shared" si="0"/>
        <v>#N/A</v>
      </c>
      <c r="T13" s="1474" t="s">
        <v>8</v>
      </c>
      <c r="U13" s="1475" t="e">
        <f t="shared" si="1"/>
        <v>#N/A</v>
      </c>
      <c r="V13" s="1474" t="s">
        <v>8</v>
      </c>
      <c r="W13" s="1475" t="e">
        <f t="shared" si="2"/>
        <v>#N/A</v>
      </c>
      <c r="X13" s="1476"/>
      <c r="Y13" s="3748"/>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891"/>
      <c r="Q14" s="1115">
        <f t="shared" si="6"/>
        <v>111</v>
      </c>
      <c r="R14" s="1474" t="s">
        <v>8</v>
      </c>
      <c r="S14" s="1475">
        <f t="shared" si="0"/>
        <v>100</v>
      </c>
      <c r="T14" s="1474" t="s">
        <v>8</v>
      </c>
      <c r="U14" s="1475">
        <f t="shared" si="1"/>
        <v>100</v>
      </c>
      <c r="V14" s="1474" t="s">
        <v>8</v>
      </c>
      <c r="W14" s="1475">
        <f t="shared" si="2"/>
        <v>100</v>
      </c>
      <c r="X14" s="1476"/>
      <c r="Y14" s="3748"/>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891"/>
      <c r="Q15" s="1115">
        <f t="shared" si="6"/>
        <v>111</v>
      </c>
      <c r="R15" s="1474" t="s">
        <v>8</v>
      </c>
      <c r="S15" s="1475">
        <f t="shared" si="0"/>
        <v>100</v>
      </c>
      <c r="T15" s="1474" t="s">
        <v>8</v>
      </c>
      <c r="U15" s="1475">
        <f t="shared" si="1"/>
        <v>100</v>
      </c>
      <c r="V15" s="1474" t="s">
        <v>8</v>
      </c>
      <c r="W15" s="1475">
        <f t="shared" si="2"/>
        <v>100</v>
      </c>
      <c r="X15" s="1476"/>
      <c r="Y15" s="3748"/>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891"/>
      <c r="Q16" s="1115">
        <f t="shared" si="6"/>
        <v>111</v>
      </c>
      <c r="R16" s="1474" t="s">
        <v>8</v>
      </c>
      <c r="S16" s="1475">
        <f t="shared" si="0"/>
        <v>100</v>
      </c>
      <c r="T16" s="1474" t="s">
        <v>8</v>
      </c>
      <c r="U16" s="1475">
        <f t="shared" si="1"/>
        <v>100</v>
      </c>
      <c r="V16" s="1474" t="s">
        <v>8</v>
      </c>
      <c r="W16" s="1475">
        <f t="shared" si="2"/>
        <v>100</v>
      </c>
      <c r="X16" s="1476"/>
      <c r="Y16" s="3748"/>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894" t="s">
        <v>518</v>
      </c>
      <c r="Q17" s="1478" t="str">
        <f t="shared" si="6"/>
        <v>产业集聚程度</v>
      </c>
      <c r="R17" s="1479" t="s">
        <v>8</v>
      </c>
      <c r="S17" s="1480">
        <f t="shared" si="0"/>
        <v>100</v>
      </c>
      <c r="T17" s="1479" t="s">
        <v>8</v>
      </c>
      <c r="U17" s="1480">
        <f t="shared" si="1"/>
        <v>100</v>
      </c>
      <c r="V17" s="1479" t="s">
        <v>8</v>
      </c>
      <c r="W17" s="1480">
        <f t="shared" si="2"/>
        <v>100</v>
      </c>
      <c r="X17" s="1473"/>
      <c r="Y17" s="3894"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895"/>
      <c r="Q18" s="1478"/>
      <c r="R18" s="1479"/>
      <c r="S18" s="1480"/>
      <c r="T18" s="1479"/>
      <c r="U18" s="1480"/>
      <c r="V18" s="1479"/>
      <c r="W18" s="1480"/>
      <c r="X18" s="1473"/>
      <c r="Y18" s="3895"/>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895"/>
      <c r="Q19" s="1478" t="str">
        <f>B19</f>
        <v>交通便捷度</v>
      </c>
      <c r="R19" s="1479" t="s">
        <v>8</v>
      </c>
      <c r="S19" s="1480">
        <f>F19</f>
        <v>100</v>
      </c>
      <c r="T19" s="1479" t="s">
        <v>8</v>
      </c>
      <c r="U19" s="1480">
        <f>H19</f>
        <v>100</v>
      </c>
      <c r="V19" s="1479" t="s">
        <v>8</v>
      </c>
      <c r="W19" s="1480">
        <f>J19</f>
        <v>100</v>
      </c>
      <c r="X19" s="1473"/>
      <c r="Y19" s="3895"/>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895"/>
      <c r="Q20" s="1478"/>
      <c r="R20" s="1479"/>
      <c r="S20" s="1480"/>
      <c r="T20" s="1479"/>
      <c r="U20" s="1480"/>
      <c r="V20" s="1479"/>
      <c r="W20" s="1480"/>
      <c r="X20" s="1473"/>
      <c r="Y20" s="3895"/>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895"/>
      <c r="Q21" s="1478" t="str">
        <f t="shared" ref="Q21:Q35" si="8">B21</f>
        <v>区域土地利用方向</v>
      </c>
      <c r="R21" s="1479" t="s">
        <v>8</v>
      </c>
      <c r="S21" s="1480">
        <f>F21</f>
        <v>100</v>
      </c>
      <c r="T21" s="1479" t="s">
        <v>8</v>
      </c>
      <c r="U21" s="1480">
        <f>H21</f>
        <v>100</v>
      </c>
      <c r="V21" s="1479" t="s">
        <v>8</v>
      </c>
      <c r="W21" s="1480">
        <f>J21</f>
        <v>100</v>
      </c>
      <c r="X21" s="1473"/>
      <c r="Y21" s="3895"/>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895"/>
      <c r="Q22" s="1478"/>
      <c r="R22" s="1479"/>
      <c r="S22" s="1480"/>
      <c r="T22" s="1479"/>
      <c r="U22" s="1480"/>
      <c r="V22" s="1479"/>
      <c r="W22" s="1480"/>
      <c r="X22" s="1473"/>
      <c r="Y22" s="3895"/>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895"/>
      <c r="Q23" s="1478" t="str">
        <f t="shared" si="8"/>
        <v>环境状况</v>
      </c>
      <c r="R23" s="1479" t="s">
        <v>8</v>
      </c>
      <c r="S23" s="1480">
        <f>F23</f>
        <v>100</v>
      </c>
      <c r="T23" s="1479" t="s">
        <v>8</v>
      </c>
      <c r="U23" s="1480">
        <f>H23</f>
        <v>100</v>
      </c>
      <c r="V23" s="1479" t="s">
        <v>8</v>
      </c>
      <c r="W23" s="1480">
        <f>J23</f>
        <v>100</v>
      </c>
      <c r="X23" s="1473"/>
      <c r="Y23" s="3895"/>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895"/>
      <c r="Q24" s="1478"/>
      <c r="R24" s="1479"/>
      <c r="S24" s="1480"/>
      <c r="T24" s="1479"/>
      <c r="U24" s="1480"/>
      <c r="V24" s="1479"/>
      <c r="W24" s="1480"/>
      <c r="X24" s="1473"/>
      <c r="Y24" s="3895"/>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895"/>
      <c r="Q25" s="1115" t="str">
        <f t="shared" si="8"/>
        <v>公共配套设施</v>
      </c>
      <c r="R25" s="1474" t="s">
        <v>8</v>
      </c>
      <c r="S25" s="1475">
        <f>F25</f>
        <v>100</v>
      </c>
      <c r="T25" s="1474" t="s">
        <v>8</v>
      </c>
      <c r="U25" s="1475">
        <f>H25</f>
        <v>100</v>
      </c>
      <c r="V25" s="1474" t="s">
        <v>8</v>
      </c>
      <c r="W25" s="1475">
        <f>J25</f>
        <v>100</v>
      </c>
      <c r="X25" s="1476"/>
      <c r="Y25" s="3895"/>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895"/>
      <c r="Q26" s="1115"/>
      <c r="R26" s="1474"/>
      <c r="S26" s="1475"/>
      <c r="T26" s="1474"/>
      <c r="U26" s="1475"/>
      <c r="V26" s="1474"/>
      <c r="W26" s="1475"/>
      <c r="X26" s="1476"/>
      <c r="Y26" s="3895"/>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895"/>
      <c r="Q27" s="2392" t="str">
        <f t="shared" ref="Q27" si="9">B27</f>
        <v>基础设施水平</v>
      </c>
      <c r="R27" s="1474" t="s">
        <v>8</v>
      </c>
      <c r="S27" s="1475">
        <f>F27</f>
        <v>100</v>
      </c>
      <c r="T27" s="1474" t="s">
        <v>8</v>
      </c>
      <c r="U27" s="1475">
        <f>H27</f>
        <v>100</v>
      </c>
      <c r="V27" s="1474" t="s">
        <v>8</v>
      </c>
      <c r="W27" s="1475">
        <f>J27</f>
        <v>100</v>
      </c>
      <c r="X27" s="1476"/>
      <c r="Y27" s="3895"/>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895"/>
      <c r="Q28" s="2392"/>
      <c r="R28" s="1474"/>
      <c r="S28" s="1475"/>
      <c r="T28" s="1474"/>
      <c r="U28" s="1475"/>
      <c r="V28" s="1474"/>
      <c r="W28" s="1475"/>
      <c r="X28" s="1476"/>
      <c r="Y28" s="3895"/>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895"/>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895"/>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895"/>
      <c r="Q30" s="1478" t="str">
        <f t="shared" si="8"/>
        <v>毗邻道路的类型与等级</v>
      </c>
      <c r="R30" s="1479" t="s">
        <v>8</v>
      </c>
      <c r="S30" s="1480">
        <f t="shared" si="10"/>
        <v>100</v>
      </c>
      <c r="T30" s="1479" t="s">
        <v>8</v>
      </c>
      <c r="U30" s="1480">
        <f t="shared" si="11"/>
        <v>100</v>
      </c>
      <c r="V30" s="1479" t="s">
        <v>8</v>
      </c>
      <c r="W30" s="1480">
        <f t="shared" si="12"/>
        <v>100</v>
      </c>
      <c r="X30" s="1473"/>
      <c r="Y30" s="3895"/>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895"/>
      <c r="Q31" s="1478"/>
      <c r="R31" s="1479"/>
      <c r="S31" s="1480"/>
      <c r="T31" s="1479"/>
      <c r="U31" s="1480"/>
      <c r="V31" s="1479"/>
      <c r="W31" s="1480"/>
      <c r="X31" s="1473"/>
      <c r="Y31" s="3895"/>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895"/>
      <c r="Q32" s="1478" t="str">
        <f t="shared" si="8"/>
        <v>土地级别</v>
      </c>
      <c r="R32" s="1479" t="s">
        <v>8</v>
      </c>
      <c r="S32" s="1480">
        <f t="shared" si="10"/>
        <v>100</v>
      </c>
      <c r="T32" s="1479" t="s">
        <v>8</v>
      </c>
      <c r="U32" s="1480">
        <f t="shared" si="11"/>
        <v>100</v>
      </c>
      <c r="V32" s="1479" t="s">
        <v>8</v>
      </c>
      <c r="W32" s="1480">
        <f t="shared" si="12"/>
        <v>100</v>
      </c>
      <c r="X32" s="1473"/>
      <c r="Y32" s="3895"/>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895"/>
      <c r="Q33" s="1478">
        <f t="shared" si="8"/>
        <v>111</v>
      </c>
      <c r="R33" s="1479" t="s">
        <v>8</v>
      </c>
      <c r="S33" s="1480">
        <f t="shared" si="10"/>
        <v>100</v>
      </c>
      <c r="T33" s="1479" t="s">
        <v>8</v>
      </c>
      <c r="U33" s="1480">
        <f t="shared" si="11"/>
        <v>100</v>
      </c>
      <c r="V33" s="1479" t="s">
        <v>8</v>
      </c>
      <c r="W33" s="1480">
        <f t="shared" si="12"/>
        <v>100</v>
      </c>
      <c r="X33" s="1473"/>
      <c r="Y33" s="3895"/>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896" t="s">
        <v>528</v>
      </c>
      <c r="Q34" s="1478">
        <f t="shared" si="8"/>
        <v>111</v>
      </c>
      <c r="R34" s="1479" t="s">
        <v>8</v>
      </c>
      <c r="S34" s="1480">
        <f t="shared" si="10"/>
        <v>100</v>
      </c>
      <c r="T34" s="1479" t="s">
        <v>8</v>
      </c>
      <c r="U34" s="1480">
        <f t="shared" si="11"/>
        <v>100</v>
      </c>
      <c r="V34" s="1479" t="s">
        <v>8</v>
      </c>
      <c r="W34" s="1480">
        <f t="shared" si="12"/>
        <v>100</v>
      </c>
      <c r="X34" s="1473"/>
      <c r="Y34" s="3897"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897"/>
      <c r="Q35" s="1478">
        <f t="shared" si="8"/>
        <v>111</v>
      </c>
      <c r="R35" s="1483" t="s">
        <v>8</v>
      </c>
      <c r="S35" s="1484">
        <f t="shared" si="10"/>
        <v>100</v>
      </c>
      <c r="T35" s="1483" t="s">
        <v>8</v>
      </c>
      <c r="U35" s="1484">
        <f t="shared" si="11"/>
        <v>100</v>
      </c>
      <c r="V35" s="1483" t="s">
        <v>8</v>
      </c>
      <c r="W35" s="1484">
        <f t="shared" si="12"/>
        <v>100</v>
      </c>
      <c r="X35" s="1485"/>
      <c r="Y35" s="3897"/>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897"/>
      <c r="Q36" s="1478" t="str">
        <f>B36</f>
        <v>宗地面积</v>
      </c>
      <c r="R36" s="1479" t="s">
        <v>8</v>
      </c>
      <c r="S36" s="1480" t="e">
        <f t="shared" si="10"/>
        <v>#N/A</v>
      </c>
      <c r="T36" s="1479" t="s">
        <v>8</v>
      </c>
      <c r="U36" s="1480" t="e">
        <f t="shared" si="11"/>
        <v>#N/A</v>
      </c>
      <c r="V36" s="1479" t="s">
        <v>8</v>
      </c>
      <c r="W36" s="1480" t="e">
        <f t="shared" si="12"/>
        <v>#N/A</v>
      </c>
      <c r="X36" s="1473"/>
      <c r="Y36" s="3897"/>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897"/>
      <c r="Q37" s="1478" t="str">
        <f t="shared" ref="Q37:Q42" si="14">B37</f>
        <v>宗地形状</v>
      </c>
      <c r="R37" s="1479" t="s">
        <v>8</v>
      </c>
      <c r="S37" s="1480">
        <f t="shared" si="10"/>
        <v>100</v>
      </c>
      <c r="T37" s="1479" t="s">
        <v>8</v>
      </c>
      <c r="U37" s="1480">
        <f t="shared" si="11"/>
        <v>100</v>
      </c>
      <c r="V37" s="1479" t="s">
        <v>8</v>
      </c>
      <c r="W37" s="1480">
        <f t="shared" si="12"/>
        <v>100</v>
      </c>
      <c r="X37" s="1473"/>
      <c r="Y37" s="3897"/>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897"/>
      <c r="Q38" s="1478" t="str">
        <f t="shared" si="14"/>
        <v>宗地开发程度</v>
      </c>
      <c r="R38" s="1474" t="s">
        <v>8</v>
      </c>
      <c r="S38" s="1475">
        <f t="shared" si="10"/>
        <v>100</v>
      </c>
      <c r="T38" s="1474" t="s">
        <v>8</v>
      </c>
      <c r="U38" s="1475">
        <f t="shared" si="11"/>
        <v>100</v>
      </c>
      <c r="V38" s="1474" t="s">
        <v>8</v>
      </c>
      <c r="W38" s="1475">
        <f t="shared" si="12"/>
        <v>100</v>
      </c>
      <c r="X38" s="1476"/>
      <c r="Y38" s="3897"/>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7" t="s">
        <v>579</v>
      </c>
      <c r="Q39" s="1478" t="str">
        <f t="shared" si="14"/>
        <v>工程地质条件</v>
      </c>
      <c r="R39" s="1479" t="s">
        <v>8</v>
      </c>
      <c r="S39" s="1480">
        <f t="shared" si="10"/>
        <v>100</v>
      </c>
      <c r="T39" s="1479" t="s">
        <v>8</v>
      </c>
      <c r="U39" s="1480">
        <f t="shared" si="11"/>
        <v>100</v>
      </c>
      <c r="V39" s="1479" t="s">
        <v>8</v>
      </c>
      <c r="W39" s="1480">
        <f t="shared" si="12"/>
        <v>100</v>
      </c>
      <c r="X39" s="1473"/>
      <c r="Y39" s="3897"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897"/>
      <c r="Q40" s="1478">
        <f t="shared" si="14"/>
        <v>111</v>
      </c>
      <c r="R40" s="1479" t="s">
        <v>8</v>
      </c>
      <c r="S40" s="1480">
        <f t="shared" si="10"/>
        <v>100</v>
      </c>
      <c r="T40" s="1479" t="s">
        <v>8</v>
      </c>
      <c r="U40" s="1480">
        <f t="shared" si="11"/>
        <v>100</v>
      </c>
      <c r="V40" s="1479" t="s">
        <v>8</v>
      </c>
      <c r="W40" s="1480">
        <f t="shared" si="12"/>
        <v>100</v>
      </c>
      <c r="X40" s="1473"/>
      <c r="Y40" s="3897"/>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897"/>
      <c r="Q41" s="1478">
        <f t="shared" si="14"/>
        <v>111</v>
      </c>
      <c r="R41" s="1479" t="s">
        <v>8</v>
      </c>
      <c r="S41" s="1480">
        <f t="shared" si="10"/>
        <v>100</v>
      </c>
      <c r="T41" s="1479" t="s">
        <v>8</v>
      </c>
      <c r="U41" s="1480">
        <f t="shared" si="11"/>
        <v>100</v>
      </c>
      <c r="V41" s="1479" t="s">
        <v>8</v>
      </c>
      <c r="W41" s="1480">
        <f t="shared" si="12"/>
        <v>100</v>
      </c>
      <c r="X41" s="1473"/>
      <c r="Y41" s="3897"/>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897"/>
      <c r="Q42" s="1478">
        <f t="shared" si="14"/>
        <v>111</v>
      </c>
      <c r="R42" s="1483" t="s">
        <v>8</v>
      </c>
      <c r="S42" s="1484">
        <f t="shared" si="10"/>
        <v>100</v>
      </c>
      <c r="T42" s="1483" t="s">
        <v>8</v>
      </c>
      <c r="U42" s="1484">
        <f t="shared" si="11"/>
        <v>100</v>
      </c>
      <c r="V42" s="1483" t="s">
        <v>8</v>
      </c>
      <c r="W42" s="1484">
        <f t="shared" si="12"/>
        <v>100</v>
      </c>
      <c r="X42" s="1485"/>
      <c r="Y42" s="3897"/>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891" t="str">
        <f>A43</f>
        <v>成交单价</v>
      </c>
      <c r="Q43" s="3891"/>
      <c r="R43" s="3893">
        <f>E43</f>
        <v>0</v>
      </c>
      <c r="S43" s="3893"/>
      <c r="T43" s="3893">
        <f>G43</f>
        <v>0</v>
      </c>
      <c r="U43" s="3893"/>
      <c r="V43" s="3893">
        <f>I43</f>
        <v>0</v>
      </c>
      <c r="W43" s="3893"/>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891" t="str">
        <f>A44</f>
        <v>比较价格（元/平方米）</v>
      </c>
      <c r="Q44" s="3891"/>
      <c r="R44" s="3892" t="e">
        <f>ROUND(PRODUCT(R43,AA9:AA42),0)</f>
        <v>#DIV/0!</v>
      </c>
      <c r="S44" s="3892"/>
      <c r="T44" s="3892" t="e">
        <f>ROUND(PRODUCT(T43,AB9:AB42),0)</f>
        <v>#DIV/0!</v>
      </c>
      <c r="U44" s="3892"/>
      <c r="V44" s="3892" t="e">
        <f>ROUND(PRODUCT(V43,AC9:AC42),0)</f>
        <v>#DIV/0!</v>
      </c>
      <c r="W44" s="3892"/>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888" t="str">
        <f>A45</f>
        <v>估价对象XX用房的比较价格（楼面单价，元/平方米）</v>
      </c>
      <c r="Q45" s="3889"/>
      <c r="R45" s="3890" t="e">
        <f>ROUND(IF(D44="简单平均",AVERAGE(R44:W44),R44*F44+T44*H44+V44*J44),0)</f>
        <v>#DIV/0!</v>
      </c>
      <c r="S45" s="3890"/>
      <c r="T45" s="3890"/>
      <c r="U45" s="3890"/>
      <c r="V45" s="3890"/>
      <c r="W45" s="3890"/>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883" t="s">
        <v>2250</v>
      </c>
      <c r="H52" s="3884"/>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885"/>
      <c r="H53" s="3886"/>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887"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887"/>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887"/>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887"/>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1613.09</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72" t="s">
        <v>982</v>
      </c>
      <c r="B18" s="1118" t="s">
        <v>1421</v>
      </c>
      <c r="C18" s="1095" t="s">
        <v>1422</v>
      </c>
      <c r="D18" s="1096"/>
      <c r="E18" s="1118">
        <v>1</v>
      </c>
      <c r="F18" s="1097" t="s">
        <v>1423</v>
      </c>
      <c r="G18" s="1098"/>
      <c r="H18" s="1069"/>
      <c r="I18" s="1069"/>
    </row>
    <row r="19" spans="1:9" s="1501" customFormat="1" ht="19.5" customHeight="1">
      <c r="A19" s="3872"/>
      <c r="B19" s="3872" t="s">
        <v>1424</v>
      </c>
      <c r="C19" s="1095" t="s">
        <v>1425</v>
      </c>
      <c r="D19" s="1096"/>
      <c r="E19" s="1118">
        <v>0.9</v>
      </c>
      <c r="F19" s="1097" t="s">
        <v>1426</v>
      </c>
      <c r="G19" s="1098"/>
      <c r="H19" s="1069"/>
      <c r="I19" s="1069"/>
    </row>
    <row r="20" spans="1:9" s="1501" customFormat="1" ht="19.5" customHeight="1">
      <c r="A20" s="3872"/>
      <c r="B20" s="3872"/>
      <c r="C20" s="1095" t="s">
        <v>1427</v>
      </c>
      <c r="D20" s="1096"/>
      <c r="E20" s="1118">
        <v>1.1000000000000001</v>
      </c>
      <c r="F20" s="1097" t="s">
        <v>1428</v>
      </c>
      <c r="G20" s="1098"/>
      <c r="H20" s="1069"/>
      <c r="I20" s="1069"/>
    </row>
    <row r="21" spans="1:9" s="1501" customFormat="1" ht="19.5" customHeight="1">
      <c r="A21" s="3872"/>
      <c r="B21" s="3872"/>
      <c r="C21" s="1095" t="s">
        <v>1429</v>
      </c>
      <c r="D21" s="1096"/>
      <c r="E21" s="1118">
        <v>0.8</v>
      </c>
      <c r="F21" s="1097" t="s">
        <v>1430</v>
      </c>
      <c r="G21" s="1098"/>
      <c r="H21" s="1069"/>
      <c r="I21" s="1069"/>
    </row>
    <row r="22" spans="1:9" s="1501" customFormat="1" ht="19.5" customHeight="1">
      <c r="A22" s="3872"/>
      <c r="B22" s="3872"/>
      <c r="C22" s="1095" t="s">
        <v>1431</v>
      </c>
      <c r="D22" s="1096"/>
      <c r="E22" s="1118">
        <v>0.5</v>
      </c>
      <c r="F22" s="1097"/>
      <c r="G22" s="1098"/>
      <c r="H22" s="1069"/>
      <c r="I22" s="1069"/>
    </row>
    <row r="23" spans="1:9" s="1501" customFormat="1" ht="19.5" customHeight="1">
      <c r="A23" s="3872" t="s">
        <v>1004</v>
      </c>
      <c r="B23" s="1118" t="s">
        <v>1421</v>
      </c>
      <c r="C23" s="1095" t="s">
        <v>1432</v>
      </c>
      <c r="D23" s="1096"/>
      <c r="E23" s="1118">
        <v>1</v>
      </c>
      <c r="F23" s="1097" t="s">
        <v>1433</v>
      </c>
      <c r="G23" s="1098"/>
      <c r="H23" s="1069"/>
      <c r="I23" s="1069"/>
    </row>
    <row r="24" spans="1:9" s="1501" customFormat="1" ht="19.5" customHeight="1">
      <c r="A24" s="3872"/>
      <c r="B24" s="3872" t="s">
        <v>1424</v>
      </c>
      <c r="C24" s="1095" t="s">
        <v>1434</v>
      </c>
      <c r="D24" s="1096"/>
      <c r="E24" s="1118">
        <v>0.5</v>
      </c>
      <c r="F24" s="1097"/>
      <c r="G24" s="1098"/>
      <c r="H24" s="1069"/>
      <c r="I24" s="1069"/>
    </row>
    <row r="25" spans="1:9" s="1501" customFormat="1" ht="19.5" customHeight="1">
      <c r="A25" s="3872"/>
      <c r="B25" s="3872"/>
      <c r="C25" s="1095" t="s">
        <v>1435</v>
      </c>
      <c r="D25" s="1096"/>
      <c r="E25" s="1118">
        <v>1.1000000000000001</v>
      </c>
      <c r="F25" s="1097"/>
      <c r="G25" s="1098"/>
      <c r="H25" s="1069"/>
      <c r="I25" s="1069"/>
    </row>
    <row r="26" spans="1:9" s="1501" customFormat="1" ht="19.5" customHeight="1">
      <c r="A26" s="3872"/>
      <c r="B26" s="3872"/>
      <c r="C26" s="1095" t="s">
        <v>1436</v>
      </c>
      <c r="D26" s="1096"/>
      <c r="E26" s="1118">
        <v>1.1000000000000001</v>
      </c>
      <c r="F26" s="1097"/>
      <c r="G26" s="1098"/>
      <c r="H26" s="1069"/>
      <c r="I26" s="1069"/>
    </row>
    <row r="27" spans="1:9" s="1501" customFormat="1" ht="19.5" customHeight="1">
      <c r="A27" s="3872"/>
      <c r="B27" s="3872"/>
      <c r="C27" s="1095" t="s">
        <v>1437</v>
      </c>
      <c r="D27" s="1096"/>
      <c r="E27" s="1118">
        <v>0.9</v>
      </c>
      <c r="F27" s="1097" t="s">
        <v>1438</v>
      </c>
      <c r="G27" s="1098"/>
      <c r="H27" s="1069"/>
      <c r="I27" s="1069"/>
    </row>
    <row r="28" spans="1:9" s="1501" customFormat="1" ht="19.5" customHeight="1">
      <c r="A28" s="3872"/>
      <c r="B28" s="3872"/>
      <c r="C28" s="1095" t="s">
        <v>1439</v>
      </c>
      <c r="D28" s="1096"/>
      <c r="E28" s="1118">
        <v>0.9</v>
      </c>
      <c r="F28" s="1097" t="s">
        <v>1440</v>
      </c>
      <c r="G28" s="1098"/>
      <c r="H28" s="1069"/>
      <c r="I28" s="1069"/>
    </row>
    <row r="29" spans="1:9" s="1501" customFormat="1" ht="19.5" customHeight="1">
      <c r="A29" s="3872"/>
      <c r="B29" s="3872"/>
      <c r="C29" s="1095" t="s">
        <v>1441</v>
      </c>
      <c r="D29" s="1096"/>
      <c r="E29" s="1118">
        <v>0.9</v>
      </c>
      <c r="F29" s="1097" t="s">
        <v>1442</v>
      </c>
      <c r="G29" s="1098"/>
      <c r="H29" s="1069"/>
      <c r="I29" s="1069"/>
    </row>
    <row r="30" spans="1:9" s="1501" customFormat="1" ht="19.5" customHeight="1">
      <c r="A30" s="3872"/>
      <c r="B30" s="3872"/>
      <c r="C30" s="1095" t="s">
        <v>1443</v>
      </c>
      <c r="D30" s="1096"/>
      <c r="E30" s="1118">
        <v>0.9</v>
      </c>
      <c r="F30" s="1097" t="s">
        <v>1444</v>
      </c>
      <c r="G30" s="1098"/>
      <c r="H30" s="1069"/>
      <c r="I30" s="1069"/>
    </row>
    <row r="31" spans="1:9" s="1501" customFormat="1" ht="19.5" customHeight="1">
      <c r="A31" s="3872"/>
      <c r="B31" s="3872"/>
      <c r="C31" s="1095" t="s">
        <v>1445</v>
      </c>
      <c r="D31" s="1096"/>
      <c r="E31" s="1118">
        <v>0.8</v>
      </c>
      <c r="F31" s="1097" t="s">
        <v>1446</v>
      </c>
      <c r="G31" s="1098"/>
      <c r="H31" s="1069"/>
      <c r="I31" s="1069"/>
    </row>
    <row r="32" spans="1:9" s="1501" customFormat="1" ht="19.5" customHeight="1">
      <c r="A32" s="3872"/>
      <c r="B32" s="3872"/>
      <c r="C32" s="1095" t="s">
        <v>1447</v>
      </c>
      <c r="D32" s="1096"/>
      <c r="E32" s="1118">
        <v>0.8</v>
      </c>
      <c r="F32" s="1097" t="s">
        <v>1448</v>
      </c>
      <c r="G32" s="1098"/>
      <c r="H32" s="1069"/>
      <c r="I32" s="1069"/>
    </row>
    <row r="33" spans="1:9" s="1501" customFormat="1" ht="19.5" customHeight="1">
      <c r="A33" s="3872" t="s">
        <v>1449</v>
      </c>
      <c r="B33" s="1118" t="s">
        <v>1421</v>
      </c>
      <c r="C33" s="1095" t="s">
        <v>1450</v>
      </c>
      <c r="D33" s="1096"/>
      <c r="E33" s="1118">
        <v>1</v>
      </c>
      <c r="F33" s="1097" t="s">
        <v>1451</v>
      </c>
      <c r="G33" s="1098"/>
      <c r="H33" s="1069"/>
      <c r="I33" s="1069"/>
    </row>
    <row r="34" spans="1:9" s="1501" customFormat="1" ht="19.5" customHeight="1">
      <c r="A34" s="3872"/>
      <c r="B34" s="1118" t="s">
        <v>1424</v>
      </c>
      <c r="C34" s="1095" t="s">
        <v>1452</v>
      </c>
      <c r="D34" s="1096"/>
      <c r="E34" s="1118">
        <v>1.5</v>
      </c>
      <c r="F34" s="1097" t="s">
        <v>1453</v>
      </c>
      <c r="G34" s="1098"/>
      <c r="H34" s="1069"/>
      <c r="I34" s="1069"/>
    </row>
    <row r="35" spans="1:9" s="1501" customFormat="1" ht="19.5" customHeight="1">
      <c r="A35" s="3872" t="s">
        <v>1407</v>
      </c>
      <c r="B35" s="1118" t="s">
        <v>1421</v>
      </c>
      <c r="C35" s="1095" t="s">
        <v>1454</v>
      </c>
      <c r="D35" s="1096"/>
      <c r="E35" s="1118">
        <v>1</v>
      </c>
      <c r="F35" s="1097" t="s">
        <v>1455</v>
      </c>
      <c r="G35" s="1098"/>
      <c r="H35" s="1069"/>
      <c r="I35" s="1069"/>
    </row>
    <row r="36" spans="1:9" s="1501" customFormat="1" ht="19.5" customHeight="1">
      <c r="A36" s="3872"/>
      <c r="B36" s="3872" t="s">
        <v>1424</v>
      </c>
      <c r="C36" s="1095" t="s">
        <v>1456</v>
      </c>
      <c r="D36" s="1096"/>
      <c r="E36" s="1118">
        <v>1</v>
      </c>
      <c r="F36" s="1097" t="s">
        <v>1457</v>
      </c>
      <c r="G36" s="1098"/>
      <c r="H36" s="1069"/>
      <c r="I36" s="1069"/>
    </row>
    <row r="37" spans="1:9" s="1501" customFormat="1" ht="19.5" customHeight="1">
      <c r="A37" s="3872"/>
      <c r="B37" s="3872"/>
      <c r="C37" s="1095" t="s">
        <v>1458</v>
      </c>
      <c r="D37" s="1096"/>
      <c r="E37" s="1118">
        <v>1.5</v>
      </c>
      <c r="F37" s="1097" t="s">
        <v>1459</v>
      </c>
      <c r="G37" s="1098"/>
      <c r="H37" s="1069"/>
      <c r="I37" s="1069"/>
    </row>
    <row r="38" spans="1:9" s="1501" customFormat="1" ht="19.5" customHeight="1">
      <c r="A38" s="3872"/>
      <c r="B38" s="3872"/>
      <c r="C38" s="1095" t="s">
        <v>1460</v>
      </c>
      <c r="D38" s="1096"/>
      <c r="E38" s="1118">
        <v>1</v>
      </c>
      <c r="F38" s="1097" t="s">
        <v>1461</v>
      </c>
      <c r="G38" s="1098"/>
      <c r="H38" s="1069"/>
      <c r="I38" s="1069"/>
    </row>
    <row r="39" spans="1:9" s="1501" customFormat="1" ht="19.5" customHeight="1">
      <c r="A39" s="3872"/>
      <c r="B39" s="3872"/>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72" t="s">
        <v>1476</v>
      </c>
      <c r="C61" s="1032" t="s">
        <v>1477</v>
      </c>
      <c r="D61" s="1032" t="s">
        <v>1478</v>
      </c>
      <c r="E61" s="1103">
        <v>0.5</v>
      </c>
      <c r="F61" s="1118">
        <v>80</v>
      </c>
      <c r="H61" s="1069">
        <f>SUMIF(C59:C119,'基准地价-办公'!C8,E59:E119)</f>
        <v>0</v>
      </c>
    </row>
    <row r="62" spans="1:8" s="1069" customFormat="1" ht="24">
      <c r="A62" s="1118">
        <v>2</v>
      </c>
      <c r="B62" s="3872"/>
      <c r="C62" s="1032" t="s">
        <v>1479</v>
      </c>
      <c r="D62" s="1032" t="s">
        <v>1480</v>
      </c>
      <c r="E62" s="1103">
        <v>0.5</v>
      </c>
      <c r="F62" s="1118">
        <v>80</v>
      </c>
    </row>
    <row r="63" spans="1:8" s="1069" customFormat="1" ht="36">
      <c r="A63" s="1118">
        <v>3</v>
      </c>
      <c r="B63" s="3872"/>
      <c r="C63" s="1032" t="s">
        <v>1481</v>
      </c>
      <c r="D63" s="1032" t="s">
        <v>1482</v>
      </c>
      <c r="E63" s="1103">
        <v>0.5</v>
      </c>
      <c r="F63" s="1118">
        <v>80</v>
      </c>
    </row>
    <row r="64" spans="1:8" s="1069" customFormat="1" ht="36">
      <c r="A64" s="1118">
        <v>4</v>
      </c>
      <c r="B64" s="3872"/>
      <c r="C64" s="1032" t="s">
        <v>1483</v>
      </c>
      <c r="D64" s="1032" t="s">
        <v>1484</v>
      </c>
      <c r="E64" s="1103">
        <v>0.4</v>
      </c>
      <c r="F64" s="1118">
        <v>60</v>
      </c>
    </row>
    <row r="65" spans="1:6" s="1069" customFormat="1" ht="36">
      <c r="A65" s="1118">
        <v>5</v>
      </c>
      <c r="B65" s="3872"/>
      <c r="C65" s="1032" t="s">
        <v>1485</v>
      </c>
      <c r="D65" s="1032" t="s">
        <v>1486</v>
      </c>
      <c r="E65" s="1103">
        <v>0.2</v>
      </c>
      <c r="F65" s="1118">
        <v>30</v>
      </c>
    </row>
    <row r="66" spans="1:6" s="1069" customFormat="1" ht="36">
      <c r="A66" s="1118">
        <v>6</v>
      </c>
      <c r="B66" s="3872"/>
      <c r="C66" s="1032" t="s">
        <v>1487</v>
      </c>
      <c r="D66" s="1032" t="s">
        <v>1488</v>
      </c>
      <c r="E66" s="1103">
        <v>0.3</v>
      </c>
      <c r="F66" s="1118">
        <v>50</v>
      </c>
    </row>
    <row r="67" spans="1:6" s="1069" customFormat="1" ht="36">
      <c r="A67" s="1118">
        <v>7</v>
      </c>
      <c r="B67" s="3872"/>
      <c r="C67" s="1032" t="s">
        <v>1489</v>
      </c>
      <c r="D67" s="1032" t="s">
        <v>1490</v>
      </c>
      <c r="E67" s="1103">
        <v>0.2</v>
      </c>
      <c r="F67" s="1118">
        <v>30</v>
      </c>
    </row>
    <row r="68" spans="1:6" s="1069" customFormat="1" ht="36">
      <c r="A68" s="1118">
        <v>8</v>
      </c>
      <c r="B68" s="3872"/>
      <c r="C68" s="1032" t="s">
        <v>1491</v>
      </c>
      <c r="D68" s="1032" t="s">
        <v>1492</v>
      </c>
      <c r="E68" s="1103">
        <v>0.2</v>
      </c>
      <c r="F68" s="1118">
        <v>30</v>
      </c>
    </row>
    <row r="69" spans="1:6" s="1069" customFormat="1" ht="36">
      <c r="A69" s="1118">
        <v>9</v>
      </c>
      <c r="B69" s="3872"/>
      <c r="C69" s="1032" t="s">
        <v>1493</v>
      </c>
      <c r="D69" s="1032" t="s">
        <v>1494</v>
      </c>
      <c r="E69" s="1103">
        <v>0.2</v>
      </c>
      <c r="F69" s="1118">
        <v>30</v>
      </c>
    </row>
    <row r="70" spans="1:6" s="1069" customFormat="1" ht="48">
      <c r="A70" s="1118">
        <v>10</v>
      </c>
      <c r="B70" s="3872"/>
      <c r="C70" s="1032" t="s">
        <v>1495</v>
      </c>
      <c r="D70" s="1032" t="s">
        <v>1496</v>
      </c>
      <c r="E70" s="1103">
        <v>0.2</v>
      </c>
      <c r="F70" s="1118">
        <v>30</v>
      </c>
    </row>
    <row r="71" spans="1:6" s="1069" customFormat="1" ht="48">
      <c r="A71" s="1118">
        <v>11</v>
      </c>
      <c r="B71" s="3872"/>
      <c r="C71" s="1032" t="s">
        <v>1497</v>
      </c>
      <c r="D71" s="1032" t="s">
        <v>1498</v>
      </c>
      <c r="E71" s="1103">
        <v>0.2</v>
      </c>
      <c r="F71" s="1118">
        <v>30</v>
      </c>
    </row>
    <row r="72" spans="1:6" s="1069" customFormat="1" ht="36">
      <c r="A72" s="1118">
        <v>12</v>
      </c>
      <c r="B72" s="3872"/>
      <c r="C72" s="1032" t="s">
        <v>1499</v>
      </c>
      <c r="D72" s="1032" t="s">
        <v>1500</v>
      </c>
      <c r="E72" s="1103">
        <v>0.5</v>
      </c>
      <c r="F72" s="1118">
        <v>80</v>
      </c>
    </row>
    <row r="73" spans="1:6" s="1069" customFormat="1" ht="24">
      <c r="A73" s="1118">
        <v>13</v>
      </c>
      <c r="B73" s="3872"/>
      <c r="C73" s="1032" t="s">
        <v>1501</v>
      </c>
      <c r="D73" s="1032" t="s">
        <v>1502</v>
      </c>
      <c r="E73" s="1103">
        <v>0.4</v>
      </c>
      <c r="F73" s="1118">
        <v>60</v>
      </c>
    </row>
    <row r="74" spans="1:6" s="1069" customFormat="1" ht="24">
      <c r="A74" s="1118">
        <v>14</v>
      </c>
      <c r="B74" s="3872"/>
      <c r="C74" s="1032" t="s">
        <v>1503</v>
      </c>
      <c r="D74" s="1032" t="s">
        <v>1504</v>
      </c>
      <c r="E74" s="1103">
        <v>0.2</v>
      </c>
      <c r="F74" s="1118">
        <v>30</v>
      </c>
    </row>
    <row r="75" spans="1:6" s="1069" customFormat="1" ht="24">
      <c r="A75" s="1118">
        <v>15</v>
      </c>
      <c r="B75" s="3872"/>
      <c r="C75" s="1032" t="s">
        <v>1505</v>
      </c>
      <c r="D75" s="1032" t="s">
        <v>1506</v>
      </c>
      <c r="E75" s="1103">
        <v>0.2</v>
      </c>
      <c r="F75" s="1118">
        <v>30</v>
      </c>
    </row>
    <row r="76" spans="1:6" s="1069" customFormat="1" ht="24">
      <c r="A76" s="1118">
        <v>16</v>
      </c>
      <c r="B76" s="3872" t="s">
        <v>1507</v>
      </c>
      <c r="C76" s="1032" t="s">
        <v>1508</v>
      </c>
      <c r="D76" s="1032" t="s">
        <v>1509</v>
      </c>
      <c r="E76" s="1103">
        <v>0.5</v>
      </c>
      <c r="F76" s="1118">
        <v>80</v>
      </c>
    </row>
    <row r="77" spans="1:6" s="1069" customFormat="1" ht="24">
      <c r="A77" s="1118">
        <v>17</v>
      </c>
      <c r="B77" s="3872"/>
      <c r="C77" s="1032" t="s">
        <v>1510</v>
      </c>
      <c r="D77" s="1032" t="s">
        <v>1511</v>
      </c>
      <c r="E77" s="1103">
        <v>0.5</v>
      </c>
      <c r="F77" s="1118">
        <v>80</v>
      </c>
    </row>
    <row r="78" spans="1:6" s="1069" customFormat="1" ht="24">
      <c r="A78" s="1118">
        <v>18</v>
      </c>
      <c r="B78" s="3872"/>
      <c r="C78" s="1032" t="s">
        <v>1512</v>
      </c>
      <c r="D78" s="1032" t="s">
        <v>1513</v>
      </c>
      <c r="E78" s="1103">
        <v>0.2</v>
      </c>
      <c r="F78" s="1118">
        <v>30</v>
      </c>
    </row>
    <row r="79" spans="1:6" s="1069" customFormat="1" ht="24">
      <c r="A79" s="1118">
        <v>19</v>
      </c>
      <c r="B79" s="3872"/>
      <c r="C79" s="1032" t="s">
        <v>1514</v>
      </c>
      <c r="D79" s="1032" t="s">
        <v>1515</v>
      </c>
      <c r="E79" s="1103">
        <v>0.5</v>
      </c>
      <c r="F79" s="1118">
        <v>80</v>
      </c>
    </row>
    <row r="80" spans="1:6" s="1069" customFormat="1" ht="36">
      <c r="A80" s="1118">
        <v>20</v>
      </c>
      <c r="B80" s="3872"/>
      <c r="C80" s="1032" t="s">
        <v>1516</v>
      </c>
      <c r="D80" s="1032" t="s">
        <v>1517</v>
      </c>
      <c r="E80" s="1103">
        <v>0.2</v>
      </c>
      <c r="F80" s="1118">
        <v>30</v>
      </c>
    </row>
    <row r="81" spans="1:6" s="1069" customFormat="1" ht="36">
      <c r="A81" s="1118">
        <v>21</v>
      </c>
      <c r="B81" s="3872"/>
      <c r="C81" s="1032" t="s">
        <v>1518</v>
      </c>
      <c r="D81" s="1032" t="s">
        <v>1519</v>
      </c>
      <c r="E81" s="1103">
        <v>0.2</v>
      </c>
      <c r="F81" s="1118">
        <v>30</v>
      </c>
    </row>
    <row r="82" spans="1:6" s="1069" customFormat="1" ht="48">
      <c r="A82" s="1118">
        <v>22</v>
      </c>
      <c r="B82" s="3872"/>
      <c r="C82" s="1032" t="s">
        <v>1520</v>
      </c>
      <c r="D82" s="1032" t="s">
        <v>1521</v>
      </c>
      <c r="E82" s="1103">
        <v>0.2</v>
      </c>
      <c r="F82" s="1118">
        <v>30</v>
      </c>
    </row>
    <row r="83" spans="1:6" s="1069" customFormat="1" ht="48">
      <c r="A83" s="1118">
        <v>23</v>
      </c>
      <c r="B83" s="3872"/>
      <c r="C83" s="1032" t="s">
        <v>1522</v>
      </c>
      <c r="D83" s="1032" t="s">
        <v>1523</v>
      </c>
      <c r="E83" s="1103">
        <v>0.2</v>
      </c>
      <c r="F83" s="1118">
        <v>30</v>
      </c>
    </row>
    <row r="84" spans="1:6" s="1069" customFormat="1" ht="36">
      <c r="A84" s="1118">
        <v>24</v>
      </c>
      <c r="B84" s="3872"/>
      <c r="C84" s="1032" t="s">
        <v>1524</v>
      </c>
      <c r="D84" s="1032" t="s">
        <v>1525</v>
      </c>
      <c r="E84" s="1103">
        <v>0.2</v>
      </c>
      <c r="F84" s="1118">
        <v>30</v>
      </c>
    </row>
    <row r="85" spans="1:6" s="1069" customFormat="1" ht="36">
      <c r="A85" s="1118">
        <v>25</v>
      </c>
      <c r="B85" s="3872"/>
      <c r="C85" s="1032" t="s">
        <v>1526</v>
      </c>
      <c r="D85" s="1032" t="s">
        <v>1527</v>
      </c>
      <c r="E85" s="1103">
        <v>0.5</v>
      </c>
      <c r="F85" s="1118">
        <v>80</v>
      </c>
    </row>
    <row r="86" spans="1:6" s="1069" customFormat="1" ht="36">
      <c r="A86" s="1118">
        <v>26</v>
      </c>
      <c r="B86" s="3872"/>
      <c r="C86" s="1032" t="s">
        <v>1528</v>
      </c>
      <c r="D86" s="1032" t="s">
        <v>1529</v>
      </c>
      <c r="E86" s="1103">
        <v>0.2</v>
      </c>
      <c r="F86" s="1118">
        <v>30</v>
      </c>
    </row>
    <row r="87" spans="1:6" s="1069" customFormat="1" ht="36">
      <c r="A87" s="1118">
        <v>27</v>
      </c>
      <c r="B87" s="3872"/>
      <c r="C87" s="1032" t="s">
        <v>1530</v>
      </c>
      <c r="D87" s="1032" t="s">
        <v>1531</v>
      </c>
      <c r="E87" s="1103">
        <v>0.2</v>
      </c>
      <c r="F87" s="1118">
        <v>30</v>
      </c>
    </row>
    <row r="88" spans="1:6" s="1069" customFormat="1" ht="36">
      <c r="A88" s="1118">
        <v>28</v>
      </c>
      <c r="B88" s="3872"/>
      <c r="C88" s="1032" t="s">
        <v>1532</v>
      </c>
      <c r="D88" s="1032" t="s">
        <v>1533</v>
      </c>
      <c r="E88" s="1103">
        <v>0.2</v>
      </c>
      <c r="F88" s="1118">
        <v>30</v>
      </c>
    </row>
    <row r="89" spans="1:6" s="1069" customFormat="1" ht="24">
      <c r="A89" s="1118">
        <v>29</v>
      </c>
      <c r="B89" s="3872"/>
      <c r="C89" s="1032" t="s">
        <v>1534</v>
      </c>
      <c r="D89" s="1032" t="s">
        <v>1535</v>
      </c>
      <c r="E89" s="1103">
        <v>0.2</v>
      </c>
      <c r="F89" s="1118">
        <v>30</v>
      </c>
    </row>
    <row r="90" spans="1:6" s="1069" customFormat="1" ht="24">
      <c r="A90" s="1118">
        <v>30</v>
      </c>
      <c r="B90" s="3872"/>
      <c r="C90" s="1032" t="s">
        <v>1536</v>
      </c>
      <c r="D90" s="1032" t="s">
        <v>1537</v>
      </c>
      <c r="E90" s="1103">
        <v>0.2</v>
      </c>
      <c r="F90" s="1118">
        <v>30</v>
      </c>
    </row>
    <row r="91" spans="1:6" s="1069" customFormat="1" ht="36">
      <c r="A91" s="1118">
        <v>31</v>
      </c>
      <c r="B91" s="3872"/>
      <c r="C91" s="1032" t="s">
        <v>1538</v>
      </c>
      <c r="D91" s="1032" t="s">
        <v>1539</v>
      </c>
      <c r="E91" s="1103">
        <v>0.2</v>
      </c>
      <c r="F91" s="1118">
        <v>30</v>
      </c>
    </row>
    <row r="92" spans="1:6" s="1069" customFormat="1" ht="24">
      <c r="A92" s="1118">
        <v>32</v>
      </c>
      <c r="B92" s="3872" t="s">
        <v>1540</v>
      </c>
      <c r="C92" s="1118" t="s">
        <v>1541</v>
      </c>
      <c r="D92" s="1032" t="s">
        <v>1542</v>
      </c>
      <c r="E92" s="1103">
        <v>0.2</v>
      </c>
      <c r="F92" s="1118">
        <v>30</v>
      </c>
    </row>
    <row r="93" spans="1:6" s="1069" customFormat="1" ht="36">
      <c r="A93" s="1118">
        <v>33</v>
      </c>
      <c r="B93" s="3872"/>
      <c r="C93" s="1118" t="s">
        <v>1543</v>
      </c>
      <c r="D93" s="1032" t="s">
        <v>1544</v>
      </c>
      <c r="E93" s="1103">
        <v>0.2</v>
      </c>
      <c r="F93" s="1118">
        <v>30</v>
      </c>
    </row>
    <row r="94" spans="1:6" s="1069" customFormat="1" ht="48">
      <c r="A94" s="1118">
        <v>34</v>
      </c>
      <c r="B94" s="3872"/>
      <c r="C94" s="1118" t="s">
        <v>1545</v>
      </c>
      <c r="D94" s="1032" t="s">
        <v>1546</v>
      </c>
      <c r="E94" s="1103">
        <v>0.2</v>
      </c>
      <c r="F94" s="1118">
        <v>30</v>
      </c>
    </row>
    <row r="95" spans="1:6" s="1069" customFormat="1" ht="36">
      <c r="A95" s="1118">
        <v>35</v>
      </c>
      <c r="B95" s="3872"/>
      <c r="C95" s="1118" t="s">
        <v>1547</v>
      </c>
      <c r="D95" s="1032" t="s">
        <v>1548</v>
      </c>
      <c r="E95" s="1103">
        <v>0.2</v>
      </c>
      <c r="F95" s="1118">
        <v>30</v>
      </c>
    </row>
    <row r="96" spans="1:6" s="1069" customFormat="1" ht="48">
      <c r="A96" s="1118">
        <v>36</v>
      </c>
      <c r="B96" s="3872"/>
      <c r="C96" s="1032" t="s">
        <v>1549</v>
      </c>
      <c r="D96" s="1032" t="s">
        <v>1550</v>
      </c>
      <c r="E96" s="1103">
        <v>0.2</v>
      </c>
      <c r="F96" s="1118">
        <v>30</v>
      </c>
    </row>
    <row r="97" spans="1:6" s="1069" customFormat="1" ht="36">
      <c r="A97" s="1118">
        <v>37</v>
      </c>
      <c r="B97" s="3872"/>
      <c r="C97" s="1118" t="s">
        <v>1551</v>
      </c>
      <c r="D97" s="1032" t="s">
        <v>1552</v>
      </c>
      <c r="E97" s="1103">
        <v>0.2</v>
      </c>
      <c r="F97" s="1118">
        <v>30</v>
      </c>
    </row>
    <row r="98" spans="1:6" s="1069" customFormat="1" ht="36">
      <c r="A98" s="1118">
        <v>38</v>
      </c>
      <c r="B98" s="3872"/>
      <c r="C98" s="1118" t="s">
        <v>1553</v>
      </c>
      <c r="D98" s="1032" t="s">
        <v>1554</v>
      </c>
      <c r="E98" s="1103">
        <v>0.2</v>
      </c>
      <c r="F98" s="1118">
        <v>30</v>
      </c>
    </row>
    <row r="99" spans="1:6" s="1069" customFormat="1" ht="36">
      <c r="A99" s="1118">
        <v>39</v>
      </c>
      <c r="B99" s="3872" t="s">
        <v>1555</v>
      </c>
      <c r="C99" s="1118" t="s">
        <v>1556</v>
      </c>
      <c r="D99" s="1032" t="s">
        <v>1557</v>
      </c>
      <c r="E99" s="1103">
        <v>0.3</v>
      </c>
      <c r="F99" s="1118">
        <v>50</v>
      </c>
    </row>
    <row r="100" spans="1:6" s="1069" customFormat="1" ht="24">
      <c r="A100" s="1118">
        <v>40</v>
      </c>
      <c r="B100" s="3872"/>
      <c r="C100" s="1118" t="s">
        <v>1558</v>
      </c>
      <c r="D100" s="1032" t="s">
        <v>1559</v>
      </c>
      <c r="E100" s="1103">
        <v>0.2</v>
      </c>
      <c r="F100" s="1118">
        <v>30</v>
      </c>
    </row>
    <row r="101" spans="1:6" s="1069" customFormat="1" ht="36">
      <c r="A101" s="1118">
        <v>41</v>
      </c>
      <c r="B101" s="3872"/>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72" t="s">
        <v>1570</v>
      </c>
      <c r="C105" s="1118" t="s">
        <v>1571</v>
      </c>
      <c r="D105" s="1032" t="s">
        <v>1572</v>
      </c>
      <c r="E105" s="1103">
        <v>0.2</v>
      </c>
      <c r="F105" s="1118">
        <v>30</v>
      </c>
    </row>
    <row r="106" spans="1:6" s="1069" customFormat="1" ht="36">
      <c r="A106" s="1118">
        <v>46</v>
      </c>
      <c r="B106" s="3872"/>
      <c r="C106" s="1118" t="s">
        <v>1573</v>
      </c>
      <c r="D106" s="1032" t="s">
        <v>1574</v>
      </c>
      <c r="E106" s="1103">
        <v>0.2</v>
      </c>
      <c r="F106" s="1118">
        <v>30</v>
      </c>
    </row>
    <row r="107" spans="1:6" s="1069" customFormat="1" ht="36">
      <c r="A107" s="1118">
        <v>47</v>
      </c>
      <c r="B107" s="3872" t="s">
        <v>1575</v>
      </c>
      <c r="C107" s="1118" t="s">
        <v>1576</v>
      </c>
      <c r="D107" s="1032" t="s">
        <v>1577</v>
      </c>
      <c r="E107" s="1103">
        <v>0.3</v>
      </c>
      <c r="F107" s="1118">
        <v>50</v>
      </c>
    </row>
    <row r="108" spans="1:6" s="1069" customFormat="1" ht="36">
      <c r="A108" s="1118">
        <v>48</v>
      </c>
      <c r="B108" s="3872"/>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72" t="s">
        <v>1586</v>
      </c>
      <c r="C111" s="1118" t="s">
        <v>1587</v>
      </c>
      <c r="D111" s="1032" t="s">
        <v>1588</v>
      </c>
      <c r="E111" s="1103">
        <v>0.2</v>
      </c>
      <c r="F111" s="1118">
        <v>30</v>
      </c>
    </row>
    <row r="112" spans="1:6" s="1069" customFormat="1" ht="24">
      <c r="A112" s="1118">
        <v>52</v>
      </c>
      <c r="B112" s="3872"/>
      <c r="C112" s="1118" t="s">
        <v>1589</v>
      </c>
      <c r="D112" s="1032" t="s">
        <v>1590</v>
      </c>
      <c r="E112" s="1103">
        <v>0.2</v>
      </c>
      <c r="F112" s="1118">
        <v>30</v>
      </c>
    </row>
    <row r="113" spans="1:14" s="1069" customFormat="1" ht="24">
      <c r="A113" s="1118">
        <v>53</v>
      </c>
      <c r="B113" s="3872"/>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72" t="s">
        <v>1599</v>
      </c>
      <c r="C116" s="1118" t="s">
        <v>1600</v>
      </c>
      <c r="D116" s="1032" t="s">
        <v>1601</v>
      </c>
      <c r="E116" s="1103">
        <v>0.2</v>
      </c>
      <c r="F116" s="1118">
        <v>30</v>
      </c>
    </row>
    <row r="117" spans="1:14" ht="36">
      <c r="A117" s="1118">
        <v>57</v>
      </c>
      <c r="B117" s="3872"/>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71" t="s">
        <v>1608</v>
      </c>
      <c r="B121" s="3871"/>
      <c r="C121" s="3871"/>
      <c r="D121" s="3871"/>
      <c r="E121" s="3871"/>
      <c r="F121" s="3871"/>
      <c r="G121" s="3871"/>
      <c r="H121" s="3871"/>
      <c r="I121" s="3871"/>
      <c r="J121" s="3871"/>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28" t="s">
        <v>1014</v>
      </c>
      <c r="B1" s="3928"/>
      <c r="C1" s="3928"/>
      <c r="D1" s="3928"/>
      <c r="E1" s="3928"/>
      <c r="F1" s="3928"/>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29" t="s">
        <v>1027</v>
      </c>
      <c r="B2" s="3929"/>
      <c r="C2" s="3929"/>
      <c r="D2" s="3929"/>
      <c r="E2" s="3929"/>
      <c r="F2" s="3929"/>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30"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31"/>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32" t="s">
        <v>2046</v>
      </c>
      <c r="B1" s="3932"/>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35" t="s">
        <v>2529</v>
      </c>
      <c r="C1" s="3935"/>
      <c r="D1" s="3935"/>
      <c r="E1" s="3935"/>
      <c r="F1" s="3935"/>
      <c r="G1" s="3934" t="s">
        <v>2530</v>
      </c>
      <c r="H1" s="3934"/>
      <c r="I1" s="3934"/>
      <c r="J1" s="3934"/>
      <c r="K1" s="3934"/>
      <c r="L1" s="3934"/>
      <c r="N1" s="3934" t="s">
        <v>2531</v>
      </c>
      <c r="O1" s="3934"/>
      <c r="P1" s="3934"/>
      <c r="Q1" s="3934"/>
      <c r="S1" s="3934" t="s">
        <v>2532</v>
      </c>
      <c r="T1" s="3934"/>
      <c r="U1" s="3934"/>
      <c r="V1" s="3934"/>
      <c r="X1" s="3933" t="s">
        <v>2592</v>
      </c>
      <c r="Y1" s="3934"/>
      <c r="Z1" s="3934"/>
      <c r="AA1" s="3934"/>
      <c r="AB1" s="3934"/>
      <c r="AD1" s="3933" t="s">
        <v>2596</v>
      </c>
      <c r="AE1" s="3934"/>
      <c r="AF1" s="3934"/>
      <c r="AG1" s="3934"/>
      <c r="AH1" s="3934"/>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37">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37"/>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37"/>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43"/>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42">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37"/>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37"/>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43"/>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42">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37"/>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37"/>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38"/>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36">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37"/>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37"/>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38"/>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36">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37"/>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37"/>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38"/>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39">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40"/>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40"/>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41"/>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36">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37"/>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37"/>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38"/>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36">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37">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37">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38">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36">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37">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37">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38">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36">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37">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37">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38">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36">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37">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37">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38">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36">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37">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37">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38">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36">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37">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37">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38">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36">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37">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37">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38">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36">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37">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37">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38">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36">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37">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37">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38">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36">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37">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37">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38">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75" t="s">
        <v>2417</v>
      </c>
      <c r="C8" s="1710">
        <f ca="1">ROUND(F8*F10*F9*(1-F11)/10000,0)</f>
        <v>0</v>
      </c>
      <c r="D8" s="1707" t="s">
        <v>2488</v>
      </c>
      <c r="E8" s="61" t="s">
        <v>615</v>
      </c>
      <c r="F8" s="756">
        <f ca="1">INDIRECT("'数据-取费表'!u"&amp;$G$1)</f>
        <v>0</v>
      </c>
      <c r="G8" s="1498"/>
      <c r="H8" s="2323" t="s">
        <v>1799</v>
      </c>
      <c r="I8" s="3875" t="s">
        <v>2417</v>
      </c>
      <c r="J8" s="754">
        <f ca="1">ROUND(M8*M10*M9*(1-M11)/10000,0)</f>
        <v>0</v>
      </c>
      <c r="K8" s="338" t="s">
        <v>2488</v>
      </c>
      <c r="L8" s="755" t="s">
        <v>1713</v>
      </c>
      <c r="M8" s="756">
        <f ca="1">INDIRECT("'数据-取费表'!z"&amp;$G$1)</f>
        <v>0</v>
      </c>
    </row>
    <row r="9" spans="1:25" ht="18" customHeight="1">
      <c r="A9" s="2319"/>
      <c r="B9" s="3876"/>
      <c r="C9" s="1711"/>
      <c r="D9" s="1708"/>
      <c r="E9" s="61" t="s">
        <v>616</v>
      </c>
      <c r="F9" s="756">
        <f ca="1">IF(INDIRECT("'数据-取费表'!ah"&amp;$G$1)="",INDIRECT("'数据-取费表'!k"&amp;$G$1),INDIRECT("'数据-取费表'!ah"&amp;$G$1))</f>
        <v>0</v>
      </c>
      <c r="G9" s="1498"/>
      <c r="H9" s="2308"/>
      <c r="I9" s="3876"/>
      <c r="J9" s="759"/>
      <c r="K9" s="760"/>
      <c r="L9" s="755" t="s">
        <v>1714</v>
      </c>
      <c r="M9" s="756">
        <f ca="1">F9</f>
        <v>0</v>
      </c>
    </row>
    <row r="10" spans="1:25" ht="18" customHeight="1">
      <c r="A10" s="2312"/>
      <c r="B10" s="3877"/>
      <c r="C10" s="1711"/>
      <c r="D10" s="1708"/>
      <c r="E10" s="61" t="s">
        <v>617</v>
      </c>
      <c r="F10" s="756">
        <f ca="1">INDIRECT("'数据-取费表'!ai"&amp;$G$1)</f>
        <v>365</v>
      </c>
      <c r="G10" s="1498"/>
      <c r="H10" s="2308"/>
      <c r="I10" s="3877"/>
      <c r="J10" s="759"/>
      <c r="K10" s="760"/>
      <c r="L10" s="755" t="s">
        <v>1715</v>
      </c>
      <c r="M10" s="756">
        <f ca="1">INDIRECT("'数据-取费表'!ai"&amp;$G$1)</f>
        <v>365</v>
      </c>
    </row>
    <row r="11" spans="1:25" ht="18" customHeight="1">
      <c r="A11" s="757"/>
      <c r="B11" s="3878"/>
      <c r="C11" s="1711"/>
      <c r="D11" s="1708"/>
      <c r="E11" s="61" t="s">
        <v>618</v>
      </c>
      <c r="F11" s="765">
        <f ca="1">INDIRECT("'数据-取费表'!w"&amp;$G$1)</f>
        <v>0</v>
      </c>
      <c r="G11" s="1498"/>
      <c r="H11" s="2324"/>
      <c r="I11" s="3877"/>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1E-3</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44"/>
      <c r="J36" s="1931"/>
      <c r="K36" s="1932"/>
      <c r="L36" s="1931"/>
      <c r="M36" s="1931"/>
    </row>
    <row r="37" spans="1:18" ht="18" customHeight="1">
      <c r="A37" s="785"/>
      <c r="B37" s="764"/>
      <c r="C37" s="69"/>
      <c r="D37" s="786"/>
      <c r="E37" s="755" t="s">
        <v>652</v>
      </c>
      <c r="F37" s="756">
        <f ca="1">INDIRECT("'数据-取费表'!r"&amp;$G$1)</f>
        <v>0</v>
      </c>
      <c r="G37" s="1914"/>
      <c r="H37" s="1917"/>
      <c r="I37" s="3944"/>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45"/>
      <c r="L54" s="3946"/>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B1" zoomScale="90" zoomScaleNormal="60" zoomScaleSheetLayoutView="90" workbookViewId="0">
      <selection activeCell="F13" sqref="F1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25262</v>
      </c>
      <c r="C2" s="3224"/>
      <c r="D2" s="3225"/>
      <c r="E2" s="3226"/>
      <c r="F2" s="3226"/>
      <c r="G2" s="3220"/>
      <c r="H2" s="1909"/>
      <c r="I2" s="1909"/>
      <c r="J2" s="1909"/>
      <c r="K2" s="1910"/>
      <c r="L2" s="1909"/>
      <c r="M2" s="1909"/>
    </row>
    <row r="3" spans="1:33" ht="18" customHeight="1" thickBot="1">
      <c r="A3" s="803" t="s">
        <v>497</v>
      </c>
      <c r="B3" s="804">
        <f ca="1">IF(ISERROR(B2*10000/F43),0,ROUND(B2*10000/F43,0))</f>
        <v>28167</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1712</v>
      </c>
      <c r="D5" s="2315" t="s">
        <v>2415</v>
      </c>
      <c r="E5" s="2309"/>
      <c r="F5" s="2310"/>
      <c r="G5" s="1914"/>
      <c r="H5" s="752">
        <v>1</v>
      </c>
      <c r="I5" s="753" t="s">
        <v>2412</v>
      </c>
      <c r="J5" s="55">
        <f ca="1">J6+J10+J12</f>
        <v>0</v>
      </c>
      <c r="K5" s="2315" t="s">
        <v>2415</v>
      </c>
      <c r="L5" s="2309"/>
      <c r="M5" s="2310"/>
    </row>
    <row r="6" spans="1:33" ht="18" customHeight="1">
      <c r="A6" s="1715" t="s">
        <v>1799</v>
      </c>
      <c r="B6" s="3875" t="s">
        <v>2417</v>
      </c>
      <c r="C6" s="754">
        <f ca="1">ROUND(F6*F8*F7*(1-F9)/10000,0)</f>
        <v>1710</v>
      </c>
      <c r="D6" s="2316" t="s">
        <v>2416</v>
      </c>
      <c r="E6" s="755" t="s">
        <v>615</v>
      </c>
      <c r="F6" s="756">
        <f ca="1">INDIRECT("'数据-取费表'!u"&amp;$G$1)</f>
        <v>5.5</v>
      </c>
      <c r="G6" s="1914"/>
      <c r="H6" s="2323" t="s">
        <v>1799</v>
      </c>
      <c r="I6" s="3875" t="s">
        <v>2417</v>
      </c>
      <c r="J6" s="754">
        <f ca="1">ROUND(M6*M8*M7*(1-M9)/10000,0)</f>
        <v>0</v>
      </c>
      <c r="K6" s="338" t="s">
        <v>614</v>
      </c>
      <c r="L6" s="755" t="s">
        <v>615</v>
      </c>
      <c r="M6" s="756">
        <f ca="1">INDIRECT("'数据-取费表'!z"&amp;$G$1)</f>
        <v>0</v>
      </c>
    </row>
    <row r="7" spans="1:33" ht="18" customHeight="1">
      <c r="A7" s="2319"/>
      <c r="B7" s="3876"/>
      <c r="C7" s="759"/>
      <c r="D7" s="760"/>
      <c r="E7" s="755" t="s">
        <v>616</v>
      </c>
      <c r="F7" s="756">
        <f ca="1">IF(INDIRECT("'数据-取费表'!ah"&amp;$G$1)="",INDIRECT("'数据-取费表'!k"&amp;$G$1),INDIRECT("'数据-取费表'!ah"&amp;$G$1))</f>
        <v>8968.7999999999993</v>
      </c>
      <c r="G7" s="1914"/>
      <c r="H7" s="2308"/>
      <c r="I7" s="3876"/>
      <c r="J7" s="759"/>
      <c r="K7" s="760"/>
      <c r="L7" s="755" t="s">
        <v>616</v>
      </c>
      <c r="M7" s="756">
        <f ca="1">F7</f>
        <v>8968.7999999999993</v>
      </c>
    </row>
    <row r="8" spans="1:33" ht="18" customHeight="1">
      <c r="A8" s="2312"/>
      <c r="B8" s="3877"/>
      <c r="C8" s="759"/>
      <c r="D8" s="760"/>
      <c r="E8" s="755" t="s">
        <v>617</v>
      </c>
      <c r="F8" s="756">
        <f ca="1">INDIRECT("'数据-取费表'!ai"&amp;$G$1)</f>
        <v>365</v>
      </c>
      <c r="G8" s="1914"/>
      <c r="H8" s="2308"/>
      <c r="I8" s="3877"/>
      <c r="J8" s="759"/>
      <c r="K8" s="760"/>
      <c r="L8" s="755" t="s">
        <v>617</v>
      </c>
      <c r="M8" s="756">
        <f ca="1">INDIRECT("'数据-取费表'!ai"&amp;$G$1)</f>
        <v>365</v>
      </c>
    </row>
    <row r="9" spans="1:33" ht="18" customHeight="1">
      <c r="A9" s="757"/>
      <c r="B9" s="3878"/>
      <c r="C9" s="759"/>
      <c r="D9" s="760"/>
      <c r="E9" s="755" t="s">
        <v>618</v>
      </c>
      <c r="F9" s="765">
        <f ca="1">INDIRECT("'数据-取费表'!w"&amp;$G$1)</f>
        <v>0.05</v>
      </c>
      <c r="G9" s="1914"/>
      <c r="H9" s="2324"/>
      <c r="I9" s="3877"/>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2477</v>
      </c>
      <c r="D13" s="1719" t="s">
        <v>2262</v>
      </c>
      <c r="E13" s="1719" t="s">
        <v>621</v>
      </c>
      <c r="F13" s="3512">
        <f ca="1">'剩余法-现房'!F22</f>
        <v>0.6</v>
      </c>
      <c r="G13" s="1914"/>
      <c r="H13" s="1714">
        <v>2</v>
      </c>
      <c r="I13" s="1712" t="s">
        <v>622</v>
      </c>
      <c r="J13" s="1704">
        <f ca="1">ROUND(J14*J15,0)</f>
        <v>0</v>
      </c>
      <c r="K13" s="1706" t="s">
        <v>620</v>
      </c>
      <c r="L13" s="2370"/>
      <c r="M13" s="2371"/>
    </row>
    <row r="14" spans="1:33" ht="18" customHeight="1">
      <c r="A14" s="1547" t="s">
        <v>1806</v>
      </c>
      <c r="B14" s="755" t="s">
        <v>623</v>
      </c>
      <c r="C14" s="3581">
        <f>'数据-取费表'!M7</f>
        <v>2691</v>
      </c>
      <c r="D14" s="3440" t="s">
        <v>624</v>
      </c>
      <c r="E14" s="3441"/>
      <c r="F14" s="776"/>
      <c r="G14" s="1914"/>
      <c r="H14" s="1548" t="s">
        <v>1799</v>
      </c>
      <c r="I14" s="2079" t="s">
        <v>2777</v>
      </c>
      <c r="J14" s="53">
        <f ca="1">C29</f>
        <v>4129</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100</v>
      </c>
      <c r="K16" s="1706" t="s">
        <v>630</v>
      </c>
      <c r="L16" s="3442"/>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38</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3"/>
      <c r="F19" s="56"/>
      <c r="G19" s="1914"/>
      <c r="H19" s="1547" t="s">
        <v>1807</v>
      </c>
      <c r="I19" s="755" t="s">
        <v>642</v>
      </c>
      <c r="J19" s="53">
        <f ca="1">IF(K19="按租金收入计税",ROUND(J6*M19/(1+'数据-取费表'!C42),1),ROUND(C29*F33*0.7,1))</f>
        <v>34.700000000000003</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1613.09</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3"/>
      <c r="F22" s="56"/>
      <c r="G22" s="1914"/>
      <c r="H22" s="1548" t="s">
        <v>1858</v>
      </c>
      <c r="I22" s="755" t="s">
        <v>654</v>
      </c>
      <c r="J22" s="53">
        <f ca="1">ROUND(J14*M22,0)</f>
        <v>62</v>
      </c>
      <c r="K22" s="3438"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145</v>
      </c>
      <c r="D23" s="2387" t="str">
        <f>IF(F23&lt;=1,"(建造成本+管理费用)×利率×(建设周期÷2)","(建造成本+管理费用)×((1+利率)^(建设周期÷2)-1)")</f>
        <v>(建造成本+管理费用)×((1+利率)^(建设周期÷2)-1)</v>
      </c>
      <c r="E23" s="755" t="s">
        <v>656</v>
      </c>
      <c r="F23" s="3513">
        <f>'数据-取费表'!B20</f>
        <v>2</v>
      </c>
      <c r="G23" s="3221"/>
      <c r="H23" s="1548" t="s">
        <v>1859</v>
      </c>
      <c r="I23" s="755" t="s">
        <v>657</v>
      </c>
      <c r="J23" s="53">
        <f ca="1">ROUND(J13*M23,0)</f>
        <v>0</v>
      </c>
      <c r="K23" s="3438"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1E-3</v>
      </c>
      <c r="D24" s="2387" t="str">
        <f>IF(F23&lt;=1,"销售费用×利率×(建设周期÷2)","销售费用×((1+利率)^(建设周期÷2)-1)")</f>
        <v>销售费用×((1+利率)^(建设周期÷2)-1)</v>
      </c>
      <c r="E24" s="755" t="s">
        <v>660</v>
      </c>
      <c r="F24" s="3514">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-100</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4129</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220</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129</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91.2</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34.700000000000003</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2.9</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1613.09</v>
      </c>
      <c r="G35" s="1914"/>
      <c r="H35" s="1917"/>
      <c r="I35" s="807" t="s">
        <v>1789</v>
      </c>
      <c r="J35" s="808">
        <f ca="1">ROUND(C13*J36,0)</f>
        <v>161</v>
      </c>
      <c r="K35" s="1930"/>
      <c r="L35" s="1929"/>
      <c r="M35" s="1929"/>
    </row>
    <row r="36" spans="1:18" ht="18" customHeight="1">
      <c r="A36" s="1548" t="s">
        <v>1858</v>
      </c>
      <c r="B36" s="755" t="s">
        <v>654</v>
      </c>
      <c r="C36" s="53">
        <f ca="1">ROUND(C29*F36,1)</f>
        <v>61.9</v>
      </c>
      <c r="D36" s="3438"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3.7</v>
      </c>
      <c r="D37" s="3438"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25.7</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1492</v>
      </c>
      <c r="D39" s="2366" t="s">
        <v>678</v>
      </c>
      <c r="E39" s="2367"/>
      <c r="F39" s="2368"/>
      <c r="G39" s="1914"/>
      <c r="H39" s="1929"/>
      <c r="I39" s="807" t="s">
        <v>1793</v>
      </c>
      <c r="J39" s="815">
        <f ca="1">ROUND(J35/C39,3)</f>
        <v>0.108</v>
      </c>
      <c r="K39" s="1934"/>
      <c r="L39" s="1929"/>
      <c r="M39" s="1929"/>
    </row>
    <row r="40" spans="1:18" ht="18" customHeight="1">
      <c r="A40" s="752" t="s">
        <v>1755</v>
      </c>
      <c r="B40" s="2080" t="s">
        <v>2266</v>
      </c>
      <c r="C40" s="754">
        <f ca="1">ROUND(C39*(1-((1+F42)/(1+F40))^F41)/(F40-F42),0)</f>
        <v>25262</v>
      </c>
      <c r="D40" s="784" t="s">
        <v>682</v>
      </c>
      <c r="E40" s="755" t="s">
        <v>2381</v>
      </c>
      <c r="F40" s="765">
        <f ca="1">INDIRECT("'数据-取费表'!I"&amp;$G$1)</f>
        <v>5.5E-2</v>
      </c>
      <c r="G40" s="1914"/>
      <c r="H40" s="1914"/>
      <c r="I40" s="807" t="s">
        <v>1794</v>
      </c>
      <c r="J40" s="815">
        <f ca="1">1-J39</f>
        <v>0.89200000000000002</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9.8000000000000004E-2</v>
      </c>
      <c r="K42" s="1933"/>
      <c r="L42" s="1869"/>
      <c r="M42" s="1869"/>
    </row>
    <row r="43" spans="1:18" ht="18" customHeight="1" thickBot="1">
      <c r="A43" s="793" t="s">
        <v>1762</v>
      </c>
      <c r="B43" s="794" t="s">
        <v>1785</v>
      </c>
      <c r="C43" s="795">
        <f ca="1">ROUND(C40*10000/F43,0)</f>
        <v>28167</v>
      </c>
      <c r="D43" s="796" t="s">
        <v>1786</v>
      </c>
      <c r="E43" s="797" t="s">
        <v>1787</v>
      </c>
      <c r="F43" s="798">
        <f ca="1">INDIRECT("'数据-取费表'!k"&amp;$G$1)</f>
        <v>8968.7999999999993</v>
      </c>
      <c r="G43" s="1914"/>
      <c r="H43" s="1869"/>
      <c r="I43" s="817" t="s">
        <v>1797</v>
      </c>
      <c r="J43" s="818">
        <f ca="1">1-J42</f>
        <v>0.90200000000000002</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-27023</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25262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4129</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30112</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873" t="s">
        <v>2901</v>
      </c>
      <c r="L53" s="3874"/>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25262</v>
      </c>
      <c r="R54" s="2226" t="s">
        <v>2354</v>
      </c>
    </row>
    <row r="55" spans="1:18" s="1911" customFormat="1" ht="18" customHeight="1" thickTop="1" thickBot="1">
      <c r="A55" s="768">
        <v>2</v>
      </c>
      <c r="B55" s="769" t="s">
        <v>622</v>
      </c>
      <c r="C55" s="770">
        <f ca="1">C13</f>
        <v>2477</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4129</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104</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25262</v>
      </c>
      <c r="R57" s="2222" t="s">
        <v>2342</v>
      </c>
    </row>
    <row r="58" spans="1:18" s="1911" customFormat="1" ht="28.5" customHeight="1" thickBot="1">
      <c r="A58" s="1548" t="s">
        <v>1799</v>
      </c>
      <c r="B58" s="755" t="s">
        <v>634</v>
      </c>
      <c r="C58" s="2980">
        <f ca="1">ROUND(IF(AND(项目基本情况!B11="自然人",项目基本情况!B10="北京市"),C48*F58/(1+'数据-取费表'!C42),C59+C60+C61),0)</f>
        <v>38</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34.700000000000003</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1613.09</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61.9</v>
      </c>
      <c r="D63" s="3438" t="s">
        <v>669</v>
      </c>
      <c r="E63" s="755" t="s">
        <v>627</v>
      </c>
      <c r="F63" s="787">
        <f t="shared" ca="1" si="0"/>
        <v>1.4999999999999999E-2</v>
      </c>
      <c r="I63" s="2785" t="s">
        <v>2332</v>
      </c>
      <c r="J63" s="2786">
        <v>70</v>
      </c>
      <c r="K63" s="2786">
        <v>50</v>
      </c>
      <c r="L63" s="2786">
        <v>80</v>
      </c>
      <c r="M63" s="2788">
        <v>0.02</v>
      </c>
      <c r="O63" s="2221" t="s">
        <v>2353</v>
      </c>
      <c r="P63" s="2222" t="s">
        <v>2370</v>
      </c>
      <c r="Q63" s="2223">
        <f ca="1">Q57+Q58</f>
        <v>25262</v>
      </c>
      <c r="R63" s="2226" t="s">
        <v>2354</v>
      </c>
    </row>
    <row r="64" spans="1:18" s="1911" customFormat="1" ht="16.5" thickBot="1">
      <c r="A64" s="1548" t="s">
        <v>1859</v>
      </c>
      <c r="B64" s="755" t="s">
        <v>657</v>
      </c>
      <c r="C64" s="53">
        <f ca="1">ROUND(C55*F64,1)</f>
        <v>3.7</v>
      </c>
      <c r="D64" s="3438"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-104</v>
      </c>
      <c r="D66" s="3440" t="s">
        <v>678</v>
      </c>
      <c r="E66" s="3443"/>
      <c r="F66" s="790"/>
      <c r="K66" s="1937"/>
      <c r="O66" s="2221" t="s">
        <v>2341</v>
      </c>
      <c r="P66" s="2222" t="s">
        <v>2367</v>
      </c>
      <c r="Q66" s="2223">
        <f ca="1">C40+J29</f>
        <v>25262</v>
      </c>
      <c r="R66" s="2222" t="s">
        <v>2342</v>
      </c>
    </row>
    <row r="67" spans="1:18" s="1911" customFormat="1" ht="20.25" thickBot="1">
      <c r="A67" s="752" t="s">
        <v>1755</v>
      </c>
      <c r="B67" s="2080" t="s">
        <v>2266</v>
      </c>
      <c r="C67" s="754">
        <f ca="1">ROUND(C66*(1-((1+F69)/(1+F67))^F68)/(F67-F69),0)</f>
        <v>-1761</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30112</v>
      </c>
      <c r="R68" s="2229" t="s">
        <v>2378</v>
      </c>
    </row>
    <row r="69" spans="1:18" ht="20.25" thickBot="1">
      <c r="A69" s="761"/>
      <c r="B69" s="762"/>
      <c r="C69" s="763"/>
      <c r="D69" s="786"/>
      <c r="E69" s="755" t="s">
        <v>688</v>
      </c>
      <c r="F69" s="2194">
        <v>0</v>
      </c>
      <c r="O69" s="2224" t="s">
        <v>2346</v>
      </c>
      <c r="P69" s="2230" t="s">
        <v>2360</v>
      </c>
      <c r="Q69" s="2223">
        <f ca="1">ROUND(Q70-Q71*Q72,0)</f>
        <v>1331</v>
      </c>
      <c r="R69" s="2226"/>
    </row>
    <row r="70" spans="1:18" ht="15.75" thickBot="1">
      <c r="A70" s="793" t="s">
        <v>1762</v>
      </c>
      <c r="B70" s="794" t="s">
        <v>1785</v>
      </c>
      <c r="C70" s="795">
        <f ca="1">ROUND(C67*10000/F70,0)</f>
        <v>-1963</v>
      </c>
      <c r="D70" s="796" t="s">
        <v>1786</v>
      </c>
      <c r="E70" s="797" t="s">
        <v>1787</v>
      </c>
      <c r="F70" s="798">
        <f ca="1">F43</f>
        <v>8968.7999999999993</v>
      </c>
      <c r="O70" s="2224" t="s">
        <v>2361</v>
      </c>
      <c r="P70" s="2230" t="s">
        <v>2362</v>
      </c>
      <c r="Q70" s="2223">
        <f ca="1">C39</f>
        <v>1492</v>
      </c>
      <c r="R70" s="2222" t="s">
        <v>2342</v>
      </c>
    </row>
    <row r="71" spans="1:18" ht="15.75" thickBot="1">
      <c r="O71" s="2224" t="s">
        <v>2363</v>
      </c>
      <c r="P71" s="2230" t="s">
        <v>2364</v>
      </c>
      <c r="Q71" s="2223">
        <f ca="1">C13</f>
        <v>2477</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25262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47" t="s">
        <v>3005</v>
      </c>
      <c r="K2" s="3948"/>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49" t="s">
        <v>3015</v>
      </c>
      <c r="K3" s="3950"/>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49" t="s">
        <v>3017</v>
      </c>
      <c r="K4" s="3950"/>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51" t="s">
        <v>3021</v>
      </c>
      <c r="B6" s="3952"/>
      <c r="C6" s="3953"/>
      <c r="D6" s="3301"/>
      <c r="E6" s="3302"/>
      <c r="F6" s="3303"/>
      <c r="G6" s="3304"/>
      <c r="H6" s="3279"/>
      <c r="I6" s="3280"/>
      <c r="J6" s="3954">
        <v>1</v>
      </c>
      <c r="K6" s="3955"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3954"/>
      <c r="K7" s="3956"/>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3958" t="s">
        <v>3035</v>
      </c>
      <c r="C8" s="3959"/>
      <c r="D8" s="3320" t="s">
        <v>3036</v>
      </c>
      <c r="E8" s="3321" t="s">
        <v>3037</v>
      </c>
      <c r="F8" s="3322" t="s">
        <v>3038</v>
      </c>
      <c r="G8" s="3323"/>
      <c r="H8" s="3279"/>
      <c r="I8" s="3280"/>
      <c r="J8" s="3954"/>
      <c r="K8" s="3956"/>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3958" t="s">
        <v>3041</v>
      </c>
      <c r="C9" s="3959"/>
      <c r="D9" s="3320">
        <f>ROUND(D6*E9,0)</f>
        <v>0</v>
      </c>
      <c r="E9" s="3324"/>
      <c r="F9" s="3325" t="s">
        <v>3042</v>
      </c>
      <c r="G9" s="3304"/>
      <c r="H9" s="3279"/>
      <c r="I9" s="3280"/>
      <c r="J9" s="3954"/>
      <c r="K9" s="3956"/>
      <c r="L9" s="3314" t="s">
        <v>3043</v>
      </c>
      <c r="M9" s="3315"/>
      <c r="N9" s="3291"/>
      <c r="O9" s="3316"/>
      <c r="P9" s="3316"/>
      <c r="Q9" s="3317">
        <v>365</v>
      </c>
      <c r="R9" s="3318">
        <f t="shared" si="0"/>
        <v>0</v>
      </c>
      <c r="S9" s="3274"/>
      <c r="T9" s="3274"/>
      <c r="U9" s="3274"/>
      <c r="V9" s="3280"/>
    </row>
    <row r="10" spans="1:22" s="3284" customFormat="1" ht="13.15" customHeight="1">
      <c r="A10" s="3319">
        <v>2</v>
      </c>
      <c r="B10" s="3958" t="s">
        <v>3044</v>
      </c>
      <c r="C10" s="3959"/>
      <c r="D10" s="3320">
        <f>ROUND(D6*E10,0)</f>
        <v>0</v>
      </c>
      <c r="E10" s="3324"/>
      <c r="F10" s="3325" t="s">
        <v>3045</v>
      </c>
      <c r="G10" s="3304"/>
      <c r="H10" s="3279"/>
      <c r="I10" s="3280"/>
      <c r="J10" s="3954"/>
      <c r="K10" s="3956"/>
      <c r="L10" s="3314" t="s">
        <v>3046</v>
      </c>
      <c r="M10" s="3315"/>
      <c r="N10" s="3291"/>
      <c r="O10" s="3316"/>
      <c r="P10" s="3316"/>
      <c r="Q10" s="3317">
        <v>365</v>
      </c>
      <c r="R10" s="3318">
        <f t="shared" si="0"/>
        <v>0</v>
      </c>
      <c r="S10" s="3274"/>
      <c r="T10" s="3274"/>
      <c r="U10" s="3274"/>
      <c r="V10" s="3280"/>
    </row>
    <row r="11" spans="1:22" s="3284" customFormat="1" ht="13.15" customHeight="1">
      <c r="A11" s="3319">
        <v>3</v>
      </c>
      <c r="B11" s="3958" t="s">
        <v>3047</v>
      </c>
      <c r="C11" s="3959"/>
      <c r="D11" s="3320">
        <f>D12+D14+D15+D16</f>
        <v>0</v>
      </c>
      <c r="E11" s="3326" t="e">
        <f>D11/D6</f>
        <v>#DIV/0!</v>
      </c>
      <c r="F11" s="3322"/>
      <c r="G11" s="3323"/>
      <c r="H11" s="3279"/>
      <c r="I11" s="3280"/>
      <c r="J11" s="3954"/>
      <c r="K11" s="3956"/>
      <c r="L11" s="3314" t="s">
        <v>3048</v>
      </c>
      <c r="M11" s="3315"/>
      <c r="N11" s="3291"/>
      <c r="O11" s="3316"/>
      <c r="P11" s="3316"/>
      <c r="Q11" s="3317">
        <v>365</v>
      </c>
      <c r="R11" s="3318">
        <f t="shared" si="0"/>
        <v>0</v>
      </c>
      <c r="S11" s="3274"/>
      <c r="T11" s="3274"/>
      <c r="U11" s="3274"/>
      <c r="V11" s="3280"/>
    </row>
    <row r="12" spans="1:22" s="3284" customFormat="1" ht="13.15" customHeight="1">
      <c r="A12" s="3327" t="s">
        <v>3049</v>
      </c>
      <c r="B12" s="3960" t="s">
        <v>3050</v>
      </c>
      <c r="C12" s="3961"/>
      <c r="D12" s="3328">
        <f>ROUND(D13*1.2%*(1-30%),0)</f>
        <v>0</v>
      </c>
      <c r="E12" s="3329">
        <v>1.2E-2</v>
      </c>
      <c r="F12" s="3322" t="s">
        <v>3051</v>
      </c>
      <c r="G12" s="3323"/>
      <c r="H12" s="3279"/>
      <c r="I12" s="3280"/>
      <c r="J12" s="3954"/>
      <c r="K12" s="3956"/>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3954"/>
      <c r="K13" s="3956"/>
      <c r="L13" s="3314" t="s">
        <v>3054</v>
      </c>
      <c r="M13" s="3315"/>
      <c r="N13" s="3291"/>
      <c r="O13" s="3316"/>
      <c r="P13" s="3316"/>
      <c r="Q13" s="3317">
        <v>365</v>
      </c>
      <c r="R13" s="3318">
        <f t="shared" si="0"/>
        <v>0</v>
      </c>
      <c r="S13" s="3274"/>
      <c r="T13" s="3274"/>
      <c r="U13" s="3274"/>
      <c r="V13" s="3280"/>
    </row>
    <row r="14" spans="1:22" s="3284" customFormat="1" ht="13.15" customHeight="1">
      <c r="A14" s="3327" t="s">
        <v>3055</v>
      </c>
      <c r="B14" s="3960" t="s">
        <v>3056</v>
      </c>
      <c r="C14" s="3961"/>
      <c r="D14" s="3328">
        <f>ROUND(E14*B5/10000,0)</f>
        <v>0</v>
      </c>
      <c r="E14" s="3317"/>
      <c r="F14" s="3322" t="s">
        <v>3057</v>
      </c>
      <c r="G14" s="3323"/>
      <c r="H14" s="3279"/>
      <c r="I14" s="3280"/>
      <c r="J14" s="3954"/>
      <c r="K14" s="3957"/>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3960" t="s">
        <v>3060</v>
      </c>
      <c r="C15" s="3961"/>
      <c r="D15" s="3328">
        <f>ROUND(D6*E15,0)</f>
        <v>0</v>
      </c>
      <c r="E15" s="3329">
        <v>5.5E-2</v>
      </c>
      <c r="F15" s="3322" t="s">
        <v>3061</v>
      </c>
      <c r="G15" s="3304"/>
      <c r="H15" s="3279"/>
      <c r="I15" s="3280"/>
      <c r="J15" s="3954">
        <v>2</v>
      </c>
      <c r="K15" s="3955"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3960" t="s">
        <v>3069</v>
      </c>
      <c r="C16" s="3961"/>
      <c r="D16" s="3339">
        <f>D6*E16</f>
        <v>0</v>
      </c>
      <c r="E16" s="3340"/>
      <c r="F16" s="3325" t="s">
        <v>3070</v>
      </c>
      <c r="G16" s="3304"/>
      <c r="H16" s="3279"/>
      <c r="I16" s="3280"/>
      <c r="J16" s="3954"/>
      <c r="K16" s="3956"/>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3962" t="s">
        <v>3072</v>
      </c>
      <c r="C17" s="3963"/>
      <c r="D17" s="3342">
        <f>ROUND(D6*E17,0)</f>
        <v>0</v>
      </c>
      <c r="E17" s="3343"/>
      <c r="F17" s="3344" t="s">
        <v>3073</v>
      </c>
      <c r="G17" s="3304"/>
      <c r="H17" s="3279"/>
      <c r="I17" s="3280"/>
      <c r="J17" s="3954"/>
      <c r="K17" s="3956"/>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3954"/>
      <c r="K18" s="3956"/>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3954"/>
      <c r="K19" s="3957"/>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54">
        <v>3</v>
      </c>
      <c r="K20" s="3955"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3954"/>
      <c r="K21" s="3956"/>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3954"/>
      <c r="K22" s="3956"/>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3954"/>
      <c r="K23" s="3956"/>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3954"/>
      <c r="K24" s="3957"/>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3964">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3965"/>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47" t="s">
        <v>3005</v>
      </c>
      <c r="K32" s="3948"/>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49" t="s">
        <v>3015</v>
      </c>
      <c r="K33" s="3950"/>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49" t="s">
        <v>3017</v>
      </c>
      <c r="K34" s="3950"/>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3954">
        <v>1</v>
      </c>
      <c r="K36" s="3955"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3954"/>
      <c r="K37" s="3956"/>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54"/>
      <c r="K38" s="3956"/>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3954"/>
      <c r="K39" s="3956"/>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3954"/>
      <c r="K40" s="3957"/>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3964">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3965"/>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82" t="s">
        <v>2425</v>
      </c>
      <c r="B1" s="3983"/>
      <c r="C1" s="3984"/>
      <c r="D1" s="3985">
        <f>SUM(I10,I15,I20,I21,I23)</f>
        <v>0</v>
      </c>
      <c r="E1" s="3985"/>
      <c r="F1" s="3985"/>
      <c r="G1" s="3985"/>
      <c r="H1" s="3985"/>
      <c r="I1" s="3986"/>
    </row>
    <row r="2" spans="1:9">
      <c r="A2" s="3972" t="s">
        <v>2426</v>
      </c>
      <c r="B2" s="3973" t="s">
        <v>2427</v>
      </c>
      <c r="C2" s="3973"/>
      <c r="D2" s="2326" t="s">
        <v>2428</v>
      </c>
      <c r="E2" s="2326" t="s">
        <v>2429</v>
      </c>
      <c r="F2" s="2326" t="s">
        <v>2430</v>
      </c>
      <c r="G2" s="2326" t="s">
        <v>2431</v>
      </c>
      <c r="H2" s="2326" t="s">
        <v>2432</v>
      </c>
      <c r="I2" s="2327" t="s">
        <v>2433</v>
      </c>
    </row>
    <row r="3" spans="1:9">
      <c r="A3" s="3972"/>
      <c r="B3" s="3973" t="s">
        <v>2434</v>
      </c>
      <c r="C3" s="3973"/>
      <c r="D3" s="2328"/>
      <c r="E3" s="2326"/>
      <c r="F3" s="2329"/>
      <c r="G3" s="2329"/>
      <c r="H3" s="2330"/>
      <c r="I3" s="2331">
        <f>ROUND(D3*E3*F3*G3*H3/10000,0)</f>
        <v>0</v>
      </c>
    </row>
    <row r="4" spans="1:9">
      <c r="A4" s="3972"/>
      <c r="B4" s="3973" t="s">
        <v>2435</v>
      </c>
      <c r="C4" s="3973"/>
      <c r="D4" s="2328"/>
      <c r="E4" s="2326"/>
      <c r="F4" s="2329"/>
      <c r="G4" s="2329"/>
      <c r="H4" s="2330"/>
      <c r="I4" s="2331">
        <f t="shared" ref="I4:I9" si="0">ROUND(D4*E4*F4*G4*H4/10000,0)</f>
        <v>0</v>
      </c>
    </row>
    <row r="5" spans="1:9">
      <c r="A5" s="3972"/>
      <c r="B5" s="3973" t="s">
        <v>2436</v>
      </c>
      <c r="C5" s="3973"/>
      <c r="D5" s="2328"/>
      <c r="E5" s="2326"/>
      <c r="F5" s="2329"/>
      <c r="G5" s="2329"/>
      <c r="H5" s="2330"/>
      <c r="I5" s="2331">
        <f t="shared" si="0"/>
        <v>0</v>
      </c>
    </row>
    <row r="6" spans="1:9">
      <c r="A6" s="3972"/>
      <c r="B6" s="3973" t="s">
        <v>2437</v>
      </c>
      <c r="C6" s="3973"/>
      <c r="D6" s="2328"/>
      <c r="E6" s="2326"/>
      <c r="F6" s="2329"/>
      <c r="G6" s="2329"/>
      <c r="H6" s="2330"/>
      <c r="I6" s="2331">
        <f t="shared" si="0"/>
        <v>0</v>
      </c>
    </row>
    <row r="7" spans="1:9">
      <c r="A7" s="3972"/>
      <c r="B7" s="3973" t="s">
        <v>2438</v>
      </c>
      <c r="C7" s="3973"/>
      <c r="D7" s="2328"/>
      <c r="E7" s="2326"/>
      <c r="F7" s="2329"/>
      <c r="G7" s="2329"/>
      <c r="H7" s="2330"/>
      <c r="I7" s="2331">
        <f t="shared" si="0"/>
        <v>0</v>
      </c>
    </row>
    <row r="8" spans="1:9">
      <c r="A8" s="3972"/>
      <c r="B8" s="3973" t="s">
        <v>2439</v>
      </c>
      <c r="C8" s="3973"/>
      <c r="D8" s="2328"/>
      <c r="E8" s="2326"/>
      <c r="F8" s="2329"/>
      <c r="G8" s="2329"/>
      <c r="H8" s="2330"/>
      <c r="I8" s="2331">
        <f t="shared" si="0"/>
        <v>0</v>
      </c>
    </row>
    <row r="9" spans="1:9">
      <c r="A9" s="3972"/>
      <c r="B9" s="3973" t="s">
        <v>2440</v>
      </c>
      <c r="C9" s="3973"/>
      <c r="D9" s="2328"/>
      <c r="E9" s="2326"/>
      <c r="F9" s="2329"/>
      <c r="G9" s="2329"/>
      <c r="H9" s="2330"/>
      <c r="I9" s="2331">
        <f t="shared" si="0"/>
        <v>0</v>
      </c>
    </row>
    <row r="10" spans="1:9">
      <c r="A10" s="3972"/>
      <c r="B10" s="3974" t="s">
        <v>2441</v>
      </c>
      <c r="C10" s="3974"/>
      <c r="D10" s="2332">
        <v>527</v>
      </c>
      <c r="E10" s="2332" t="e">
        <f>ROUND(D1*10000/D10/H9,0)</f>
        <v>#DIV/0!</v>
      </c>
      <c r="F10" s="2333"/>
      <c r="G10" s="2333"/>
      <c r="H10" s="2334"/>
      <c r="I10" s="2335">
        <f>SUM(I3:I9)</f>
        <v>0</v>
      </c>
    </row>
    <row r="11" spans="1:9" ht="14.25">
      <c r="A11" s="3972" t="s">
        <v>2442</v>
      </c>
      <c r="B11" s="3973" t="s">
        <v>2443</v>
      </c>
      <c r="C11" s="3973"/>
      <c r="D11" s="2328" t="s">
        <v>2444</v>
      </c>
      <c r="E11" s="2328" t="s">
        <v>2445</v>
      </c>
      <c r="F11" s="2329" t="s">
        <v>2446</v>
      </c>
      <c r="G11" s="2329" t="s">
        <v>2447</v>
      </c>
      <c r="H11" s="2336" t="s">
        <v>2448</v>
      </c>
      <c r="I11" s="2327" t="s">
        <v>2449</v>
      </c>
    </row>
    <row r="12" spans="1:9">
      <c r="A12" s="3972"/>
      <c r="B12" s="3973" t="s">
        <v>2450</v>
      </c>
      <c r="C12" s="3973"/>
      <c r="D12" s="2328"/>
      <c r="E12" s="2328"/>
      <c r="F12" s="2329"/>
      <c r="G12" s="2330"/>
      <c r="H12" s="2337"/>
      <c r="I12" s="2327">
        <f>ROUND(D12*E12*F12*G12/10000,0)</f>
        <v>0</v>
      </c>
    </row>
    <row r="13" spans="1:9">
      <c r="A13" s="3972"/>
      <c r="B13" s="3973" t="s">
        <v>2451</v>
      </c>
      <c r="C13" s="3973"/>
      <c r="D13" s="2328"/>
      <c r="E13" s="2328"/>
      <c r="F13" s="2329"/>
      <c r="G13" s="2330"/>
      <c r="H13" s="2337"/>
      <c r="I13" s="2327">
        <f>ROUND(D13*E13*F13*G13/10000,0)</f>
        <v>0</v>
      </c>
    </row>
    <row r="14" spans="1:9">
      <c r="A14" s="3972"/>
      <c r="B14" s="3973" t="s">
        <v>2452</v>
      </c>
      <c r="C14" s="3973"/>
      <c r="D14" s="2328"/>
      <c r="E14" s="2328"/>
      <c r="F14" s="2329"/>
      <c r="G14" s="2330"/>
      <c r="H14" s="2337"/>
      <c r="I14" s="2327">
        <f>ROUND(D14*E14*F14*G14/10000,0)</f>
        <v>0</v>
      </c>
    </row>
    <row r="15" spans="1:9">
      <c r="A15" s="3972"/>
      <c r="B15" s="3974" t="s">
        <v>2441</v>
      </c>
      <c r="C15" s="3974"/>
      <c r="D15" s="2332"/>
      <c r="E15" s="2332">
        <f>SUM(E12:E14)</f>
        <v>0</v>
      </c>
      <c r="F15" s="2333"/>
      <c r="G15" s="2330"/>
      <c r="H15" s="2337"/>
      <c r="I15" s="2338">
        <f>SUM(I12:I14)</f>
        <v>0</v>
      </c>
    </row>
    <row r="16" spans="1:9" ht="24">
      <c r="A16" s="3972" t="s">
        <v>2453</v>
      </c>
      <c r="B16" s="3973" t="s">
        <v>2454</v>
      </c>
      <c r="C16" s="3973"/>
      <c r="D16" s="2328" t="s">
        <v>2455</v>
      </c>
      <c r="E16" s="2339" t="s">
        <v>2456</v>
      </c>
      <c r="F16" s="2329" t="s">
        <v>2457</v>
      </c>
      <c r="G16" s="2330" t="s">
        <v>2447</v>
      </c>
      <c r="H16" s="2336" t="s">
        <v>2448</v>
      </c>
      <c r="I16" s="2327" t="s">
        <v>2449</v>
      </c>
    </row>
    <row r="17" spans="1:9" ht="14.25">
      <c r="A17" s="3972"/>
      <c r="B17" s="3973" t="s">
        <v>2458</v>
      </c>
      <c r="C17" s="3973"/>
      <c r="D17" s="2328"/>
      <c r="E17" s="2328"/>
      <c r="F17" s="2329"/>
      <c r="G17" s="2330"/>
      <c r="H17" s="2340"/>
      <c r="I17" s="2341">
        <f>ROUND(D17*E17*F17*G17/10000,0)</f>
        <v>0</v>
      </c>
    </row>
    <row r="18" spans="1:9" ht="14.25">
      <c r="A18" s="3972"/>
      <c r="B18" s="3973" t="s">
        <v>2459</v>
      </c>
      <c r="C18" s="3973"/>
      <c r="D18" s="2328"/>
      <c r="E18" s="2328"/>
      <c r="F18" s="2329"/>
      <c r="G18" s="2330"/>
      <c r="H18" s="2340"/>
      <c r="I18" s="2341">
        <f>ROUND(D18*E18*F18*G18/10000,0)</f>
        <v>0</v>
      </c>
    </row>
    <row r="19" spans="1:9" ht="14.25">
      <c r="A19" s="3972"/>
      <c r="B19" s="3973" t="s">
        <v>2460</v>
      </c>
      <c r="C19" s="3973"/>
      <c r="D19" s="2328"/>
      <c r="E19" s="2328"/>
      <c r="F19" s="2329"/>
      <c r="G19" s="2330"/>
      <c r="H19" s="2340"/>
      <c r="I19" s="2341">
        <f>ROUND(D19*E19*F19*G19/10000,0)</f>
        <v>0</v>
      </c>
    </row>
    <row r="20" spans="1:9">
      <c r="A20" s="3972"/>
      <c r="B20" s="3974" t="s">
        <v>2441</v>
      </c>
      <c r="C20" s="3974"/>
      <c r="D20" s="2332">
        <f>SUM(D17:D19)</f>
        <v>0</v>
      </c>
      <c r="E20" s="2332"/>
      <c r="F20" s="2333"/>
      <c r="G20" s="2330"/>
      <c r="H20" s="2337"/>
      <c r="I20" s="2338">
        <f>SUM(I17:I19)</f>
        <v>0</v>
      </c>
    </row>
    <row r="21" spans="1:9">
      <c r="A21" s="3972" t="s">
        <v>2461</v>
      </c>
      <c r="B21" s="3975"/>
      <c r="C21" s="3975"/>
      <c r="D21" s="3975"/>
      <c r="E21" s="3975"/>
      <c r="F21" s="3975"/>
      <c r="G21" s="3975"/>
      <c r="H21" s="2342">
        <v>0.1</v>
      </c>
      <c r="I21" s="2335">
        <f>ROUND(I10*H21,0)</f>
        <v>0</v>
      </c>
    </row>
    <row r="22" spans="1:9" ht="14.25">
      <c r="A22" s="3976" t="s">
        <v>2462</v>
      </c>
      <c r="B22" s="3977"/>
      <c r="C22" s="3978"/>
      <c r="D22" s="2343" t="s">
        <v>2463</v>
      </c>
      <c r="E22" s="2343" t="s">
        <v>2464</v>
      </c>
      <c r="F22" s="2344" t="s">
        <v>2465</v>
      </c>
      <c r="G22" s="2344" t="s">
        <v>2466</v>
      </c>
      <c r="H22" s="2336" t="s">
        <v>2467</v>
      </c>
      <c r="I22" s="2327" t="s">
        <v>2468</v>
      </c>
    </row>
    <row r="23" spans="1:9" ht="14.25" thickBot="1">
      <c r="A23" s="3979"/>
      <c r="B23" s="3980"/>
      <c r="C23" s="3981"/>
      <c r="D23" s="2345"/>
      <c r="E23" s="2345"/>
      <c r="F23" s="2345"/>
      <c r="G23" s="2346"/>
      <c r="H23" s="2347"/>
      <c r="I23" s="2348">
        <f>ROUND(E23*D23*F23*(1-G23)/10000,0)</f>
        <v>0</v>
      </c>
    </row>
    <row r="26" spans="1:9">
      <c r="A26" s="2349" t="s">
        <v>2469</v>
      </c>
      <c r="B26" s="2349"/>
      <c r="C26" s="2349"/>
      <c r="D26" s="2349"/>
      <c r="E26" s="3969">
        <f>C27-C30-C31-C32</f>
        <v>0</v>
      </c>
      <c r="F26" s="3969"/>
      <c r="G26" s="3969"/>
      <c r="H26" s="2717" t="s">
        <v>2792</v>
      </c>
    </row>
    <row r="27" spans="1:9">
      <c r="A27" s="2350">
        <v>1</v>
      </c>
      <c r="B27" s="2351" t="s">
        <v>2470</v>
      </c>
      <c r="C27" s="2351"/>
      <c r="D27" s="2351"/>
      <c r="E27" s="3970"/>
      <c r="F27" s="3970"/>
      <c r="G27" s="3970"/>
    </row>
    <row r="28" spans="1:9">
      <c r="A28" s="2352" t="s">
        <v>2471</v>
      </c>
      <c r="B28" s="2351" t="s">
        <v>2472</v>
      </c>
      <c r="C28" s="2351"/>
      <c r="D28" s="2351"/>
      <c r="E28" s="3970"/>
      <c r="F28" s="3970"/>
      <c r="G28" s="3970"/>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71"/>
      <c r="F32" s="3971"/>
      <c r="G32" s="3971"/>
    </row>
    <row r="33" spans="1:7" hidden="1">
      <c r="A33" s="3966" t="s">
        <v>2480</v>
      </c>
      <c r="B33" s="3967"/>
      <c r="C33" s="3967"/>
      <c r="D33" s="3968"/>
      <c r="E33" s="3969"/>
      <c r="F33" s="3969"/>
      <c r="G33" s="3969"/>
    </row>
    <row r="34" spans="1:7" hidden="1">
      <c r="A34" s="2354">
        <v>1</v>
      </c>
      <c r="B34" s="2351" t="s">
        <v>2481</v>
      </c>
      <c r="C34" s="2351"/>
      <c r="D34" s="2351"/>
      <c r="E34" s="3970"/>
      <c r="F34" s="3970"/>
      <c r="G34" s="3970"/>
    </row>
    <row r="35" spans="1:7" hidden="1">
      <c r="A35" s="2354">
        <v>2</v>
      </c>
      <c r="B35" s="2351" t="s">
        <v>2482</v>
      </c>
      <c r="C35" s="2351"/>
      <c r="D35" s="2351"/>
      <c r="E35" s="3970"/>
      <c r="F35" s="3970"/>
      <c r="G35" s="3970"/>
    </row>
    <row r="36" spans="1:7" hidden="1">
      <c r="A36" s="2354">
        <v>3</v>
      </c>
      <c r="B36" s="2351" t="s">
        <v>2483</v>
      </c>
      <c r="C36" s="2351"/>
      <c r="D36" s="2351"/>
      <c r="E36" s="3970"/>
      <c r="F36" s="3970"/>
      <c r="G36" s="3970"/>
    </row>
    <row r="37" spans="1:7" hidden="1">
      <c r="A37" s="2354">
        <v>4</v>
      </c>
      <c r="B37" s="2351" t="s">
        <v>2484</v>
      </c>
      <c r="C37" s="2351"/>
      <c r="D37" s="2351"/>
      <c r="E37" s="3970"/>
      <c r="F37" s="3970"/>
      <c r="G37" s="3970"/>
    </row>
    <row r="38" spans="1:7" hidden="1">
      <c r="A38" s="3966" t="s">
        <v>2485</v>
      </c>
      <c r="B38" s="3967"/>
      <c r="C38" s="3967"/>
      <c r="D38" s="3968"/>
      <c r="E38" s="3969"/>
      <c r="F38" s="3969"/>
      <c r="G38" s="39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231">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03" t="s">
        <v>500</v>
      </c>
      <c r="D4" s="3904"/>
      <c r="E4" s="3905" t="s">
        <v>501</v>
      </c>
      <c r="F4" s="3906"/>
      <c r="G4" s="3903" t="s">
        <v>502</v>
      </c>
      <c r="H4" s="3904"/>
      <c r="I4" s="3903" t="s">
        <v>503</v>
      </c>
      <c r="J4" s="3904"/>
      <c r="K4" s="823" t="s">
        <v>504</v>
      </c>
      <c r="L4" s="1983"/>
      <c r="M4" s="1984"/>
      <c r="N4" s="1984"/>
      <c r="O4" s="1984"/>
      <c r="P4" s="3907" t="s">
        <v>505</v>
      </c>
      <c r="Q4" s="3908"/>
      <c r="R4" s="3913" t="s">
        <v>501</v>
      </c>
      <c r="S4" s="3914"/>
      <c r="T4" s="3913" t="s">
        <v>502</v>
      </c>
      <c r="U4" s="3914"/>
      <c r="V4" s="3893" t="s">
        <v>503</v>
      </c>
      <c r="W4" s="3893"/>
      <c r="X4" s="1473"/>
      <c r="Y4" s="3913" t="s">
        <v>505</v>
      </c>
      <c r="Z4" s="3914"/>
      <c r="AA4" s="3900" t="s">
        <v>501</v>
      </c>
      <c r="AB4" s="3900" t="s">
        <v>502</v>
      </c>
      <c r="AC4" s="3900" t="s">
        <v>503</v>
      </c>
    </row>
    <row r="5" spans="1:29" ht="15">
      <c r="A5" s="490"/>
      <c r="B5" s="491"/>
      <c r="C5" s="3921" t="s">
        <v>2867</v>
      </c>
      <c r="D5" s="3922"/>
      <c r="E5" s="3919" t="s">
        <v>2868</v>
      </c>
      <c r="F5" s="3920"/>
      <c r="G5" s="3921" t="s">
        <v>2869</v>
      </c>
      <c r="H5" s="3922"/>
      <c r="I5" s="3921" t="s">
        <v>2870</v>
      </c>
      <c r="J5" s="3922"/>
      <c r="K5" s="824"/>
      <c r="L5" s="1983"/>
      <c r="M5" s="1984"/>
      <c r="N5" s="1984"/>
      <c r="O5" s="1984"/>
      <c r="P5" s="3909"/>
      <c r="Q5" s="3910"/>
      <c r="R5" s="3915"/>
      <c r="S5" s="3916"/>
      <c r="T5" s="3915"/>
      <c r="U5" s="3916"/>
      <c r="V5" s="3893"/>
      <c r="W5" s="3893"/>
      <c r="X5" s="1473"/>
      <c r="Y5" s="3915"/>
      <c r="Z5" s="3916"/>
      <c r="AA5" s="3901"/>
      <c r="AB5" s="3901"/>
      <c r="AC5" s="3901"/>
    </row>
    <row r="6" spans="1:29" ht="15.75" thickBot="1">
      <c r="A6" s="492"/>
      <c r="B6" s="493"/>
      <c r="C6" s="3923" t="s">
        <v>2871</v>
      </c>
      <c r="D6" s="3924"/>
      <c r="E6" s="3926" t="s">
        <v>2871</v>
      </c>
      <c r="F6" s="3927"/>
      <c r="G6" s="3923" t="s">
        <v>2871</v>
      </c>
      <c r="H6" s="3924"/>
      <c r="I6" s="3923" t="s">
        <v>2871</v>
      </c>
      <c r="J6" s="3924"/>
      <c r="K6" s="824" t="s">
        <v>506</v>
      </c>
      <c r="L6" s="1983"/>
      <c r="M6" s="1984"/>
      <c r="N6" s="1984"/>
      <c r="O6" s="1984"/>
      <c r="P6" s="3911"/>
      <c r="Q6" s="3912"/>
      <c r="R6" s="3915"/>
      <c r="S6" s="3916"/>
      <c r="T6" s="3917"/>
      <c r="U6" s="3918"/>
      <c r="V6" s="3893"/>
      <c r="W6" s="3893"/>
      <c r="X6" s="1473"/>
      <c r="Y6" s="3917"/>
      <c r="Z6" s="3918"/>
      <c r="AA6" s="3902"/>
      <c r="AB6" s="3902"/>
      <c r="AC6" s="3902"/>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98" t="s">
        <v>508</v>
      </c>
      <c r="Q7" s="3925"/>
      <c r="R7" s="1474" t="s">
        <v>13</v>
      </c>
      <c r="S7" s="1475">
        <f t="shared" ref="S7:S15" si="0">F7</f>
        <v>0</v>
      </c>
      <c r="T7" s="1474" t="s">
        <v>13</v>
      </c>
      <c r="U7" s="1475">
        <f t="shared" ref="U7:U15" si="1">H7</f>
        <v>0</v>
      </c>
      <c r="V7" s="1474" t="s">
        <v>13</v>
      </c>
      <c r="W7" s="1475">
        <f t="shared" ref="W7:W15"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98" t="s">
        <v>511</v>
      </c>
      <c r="Q8" s="3899"/>
      <c r="R8" s="1474" t="s">
        <v>13</v>
      </c>
      <c r="S8" s="1475">
        <f t="shared" si="0"/>
        <v>0</v>
      </c>
      <c r="T8" s="1474" t="s">
        <v>13</v>
      </c>
      <c r="U8" s="1475">
        <f t="shared" si="1"/>
        <v>0</v>
      </c>
      <c r="V8" s="1474" t="s">
        <v>13</v>
      </c>
      <c r="W8" s="1475">
        <f t="shared" si="2"/>
        <v>0</v>
      </c>
      <c r="X8" s="1476"/>
      <c r="Y8" s="3898" t="s">
        <v>511</v>
      </c>
      <c r="Z8" s="3899"/>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891" t="s">
        <v>513</v>
      </c>
      <c r="Q9" s="1115" t="str">
        <f t="shared" ref="Q9:Q15" si="6">B9</f>
        <v>用途</v>
      </c>
      <c r="R9" s="1474" t="s">
        <v>8</v>
      </c>
      <c r="S9" s="1475">
        <f t="shared" si="0"/>
        <v>100</v>
      </c>
      <c r="T9" s="1474" t="s">
        <v>8</v>
      </c>
      <c r="U9" s="1475">
        <f t="shared" si="1"/>
        <v>100</v>
      </c>
      <c r="V9" s="1474" t="s">
        <v>8</v>
      </c>
      <c r="W9" s="1475">
        <f t="shared" si="2"/>
        <v>100</v>
      </c>
      <c r="X9" s="1476"/>
      <c r="Y9" s="374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891"/>
      <c r="Q11" s="1115" t="str">
        <f t="shared" si="6"/>
        <v>容积率</v>
      </c>
      <c r="R11" s="1474" t="s">
        <v>11</v>
      </c>
      <c r="S11" s="1475" t="e">
        <f t="shared" si="0"/>
        <v>#N/A</v>
      </c>
      <c r="T11" s="1474" t="s">
        <v>11</v>
      </c>
      <c r="U11" s="1475" t="e">
        <f t="shared" si="1"/>
        <v>#N/A</v>
      </c>
      <c r="V11" s="1474" t="s">
        <v>11</v>
      </c>
      <c r="W11" s="1475" t="e">
        <f t="shared" si="2"/>
        <v>#N/A</v>
      </c>
      <c r="X11" s="1476"/>
      <c r="Y11" s="374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891"/>
      <c r="Q12" s="1115">
        <f t="shared" si="6"/>
        <v>111</v>
      </c>
      <c r="R12" s="1474" t="s">
        <v>11</v>
      </c>
      <c r="S12" s="1475">
        <f t="shared" si="0"/>
        <v>100</v>
      </c>
      <c r="T12" s="1474" t="s">
        <v>11</v>
      </c>
      <c r="U12" s="1475">
        <f t="shared" si="1"/>
        <v>100</v>
      </c>
      <c r="V12" s="1474" t="s">
        <v>11</v>
      </c>
      <c r="W12" s="1475">
        <f t="shared" si="2"/>
        <v>100</v>
      </c>
      <c r="X12" s="1476"/>
      <c r="Y12" s="3748"/>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891"/>
      <c r="Q13" s="1115">
        <f t="shared" si="6"/>
        <v>111</v>
      </c>
      <c r="R13" s="1474" t="s">
        <v>11</v>
      </c>
      <c r="S13" s="1475">
        <f t="shared" si="0"/>
        <v>100</v>
      </c>
      <c r="T13" s="1474" t="s">
        <v>11</v>
      </c>
      <c r="U13" s="1475">
        <f t="shared" si="1"/>
        <v>100</v>
      </c>
      <c r="V13" s="1474" t="s">
        <v>11</v>
      </c>
      <c r="W13" s="1475">
        <f t="shared" si="2"/>
        <v>100</v>
      </c>
      <c r="X13" s="1476"/>
      <c r="Y13" s="3748"/>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891"/>
      <c r="Q14" s="1115">
        <f t="shared" si="6"/>
        <v>111</v>
      </c>
      <c r="R14" s="1474" t="s">
        <v>11</v>
      </c>
      <c r="S14" s="1475">
        <f t="shared" si="0"/>
        <v>100</v>
      </c>
      <c r="T14" s="1474" t="s">
        <v>11</v>
      </c>
      <c r="U14" s="1475">
        <f t="shared" si="1"/>
        <v>100</v>
      </c>
      <c r="V14" s="1474" t="s">
        <v>11</v>
      </c>
      <c r="W14" s="1475">
        <f t="shared" si="2"/>
        <v>100</v>
      </c>
      <c r="X14" s="1476"/>
      <c r="Y14" s="3748"/>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894" t="s">
        <v>518</v>
      </c>
      <c r="Q15" s="1478" t="str">
        <f t="shared" si="6"/>
        <v>居住社区成熟度</v>
      </c>
      <c r="R15" s="1479" t="s">
        <v>11</v>
      </c>
      <c r="S15" s="1480">
        <f t="shared" si="0"/>
        <v>100</v>
      </c>
      <c r="T15" s="1479" t="s">
        <v>11</v>
      </c>
      <c r="U15" s="1480">
        <f t="shared" si="1"/>
        <v>100</v>
      </c>
      <c r="V15" s="1479" t="s">
        <v>11</v>
      </c>
      <c r="W15" s="1480">
        <f t="shared" si="2"/>
        <v>100</v>
      </c>
      <c r="X15" s="1473"/>
      <c r="Y15" s="3894"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895"/>
      <c r="Q16" s="1478"/>
      <c r="R16" s="1479"/>
      <c r="S16" s="1480"/>
      <c r="T16" s="1479"/>
      <c r="U16" s="1480"/>
      <c r="V16" s="1479"/>
      <c r="W16" s="1480"/>
      <c r="X16" s="1473"/>
      <c r="Y16" s="3895"/>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895"/>
      <c r="Q17" s="1478" t="str">
        <f>B17</f>
        <v>交通便捷度</v>
      </c>
      <c r="R17" s="1479" t="s">
        <v>11</v>
      </c>
      <c r="S17" s="1480">
        <f>F17</f>
        <v>100</v>
      </c>
      <c r="T17" s="1479" t="s">
        <v>11</v>
      </c>
      <c r="U17" s="1480">
        <f>H17</f>
        <v>100</v>
      </c>
      <c r="V17" s="1479" t="s">
        <v>11</v>
      </c>
      <c r="W17" s="1480">
        <f>J17</f>
        <v>100</v>
      </c>
      <c r="X17" s="1473"/>
      <c r="Y17" s="389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895"/>
      <c r="Q18" s="1478"/>
      <c r="R18" s="1479"/>
      <c r="S18" s="1480"/>
      <c r="T18" s="1479"/>
      <c r="U18" s="1480"/>
      <c r="V18" s="1479"/>
      <c r="W18" s="1480"/>
      <c r="X18" s="1473"/>
      <c r="Y18" s="3895"/>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895"/>
      <c r="Q19" s="1478" t="str">
        <f>B19</f>
        <v>公共配套设施</v>
      </c>
      <c r="R19" s="1479" t="s">
        <v>11</v>
      </c>
      <c r="S19" s="1480">
        <f>F19</f>
        <v>100</v>
      </c>
      <c r="T19" s="1479" t="s">
        <v>11</v>
      </c>
      <c r="U19" s="1480">
        <f>H19</f>
        <v>100</v>
      </c>
      <c r="V19" s="1479" t="s">
        <v>11</v>
      </c>
      <c r="W19" s="1480">
        <f>J19</f>
        <v>100</v>
      </c>
      <c r="X19" s="1473"/>
      <c r="Y19" s="3895"/>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895"/>
      <c r="Q20" s="1478"/>
      <c r="R20" s="1479"/>
      <c r="S20" s="1480"/>
      <c r="T20" s="1479"/>
      <c r="U20" s="1480"/>
      <c r="V20" s="1479"/>
      <c r="W20" s="1480"/>
      <c r="X20" s="1473"/>
      <c r="Y20" s="3895"/>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895"/>
      <c r="Q21" s="2393" t="str">
        <f>B21</f>
        <v>基础设施水平</v>
      </c>
      <c r="R21" s="1479" t="s">
        <v>11</v>
      </c>
      <c r="S21" s="1480">
        <f>F21</f>
        <v>100</v>
      </c>
      <c r="T21" s="1479" t="s">
        <v>11</v>
      </c>
      <c r="U21" s="1480">
        <f>H21</f>
        <v>100</v>
      </c>
      <c r="V21" s="1479" t="s">
        <v>11</v>
      </c>
      <c r="W21" s="1480">
        <f>J21</f>
        <v>100</v>
      </c>
      <c r="X21" s="2395"/>
      <c r="Y21" s="3895"/>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895"/>
      <c r="Q22" s="2393"/>
      <c r="R22" s="1479"/>
      <c r="S22" s="1480"/>
      <c r="T22" s="1479"/>
      <c r="U22" s="1480"/>
      <c r="V22" s="1479"/>
      <c r="W22" s="1480"/>
      <c r="X22" s="2395"/>
      <c r="Y22" s="3895"/>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895"/>
      <c r="Q23" s="1478" t="str">
        <f>B23</f>
        <v>自然及人文环境</v>
      </c>
      <c r="R23" s="1479" t="s">
        <v>11</v>
      </c>
      <c r="S23" s="1480">
        <f>F23</f>
        <v>100</v>
      </c>
      <c r="T23" s="1479" t="s">
        <v>11</v>
      </c>
      <c r="U23" s="1480">
        <f>H23</f>
        <v>100</v>
      </c>
      <c r="V23" s="1479" t="s">
        <v>11</v>
      </c>
      <c r="W23" s="1480">
        <f>J23</f>
        <v>100</v>
      </c>
      <c r="X23" s="1473"/>
      <c r="Y23" s="3895"/>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895"/>
      <c r="Q24" s="1478"/>
      <c r="R24" s="1479"/>
      <c r="S24" s="1480"/>
      <c r="T24" s="1479"/>
      <c r="U24" s="1480"/>
      <c r="V24" s="1479"/>
      <c r="W24" s="1480"/>
      <c r="X24" s="1473"/>
      <c r="Y24" s="3895"/>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895"/>
      <c r="Q25" s="1478" t="str">
        <f t="shared" ref="Q25:Q46" si="11">B25</f>
        <v>楼层-1</v>
      </c>
      <c r="R25" s="1479" t="s">
        <v>11</v>
      </c>
      <c r="S25" s="1480">
        <f>F25</f>
        <v>100</v>
      </c>
      <c r="T25" s="1479" t="s">
        <v>11</v>
      </c>
      <c r="U25" s="1480">
        <f>H25</f>
        <v>100</v>
      </c>
      <c r="V25" s="1479" t="s">
        <v>11</v>
      </c>
      <c r="W25" s="1480">
        <f>J25</f>
        <v>100</v>
      </c>
      <c r="X25" s="1473"/>
      <c r="Y25" s="3895"/>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895"/>
      <c r="Q26" s="1478" t="str">
        <f t="shared" si="11"/>
        <v>朝向</v>
      </c>
      <c r="R26" s="1479" t="s">
        <v>11</v>
      </c>
      <c r="S26" s="1480">
        <f>F26</f>
        <v>100</v>
      </c>
      <c r="T26" s="1479" t="s">
        <v>11</v>
      </c>
      <c r="U26" s="1480">
        <f>H26</f>
        <v>100</v>
      </c>
      <c r="V26" s="1479" t="s">
        <v>11</v>
      </c>
      <c r="W26" s="1480">
        <f>J26</f>
        <v>100</v>
      </c>
      <c r="X26" s="1473"/>
      <c r="Y26" s="3895"/>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895"/>
      <c r="Q27" s="1115" t="str">
        <f t="shared" si="11"/>
        <v>道路级别</v>
      </c>
      <c r="R27" s="1474" t="s">
        <v>11</v>
      </c>
      <c r="S27" s="1475">
        <f>F27</f>
        <v>100</v>
      </c>
      <c r="T27" s="1474" t="s">
        <v>11</v>
      </c>
      <c r="U27" s="1475">
        <f>H27</f>
        <v>100</v>
      </c>
      <c r="V27" s="1474" t="s">
        <v>11</v>
      </c>
      <c r="W27" s="1475">
        <f>J27</f>
        <v>100</v>
      </c>
      <c r="X27" s="1476"/>
      <c r="Y27" s="3895"/>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895"/>
      <c r="Q28" s="1478">
        <f t="shared" si="11"/>
        <v>111</v>
      </c>
      <c r="R28" s="1479" t="s">
        <v>11</v>
      </c>
      <c r="S28" s="1480">
        <f t="shared" ref="S28:S46" si="12">F28</f>
        <v>100</v>
      </c>
      <c r="T28" s="1479" t="s">
        <v>11</v>
      </c>
      <c r="U28" s="1480">
        <f t="shared" ref="U28:U46" si="13">H28</f>
        <v>100</v>
      </c>
      <c r="V28" s="1479" t="s">
        <v>11</v>
      </c>
      <c r="W28" s="1480">
        <f t="shared" ref="W28:W46" si="14">J28</f>
        <v>100</v>
      </c>
      <c r="X28" s="1473"/>
      <c r="Y28" s="3895"/>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895"/>
      <c r="Q29" s="1478">
        <f t="shared" si="11"/>
        <v>111</v>
      </c>
      <c r="R29" s="1479" t="s">
        <v>11</v>
      </c>
      <c r="S29" s="1480">
        <f t="shared" si="12"/>
        <v>100</v>
      </c>
      <c r="T29" s="1479" t="s">
        <v>11</v>
      </c>
      <c r="U29" s="1480">
        <f t="shared" si="13"/>
        <v>100</v>
      </c>
      <c r="V29" s="1479" t="s">
        <v>11</v>
      </c>
      <c r="W29" s="1480">
        <f t="shared" si="14"/>
        <v>100</v>
      </c>
      <c r="X29" s="1473"/>
      <c r="Y29" s="3895"/>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895"/>
      <c r="Q30" s="1478">
        <f t="shared" si="11"/>
        <v>111</v>
      </c>
      <c r="R30" s="1479" t="s">
        <v>11</v>
      </c>
      <c r="S30" s="1480">
        <f t="shared" si="12"/>
        <v>100</v>
      </c>
      <c r="T30" s="1479" t="s">
        <v>11</v>
      </c>
      <c r="U30" s="1480">
        <f t="shared" si="13"/>
        <v>100</v>
      </c>
      <c r="V30" s="1479" t="s">
        <v>11</v>
      </c>
      <c r="W30" s="1480">
        <f t="shared" si="14"/>
        <v>100</v>
      </c>
      <c r="X30" s="1473"/>
      <c r="Y30" s="3895"/>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895"/>
      <c r="Q31" s="1478">
        <f t="shared" si="11"/>
        <v>111</v>
      </c>
      <c r="R31" s="1479" t="s">
        <v>11</v>
      </c>
      <c r="S31" s="1480">
        <f t="shared" si="12"/>
        <v>100</v>
      </c>
      <c r="T31" s="1479" t="s">
        <v>11</v>
      </c>
      <c r="U31" s="1480">
        <f t="shared" si="13"/>
        <v>100</v>
      </c>
      <c r="V31" s="1479" t="s">
        <v>11</v>
      </c>
      <c r="W31" s="1480">
        <f t="shared" si="14"/>
        <v>100</v>
      </c>
      <c r="X31" s="1473"/>
      <c r="Y31" s="3895"/>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896" t="s">
        <v>528</v>
      </c>
      <c r="Q32" s="1478" t="str">
        <f t="shared" si="11"/>
        <v>建筑类型</v>
      </c>
      <c r="R32" s="1479" t="s">
        <v>11</v>
      </c>
      <c r="S32" s="1480">
        <f t="shared" si="12"/>
        <v>100</v>
      </c>
      <c r="T32" s="1479" t="s">
        <v>11</v>
      </c>
      <c r="U32" s="1480">
        <f t="shared" si="13"/>
        <v>100</v>
      </c>
      <c r="V32" s="1479" t="s">
        <v>11</v>
      </c>
      <c r="W32" s="1480">
        <f t="shared" si="14"/>
        <v>100</v>
      </c>
      <c r="X32" s="1473"/>
      <c r="Y32" s="3897"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897"/>
      <c r="Q33" s="1507" t="str">
        <f t="shared" si="11"/>
        <v>项目建筑规模</v>
      </c>
      <c r="R33" s="1483" t="s">
        <v>11</v>
      </c>
      <c r="S33" s="1484" t="e">
        <f t="shared" si="12"/>
        <v>#N/A</v>
      </c>
      <c r="T33" s="1483" t="s">
        <v>11</v>
      </c>
      <c r="U33" s="1484" t="e">
        <f t="shared" si="13"/>
        <v>#N/A</v>
      </c>
      <c r="V33" s="1483" t="s">
        <v>11</v>
      </c>
      <c r="W33" s="1484" t="e">
        <f t="shared" si="14"/>
        <v>#N/A</v>
      </c>
      <c r="X33" s="1485"/>
      <c r="Y33" s="3897"/>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897"/>
      <c r="Q34" s="1478" t="str">
        <f t="shared" si="11"/>
        <v>建筑结构</v>
      </c>
      <c r="R34" s="1479" t="s">
        <v>11</v>
      </c>
      <c r="S34" s="1480">
        <f t="shared" si="12"/>
        <v>100</v>
      </c>
      <c r="T34" s="1479" t="s">
        <v>11</v>
      </c>
      <c r="U34" s="1480">
        <f t="shared" si="13"/>
        <v>100</v>
      </c>
      <c r="V34" s="1479" t="s">
        <v>11</v>
      </c>
      <c r="W34" s="1480">
        <f t="shared" si="14"/>
        <v>100</v>
      </c>
      <c r="X34" s="1473"/>
      <c r="Y34" s="3897"/>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897"/>
      <c r="Q35" s="1478" t="str">
        <f t="shared" si="11"/>
        <v>建筑品质</v>
      </c>
      <c r="R35" s="1479" t="s">
        <v>11</v>
      </c>
      <c r="S35" s="1480">
        <f t="shared" si="12"/>
        <v>100</v>
      </c>
      <c r="T35" s="1479" t="s">
        <v>11</v>
      </c>
      <c r="U35" s="1480">
        <f t="shared" si="13"/>
        <v>100</v>
      </c>
      <c r="V35" s="1479" t="s">
        <v>11</v>
      </c>
      <c r="W35" s="1480">
        <f t="shared" si="14"/>
        <v>100</v>
      </c>
      <c r="X35" s="1473"/>
      <c r="Y35" s="3897"/>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897"/>
      <c r="Q36" s="1478" t="str">
        <f t="shared" si="11"/>
        <v>公共部分装修</v>
      </c>
      <c r="R36" s="1479" t="s">
        <v>11</v>
      </c>
      <c r="S36" s="1480">
        <f t="shared" si="12"/>
        <v>100</v>
      </c>
      <c r="T36" s="1479" t="s">
        <v>11</v>
      </c>
      <c r="U36" s="1480">
        <f t="shared" si="13"/>
        <v>100</v>
      </c>
      <c r="V36" s="1479" t="s">
        <v>11</v>
      </c>
      <c r="W36" s="1480">
        <f t="shared" si="14"/>
        <v>100</v>
      </c>
      <c r="X36" s="1473"/>
      <c r="Y36" s="3897"/>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897"/>
      <c r="Q37" s="1115" t="str">
        <f t="shared" si="11"/>
        <v>成新度</v>
      </c>
      <c r="R37" s="1474" t="s">
        <v>11</v>
      </c>
      <c r="S37" s="1475" t="e">
        <f t="shared" si="12"/>
        <v>#N/A</v>
      </c>
      <c r="T37" s="1474" t="s">
        <v>11</v>
      </c>
      <c r="U37" s="1475" t="e">
        <f t="shared" si="13"/>
        <v>#N/A</v>
      </c>
      <c r="V37" s="1474" t="s">
        <v>11</v>
      </c>
      <c r="W37" s="1475" t="e">
        <f t="shared" si="14"/>
        <v>#N/A</v>
      </c>
      <c r="X37" s="1476"/>
      <c r="Y37" s="3897"/>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897" t="s">
        <v>528</v>
      </c>
      <c r="Q38" s="1478" t="str">
        <f t="shared" si="11"/>
        <v>物业管理</v>
      </c>
      <c r="R38" s="1479" t="s">
        <v>11</v>
      </c>
      <c r="S38" s="1480">
        <f t="shared" si="12"/>
        <v>100</v>
      </c>
      <c r="T38" s="1479" t="s">
        <v>11</v>
      </c>
      <c r="U38" s="1480">
        <f t="shared" si="13"/>
        <v>100</v>
      </c>
      <c r="V38" s="1479" t="s">
        <v>11</v>
      </c>
      <c r="W38" s="1480">
        <f t="shared" si="14"/>
        <v>100</v>
      </c>
      <c r="X38" s="1473"/>
      <c r="Y38" s="3897"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897"/>
      <c r="Q39" s="1478" t="str">
        <f t="shared" si="11"/>
        <v>市政基础设施</v>
      </c>
      <c r="R39" s="1479" t="s">
        <v>11</v>
      </c>
      <c r="S39" s="1480">
        <f t="shared" si="12"/>
        <v>100</v>
      </c>
      <c r="T39" s="1479" t="s">
        <v>11</v>
      </c>
      <c r="U39" s="1480">
        <f t="shared" si="13"/>
        <v>100</v>
      </c>
      <c r="V39" s="1479" t="s">
        <v>11</v>
      </c>
      <c r="W39" s="1480">
        <f t="shared" si="14"/>
        <v>100</v>
      </c>
      <c r="X39" s="1473"/>
      <c r="Y39" s="3897"/>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897"/>
      <c r="Q40" s="1478" t="str">
        <f t="shared" si="11"/>
        <v>房型</v>
      </c>
      <c r="R40" s="1479" t="s">
        <v>11</v>
      </c>
      <c r="S40" s="1480">
        <f t="shared" si="12"/>
        <v>100</v>
      </c>
      <c r="T40" s="1479" t="s">
        <v>11</v>
      </c>
      <c r="U40" s="1480">
        <f t="shared" si="13"/>
        <v>100</v>
      </c>
      <c r="V40" s="1479" t="s">
        <v>11</v>
      </c>
      <c r="W40" s="1480">
        <f t="shared" si="14"/>
        <v>100</v>
      </c>
      <c r="X40" s="1473"/>
      <c r="Y40" s="3897"/>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897"/>
      <c r="Q41" s="1507" t="str">
        <f t="shared" si="11"/>
        <v>单套/主力户型建筑面积</v>
      </c>
      <c r="R41" s="1483" t="s">
        <v>11</v>
      </c>
      <c r="S41" s="1484">
        <f t="shared" si="12"/>
        <v>100</v>
      </c>
      <c r="T41" s="1483" t="s">
        <v>11</v>
      </c>
      <c r="U41" s="1484">
        <f t="shared" si="13"/>
        <v>100</v>
      </c>
      <c r="V41" s="1483" t="s">
        <v>11</v>
      </c>
      <c r="W41" s="1484">
        <f t="shared" si="14"/>
        <v>100</v>
      </c>
      <c r="X41" s="1485"/>
      <c r="Y41" s="3897"/>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897"/>
      <c r="Q42" s="1478" t="str">
        <f t="shared" si="11"/>
        <v>内部装修</v>
      </c>
      <c r="R42" s="1479" t="s">
        <v>11</v>
      </c>
      <c r="S42" s="1480">
        <f t="shared" si="12"/>
        <v>100</v>
      </c>
      <c r="T42" s="1479" t="s">
        <v>11</v>
      </c>
      <c r="U42" s="1480">
        <f t="shared" si="13"/>
        <v>100</v>
      </c>
      <c r="V42" s="1479" t="s">
        <v>11</v>
      </c>
      <c r="W42" s="1480">
        <f t="shared" si="14"/>
        <v>100</v>
      </c>
      <c r="X42" s="1473"/>
      <c r="Y42" s="3897"/>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897"/>
      <c r="Q43" s="1478" t="str">
        <f t="shared" si="11"/>
        <v>内部装修维护情况</v>
      </c>
      <c r="R43" s="1479" t="s">
        <v>11</v>
      </c>
      <c r="S43" s="1480">
        <f t="shared" si="12"/>
        <v>100</v>
      </c>
      <c r="T43" s="1479" t="s">
        <v>11</v>
      </c>
      <c r="U43" s="1480">
        <f t="shared" si="13"/>
        <v>100</v>
      </c>
      <c r="V43" s="1479" t="s">
        <v>11</v>
      </c>
      <c r="W43" s="1480">
        <f t="shared" si="14"/>
        <v>100</v>
      </c>
      <c r="X43" s="1473"/>
      <c r="Y43" s="3897"/>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897"/>
      <c r="Q44" s="1115">
        <f t="shared" si="11"/>
        <v>111</v>
      </c>
      <c r="R44" s="1474" t="s">
        <v>11</v>
      </c>
      <c r="S44" s="1475">
        <f t="shared" si="12"/>
        <v>100</v>
      </c>
      <c r="T44" s="1474" t="s">
        <v>11</v>
      </c>
      <c r="U44" s="1475">
        <f t="shared" si="13"/>
        <v>100</v>
      </c>
      <c r="V44" s="1474" t="s">
        <v>11</v>
      </c>
      <c r="W44" s="1475">
        <f t="shared" si="14"/>
        <v>100</v>
      </c>
      <c r="X44" s="1476"/>
      <c r="Y44" s="3897"/>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897"/>
      <c r="Q45" s="1478">
        <f t="shared" si="11"/>
        <v>111</v>
      </c>
      <c r="R45" s="1479" t="s">
        <v>11</v>
      </c>
      <c r="S45" s="1480">
        <f t="shared" si="12"/>
        <v>100</v>
      </c>
      <c r="T45" s="1479" t="s">
        <v>11</v>
      </c>
      <c r="U45" s="1480">
        <f t="shared" si="13"/>
        <v>100</v>
      </c>
      <c r="V45" s="1479" t="s">
        <v>11</v>
      </c>
      <c r="W45" s="1480">
        <f t="shared" si="14"/>
        <v>100</v>
      </c>
      <c r="X45" s="1473"/>
      <c r="Y45" s="3897"/>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89"/>
      <c r="Q46" s="1478">
        <f t="shared" si="11"/>
        <v>111</v>
      </c>
      <c r="R46" s="1479" t="s">
        <v>10</v>
      </c>
      <c r="S46" s="1480">
        <f t="shared" si="12"/>
        <v>100</v>
      </c>
      <c r="T46" s="1479" t="s">
        <v>10</v>
      </c>
      <c r="U46" s="1480">
        <f t="shared" si="13"/>
        <v>100</v>
      </c>
      <c r="V46" s="1479" t="s">
        <v>10</v>
      </c>
      <c r="W46" s="1480">
        <f t="shared" si="14"/>
        <v>100</v>
      </c>
      <c r="X46" s="1473"/>
      <c r="Y46" s="3989"/>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891" t="str">
        <f>A47</f>
        <v>成交单价（元/平方米）</v>
      </c>
      <c r="Q47" s="3891"/>
      <c r="R47" s="3988">
        <f>E47</f>
        <v>0</v>
      </c>
      <c r="S47" s="3988"/>
      <c r="T47" s="3988">
        <f>G47</f>
        <v>0</v>
      </c>
      <c r="U47" s="3988"/>
      <c r="V47" s="3988">
        <f>I47</f>
        <v>0</v>
      </c>
      <c r="W47" s="3988"/>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891" t="str">
        <f>A48</f>
        <v>比较价格（元/平方米）</v>
      </c>
      <c r="Q48" s="3891"/>
      <c r="R48" s="3988" t="e">
        <f>IF(F1="售价",ROUND(PRODUCT(R47,AA7:AA46),0),ROUND(PRODUCT(R47,AA7:AA46),1))</f>
        <v>#DIV/0!</v>
      </c>
      <c r="S48" s="3988"/>
      <c r="T48" s="3988" t="e">
        <f>IF(F1="售价",ROUND(PRODUCT(T47,AB7:AB46),0),ROUND(PRODUCT(T47,AB7:AB46),1))</f>
        <v>#DIV/0!</v>
      </c>
      <c r="U48" s="3988"/>
      <c r="V48" s="3988" t="e">
        <f>IF(F1="售价",ROUND(PRODUCT(V47,AC7:AC46),0),ROUND(PRODUCT(V47,AC7:AC46),1))</f>
        <v>#DIV/0!</v>
      </c>
      <c r="W48" s="3988"/>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888" t="str">
        <f>A49</f>
        <v>估价对象XX用房的比较价格（楼面单价，元/平方米）</v>
      </c>
      <c r="Q49" s="3889"/>
      <c r="R49" s="3987" t="e">
        <f>IF(F1="售价",ROUND(IF(D48="简单平均",AVERAGE(R48:V48),R48*F48+T48*H48+V48*J48),0),ROUND(IF(D48="简单平均",AVERAGE(R48:V48),R48*F48+T48*H48+V48*J48),1))</f>
        <v>#DIV/0!</v>
      </c>
      <c r="S49" s="3987"/>
      <c r="T49" s="3987"/>
      <c r="U49" s="3987"/>
      <c r="V49" s="3987"/>
      <c r="W49" s="3987"/>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workbookViewId="0">
      <selection activeCell="I26" sqref="I26"/>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03" t="s">
        <v>500</v>
      </c>
      <c r="D4" s="3904"/>
      <c r="E4" s="3905" t="s">
        <v>501</v>
      </c>
      <c r="F4" s="3906"/>
      <c r="G4" s="3903" t="s">
        <v>502</v>
      </c>
      <c r="H4" s="3904"/>
      <c r="I4" s="3903" t="s">
        <v>503</v>
      </c>
      <c r="J4" s="3904"/>
      <c r="K4" s="489" t="s">
        <v>504</v>
      </c>
      <c r="L4" s="1983"/>
      <c r="M4" s="1984"/>
      <c r="N4" s="1984"/>
      <c r="O4" s="1984"/>
      <c r="P4" s="3907" t="s">
        <v>505</v>
      </c>
      <c r="Q4" s="3908"/>
      <c r="R4" s="3913" t="s">
        <v>501</v>
      </c>
      <c r="S4" s="3914"/>
      <c r="T4" s="3913" t="s">
        <v>502</v>
      </c>
      <c r="U4" s="3914"/>
      <c r="V4" s="3893" t="s">
        <v>503</v>
      </c>
      <c r="W4" s="3893"/>
      <c r="X4" s="1473"/>
      <c r="Y4" s="3913" t="s">
        <v>505</v>
      </c>
      <c r="Z4" s="3914"/>
      <c r="AA4" s="3900" t="s">
        <v>501</v>
      </c>
      <c r="AB4" s="3893" t="s">
        <v>502</v>
      </c>
      <c r="AC4" s="3900" t="s">
        <v>503</v>
      </c>
    </row>
    <row r="5" spans="1:29" ht="15">
      <c r="A5" s="490"/>
      <c r="B5" s="491"/>
      <c r="C5" s="3921" t="s">
        <v>2867</v>
      </c>
      <c r="D5" s="3922"/>
      <c r="E5" s="3919" t="s">
        <v>2868</v>
      </c>
      <c r="F5" s="3920"/>
      <c r="G5" s="3921" t="s">
        <v>2869</v>
      </c>
      <c r="H5" s="3922"/>
      <c r="I5" s="3921" t="s">
        <v>2870</v>
      </c>
      <c r="J5" s="3922"/>
      <c r="K5" s="489"/>
      <c r="L5" s="1983"/>
      <c r="M5" s="1984"/>
      <c r="N5" s="1984"/>
      <c r="O5" s="1984"/>
      <c r="P5" s="3909"/>
      <c r="Q5" s="3910"/>
      <c r="R5" s="3915"/>
      <c r="S5" s="3916"/>
      <c r="T5" s="3915"/>
      <c r="U5" s="3916"/>
      <c r="V5" s="3893"/>
      <c r="W5" s="3893"/>
      <c r="X5" s="1473"/>
      <c r="Y5" s="3915"/>
      <c r="Z5" s="3916"/>
      <c r="AA5" s="3901"/>
      <c r="AB5" s="3893"/>
      <c r="AC5" s="3901"/>
    </row>
    <row r="6" spans="1:29" ht="15.75" thickBot="1">
      <c r="A6" s="492"/>
      <c r="B6" s="493"/>
      <c r="C6" s="3923" t="s">
        <v>2871</v>
      </c>
      <c r="D6" s="3924"/>
      <c r="E6" s="3926" t="s">
        <v>2871</v>
      </c>
      <c r="F6" s="3927"/>
      <c r="G6" s="3923" t="s">
        <v>2871</v>
      </c>
      <c r="H6" s="3924"/>
      <c r="I6" s="3923" t="s">
        <v>2871</v>
      </c>
      <c r="J6" s="3924"/>
      <c r="K6" s="489" t="s">
        <v>506</v>
      </c>
      <c r="L6" s="1983"/>
      <c r="M6" s="1984"/>
      <c r="N6" s="1984"/>
      <c r="O6" s="1984"/>
      <c r="P6" s="3911"/>
      <c r="Q6" s="3912"/>
      <c r="R6" s="3915"/>
      <c r="S6" s="3916"/>
      <c r="T6" s="3917"/>
      <c r="U6" s="3918"/>
      <c r="V6" s="3893"/>
      <c r="W6" s="3893"/>
      <c r="X6" s="1473"/>
      <c r="Y6" s="3917"/>
      <c r="Z6" s="3918"/>
      <c r="AA6" s="3902"/>
      <c r="AB6" s="3893"/>
      <c r="AC6" s="3902"/>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98" t="s">
        <v>508</v>
      </c>
      <c r="Q7" s="3925"/>
      <c r="R7" s="1474" t="s">
        <v>8</v>
      </c>
      <c r="S7" s="1475">
        <f t="shared" ref="S7:S15" si="0">F7</f>
        <v>0</v>
      </c>
      <c r="T7" s="1474" t="s">
        <v>8</v>
      </c>
      <c r="U7" s="1475">
        <f t="shared" ref="U7:U15" si="1">H7</f>
        <v>0</v>
      </c>
      <c r="V7" s="1474" t="s">
        <v>8</v>
      </c>
      <c r="W7" s="1475">
        <f t="shared" ref="W7:W15"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98" t="s">
        <v>511</v>
      </c>
      <c r="Q8" s="3899"/>
      <c r="R8" s="1474" t="s">
        <v>8</v>
      </c>
      <c r="S8" s="1475">
        <f t="shared" si="0"/>
        <v>0</v>
      </c>
      <c r="T8" s="1474" t="s">
        <v>8</v>
      </c>
      <c r="U8" s="1475">
        <f t="shared" si="1"/>
        <v>0</v>
      </c>
      <c r="V8" s="1474" t="s">
        <v>8</v>
      </c>
      <c r="W8" s="1475">
        <f t="shared" si="2"/>
        <v>0</v>
      </c>
      <c r="X8" s="1476"/>
      <c r="Y8" s="3898" t="s">
        <v>511</v>
      </c>
      <c r="Z8" s="3899"/>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891" t="s">
        <v>513</v>
      </c>
      <c r="Q9" s="1115" t="str">
        <f t="shared" ref="Q9:Q15" si="6">B9</f>
        <v>用途</v>
      </c>
      <c r="R9" s="1474" t="s">
        <v>8</v>
      </c>
      <c r="S9" s="1475">
        <f t="shared" si="0"/>
        <v>100</v>
      </c>
      <c r="T9" s="1474" t="s">
        <v>8</v>
      </c>
      <c r="U9" s="1475">
        <f t="shared" si="1"/>
        <v>100</v>
      </c>
      <c r="V9" s="1474" t="s">
        <v>8</v>
      </c>
      <c r="W9" s="1475">
        <f t="shared" si="2"/>
        <v>100</v>
      </c>
      <c r="X9" s="1476"/>
      <c r="Y9" s="374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891"/>
      <c r="Q11" s="1115" t="str">
        <f t="shared" si="6"/>
        <v>容积率</v>
      </c>
      <c r="R11" s="1474" t="s">
        <v>8</v>
      </c>
      <c r="S11" s="1475" t="e">
        <f t="shared" si="0"/>
        <v>#N/A</v>
      </c>
      <c r="T11" s="1474" t="s">
        <v>8</v>
      </c>
      <c r="U11" s="1475" t="e">
        <f t="shared" si="1"/>
        <v>#N/A</v>
      </c>
      <c r="V11" s="1474" t="s">
        <v>8</v>
      </c>
      <c r="W11" s="1475" t="e">
        <f t="shared" si="2"/>
        <v>#N/A</v>
      </c>
      <c r="X11" s="1476"/>
      <c r="Y11" s="374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891"/>
      <c r="Q12" s="1115">
        <f t="shared" si="6"/>
        <v>111</v>
      </c>
      <c r="R12" s="1474" t="s">
        <v>8</v>
      </c>
      <c r="S12" s="1475">
        <f t="shared" si="0"/>
        <v>100</v>
      </c>
      <c r="T12" s="1474" t="s">
        <v>8</v>
      </c>
      <c r="U12" s="1475">
        <f t="shared" si="1"/>
        <v>100</v>
      </c>
      <c r="V12" s="1474" t="s">
        <v>8</v>
      </c>
      <c r="W12" s="1475">
        <f t="shared" si="2"/>
        <v>100</v>
      </c>
      <c r="X12" s="1476"/>
      <c r="Y12" s="3748"/>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891"/>
      <c r="Q13" s="1115">
        <f t="shared" si="6"/>
        <v>111</v>
      </c>
      <c r="R13" s="1474" t="s">
        <v>8</v>
      </c>
      <c r="S13" s="1475">
        <f t="shared" si="0"/>
        <v>100</v>
      </c>
      <c r="T13" s="1474" t="s">
        <v>8</v>
      </c>
      <c r="U13" s="1475">
        <f t="shared" si="1"/>
        <v>100</v>
      </c>
      <c r="V13" s="1474" t="s">
        <v>8</v>
      </c>
      <c r="W13" s="1475">
        <f t="shared" si="2"/>
        <v>100</v>
      </c>
      <c r="X13" s="1476"/>
      <c r="Y13" s="3748"/>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891"/>
      <c r="Q14" s="1115">
        <f t="shared" si="6"/>
        <v>111</v>
      </c>
      <c r="R14" s="1474" t="s">
        <v>8</v>
      </c>
      <c r="S14" s="1475">
        <f t="shared" si="0"/>
        <v>100</v>
      </c>
      <c r="T14" s="1474" t="s">
        <v>8</v>
      </c>
      <c r="U14" s="1475">
        <f t="shared" si="1"/>
        <v>100</v>
      </c>
      <c r="V14" s="1474" t="s">
        <v>8</v>
      </c>
      <c r="W14" s="1475">
        <f t="shared" si="2"/>
        <v>100</v>
      </c>
      <c r="X14" s="1476"/>
      <c r="Y14" s="3748"/>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894" t="s">
        <v>518</v>
      </c>
      <c r="Q15" s="1478" t="str">
        <f t="shared" si="6"/>
        <v>商业繁华度</v>
      </c>
      <c r="R15" s="1479" t="s">
        <v>8</v>
      </c>
      <c r="S15" s="1480">
        <f t="shared" si="0"/>
        <v>100</v>
      </c>
      <c r="T15" s="1479" t="s">
        <v>8</v>
      </c>
      <c r="U15" s="1480">
        <f t="shared" si="1"/>
        <v>100</v>
      </c>
      <c r="V15" s="1479" t="s">
        <v>8</v>
      </c>
      <c r="W15" s="1480">
        <f t="shared" si="2"/>
        <v>100</v>
      </c>
      <c r="X15" s="1473"/>
      <c r="Y15" s="3894"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5"/>
      <c r="Q16" s="1478"/>
      <c r="R16" s="1479"/>
      <c r="S16" s="1480"/>
      <c r="T16" s="1479"/>
      <c r="U16" s="1480"/>
      <c r="V16" s="1479"/>
      <c r="W16" s="1480"/>
      <c r="X16" s="1473"/>
      <c r="Y16" s="3895"/>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895"/>
      <c r="Q17" s="1478" t="str">
        <f>B17</f>
        <v>交通便捷度</v>
      </c>
      <c r="R17" s="1479" t="s">
        <v>8</v>
      </c>
      <c r="S17" s="1480">
        <f>F17</f>
        <v>100</v>
      </c>
      <c r="T17" s="1479" t="s">
        <v>8</v>
      </c>
      <c r="U17" s="1480">
        <f>H17</f>
        <v>100</v>
      </c>
      <c r="V17" s="1479" t="s">
        <v>8</v>
      </c>
      <c r="W17" s="1480">
        <f>J17</f>
        <v>100</v>
      </c>
      <c r="X17" s="1473"/>
      <c r="Y17" s="389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5"/>
      <c r="Q18" s="1478"/>
      <c r="R18" s="1479"/>
      <c r="S18" s="1480"/>
      <c r="T18" s="1479"/>
      <c r="U18" s="1480"/>
      <c r="V18" s="1479"/>
      <c r="W18" s="1480"/>
      <c r="X18" s="1473"/>
      <c r="Y18" s="3895"/>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895"/>
      <c r="Q19" s="1478" t="str">
        <f>B19</f>
        <v>公共配套设施</v>
      </c>
      <c r="R19" s="1479" t="s">
        <v>8</v>
      </c>
      <c r="S19" s="1480">
        <f>F19</f>
        <v>100</v>
      </c>
      <c r="T19" s="1479" t="s">
        <v>8</v>
      </c>
      <c r="U19" s="1480">
        <f>H19</f>
        <v>100</v>
      </c>
      <c r="V19" s="1479" t="s">
        <v>8</v>
      </c>
      <c r="W19" s="1480">
        <f>J19</f>
        <v>100</v>
      </c>
      <c r="X19" s="1473"/>
      <c r="Y19" s="3895"/>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895"/>
      <c r="Q20" s="1478"/>
      <c r="R20" s="1479"/>
      <c r="S20" s="1480"/>
      <c r="T20" s="1479"/>
      <c r="U20" s="1480"/>
      <c r="V20" s="1479"/>
      <c r="W20" s="1480"/>
      <c r="X20" s="1473"/>
      <c r="Y20" s="3895"/>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895"/>
      <c r="Q21" s="2393" t="str">
        <f>B21</f>
        <v>基础设施水平</v>
      </c>
      <c r="R21" s="1479" t="s">
        <v>8</v>
      </c>
      <c r="S21" s="1480">
        <f>F21</f>
        <v>100</v>
      </c>
      <c r="T21" s="1479" t="s">
        <v>8</v>
      </c>
      <c r="U21" s="1480">
        <f>H21</f>
        <v>100</v>
      </c>
      <c r="V21" s="1479" t="s">
        <v>8</v>
      </c>
      <c r="W21" s="1480">
        <f>J21</f>
        <v>100</v>
      </c>
      <c r="X21" s="2395"/>
      <c r="Y21" s="3895"/>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895"/>
      <c r="Q22" s="2393"/>
      <c r="R22" s="1479"/>
      <c r="S22" s="1480"/>
      <c r="T22" s="1479"/>
      <c r="U22" s="1480"/>
      <c r="V22" s="1479"/>
      <c r="W22" s="1480"/>
      <c r="X22" s="2395"/>
      <c r="Y22" s="3895"/>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895"/>
      <c r="Q23" s="1478" t="str">
        <f>B23</f>
        <v>自然及人文环境</v>
      </c>
      <c r="R23" s="1479" t="s">
        <v>8</v>
      </c>
      <c r="S23" s="1480">
        <f>F23</f>
        <v>100</v>
      </c>
      <c r="T23" s="1479" t="s">
        <v>8</v>
      </c>
      <c r="U23" s="1480">
        <f>H23</f>
        <v>100</v>
      </c>
      <c r="V23" s="1479" t="s">
        <v>8</v>
      </c>
      <c r="W23" s="1480">
        <f>J23</f>
        <v>100</v>
      </c>
      <c r="X23" s="1473"/>
      <c r="Y23" s="3895"/>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895"/>
      <c r="Q24" s="1478"/>
      <c r="R24" s="1479"/>
      <c r="S24" s="1480"/>
      <c r="T24" s="1479"/>
      <c r="U24" s="1480"/>
      <c r="V24" s="1479"/>
      <c r="W24" s="1480"/>
      <c r="X24" s="1473"/>
      <c r="Y24" s="3895"/>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895"/>
      <c r="Q25" s="1478" t="str">
        <f t="shared" ref="Q25:Q46" si="11">B25</f>
        <v>临街状况</v>
      </c>
      <c r="R25" s="1479" t="s">
        <v>8</v>
      </c>
      <c r="S25" s="1480">
        <f>F25</f>
        <v>100</v>
      </c>
      <c r="T25" s="1479" t="s">
        <v>8</v>
      </c>
      <c r="U25" s="1480">
        <f>H25</f>
        <v>100</v>
      </c>
      <c r="V25" s="1479" t="s">
        <v>8</v>
      </c>
      <c r="W25" s="1480">
        <f>J25</f>
        <v>100</v>
      </c>
      <c r="X25" s="1473"/>
      <c r="Y25" s="3895"/>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895"/>
      <c r="Q26" s="1478" t="str">
        <f t="shared" si="11"/>
        <v>平面位置/可视性</v>
      </c>
      <c r="R26" s="1479" t="s">
        <v>8</v>
      </c>
      <c r="S26" s="1480">
        <f>F26</f>
        <v>100</v>
      </c>
      <c r="T26" s="1479" t="s">
        <v>8</v>
      </c>
      <c r="U26" s="1480">
        <f>H26</f>
        <v>100</v>
      </c>
      <c r="V26" s="1479" t="s">
        <v>8</v>
      </c>
      <c r="W26" s="1480">
        <f>J26</f>
        <v>100</v>
      </c>
      <c r="X26" s="1473"/>
      <c r="Y26" s="3895"/>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895"/>
      <c r="Q27" s="1115" t="str">
        <f t="shared" si="11"/>
        <v>人流量</v>
      </c>
      <c r="R27" s="1474" t="s">
        <v>8</v>
      </c>
      <c r="S27" s="1475">
        <f>F27</f>
        <v>100</v>
      </c>
      <c r="T27" s="1474" t="s">
        <v>8</v>
      </c>
      <c r="U27" s="1475">
        <f>H27</f>
        <v>100</v>
      </c>
      <c r="V27" s="1474" t="s">
        <v>8</v>
      </c>
      <c r="W27" s="1475">
        <f>J27</f>
        <v>100</v>
      </c>
      <c r="X27" s="1476"/>
      <c r="Y27" s="3895"/>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895"/>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895"/>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895"/>
      <c r="Q29" s="1478">
        <f t="shared" si="11"/>
        <v>111</v>
      </c>
      <c r="R29" s="1479" t="s">
        <v>8</v>
      </c>
      <c r="S29" s="1480">
        <f t="shared" si="12"/>
        <v>100</v>
      </c>
      <c r="T29" s="1479" t="s">
        <v>8</v>
      </c>
      <c r="U29" s="1480">
        <f t="shared" si="13"/>
        <v>100</v>
      </c>
      <c r="V29" s="1479" t="s">
        <v>8</v>
      </c>
      <c r="W29" s="1480">
        <f t="shared" si="14"/>
        <v>100</v>
      </c>
      <c r="X29" s="1473"/>
      <c r="Y29" s="3895"/>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895"/>
      <c r="Q30" s="1478">
        <f t="shared" si="11"/>
        <v>111</v>
      </c>
      <c r="R30" s="1479" t="s">
        <v>8</v>
      </c>
      <c r="S30" s="1480">
        <f t="shared" si="12"/>
        <v>100</v>
      </c>
      <c r="T30" s="1479" t="s">
        <v>8</v>
      </c>
      <c r="U30" s="1480">
        <f t="shared" si="13"/>
        <v>100</v>
      </c>
      <c r="V30" s="1479" t="s">
        <v>8</v>
      </c>
      <c r="W30" s="1480">
        <f t="shared" si="14"/>
        <v>100</v>
      </c>
      <c r="X30" s="1473"/>
      <c r="Y30" s="3895"/>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895"/>
      <c r="Q31" s="1478">
        <f t="shared" si="11"/>
        <v>111</v>
      </c>
      <c r="R31" s="1479" t="s">
        <v>8</v>
      </c>
      <c r="S31" s="1480">
        <f t="shared" si="12"/>
        <v>100</v>
      </c>
      <c r="T31" s="1479" t="s">
        <v>8</v>
      </c>
      <c r="U31" s="1480">
        <f t="shared" si="13"/>
        <v>100</v>
      </c>
      <c r="V31" s="1479" t="s">
        <v>8</v>
      </c>
      <c r="W31" s="1480">
        <f t="shared" si="14"/>
        <v>100</v>
      </c>
      <c r="X31" s="1473"/>
      <c r="Y31" s="3895"/>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896" t="s">
        <v>528</v>
      </c>
      <c r="Q32" s="1478" t="str">
        <f t="shared" si="11"/>
        <v>商业类型</v>
      </c>
      <c r="R32" s="1479" t="s">
        <v>8</v>
      </c>
      <c r="S32" s="1480">
        <f t="shared" si="12"/>
        <v>100</v>
      </c>
      <c r="T32" s="1479" t="s">
        <v>8</v>
      </c>
      <c r="U32" s="1480">
        <f t="shared" si="13"/>
        <v>100</v>
      </c>
      <c r="V32" s="1479" t="s">
        <v>8</v>
      </c>
      <c r="W32" s="1480">
        <f t="shared" si="14"/>
        <v>100</v>
      </c>
      <c r="X32" s="1473"/>
      <c r="Y32" s="3897"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897"/>
      <c r="Q33" s="1507" t="str">
        <f t="shared" si="11"/>
        <v>项目建筑规模</v>
      </c>
      <c r="R33" s="1483" t="s">
        <v>8</v>
      </c>
      <c r="S33" s="1484" t="e">
        <f t="shared" si="12"/>
        <v>#N/A</v>
      </c>
      <c r="T33" s="1483" t="s">
        <v>8</v>
      </c>
      <c r="U33" s="1484" t="e">
        <f t="shared" si="13"/>
        <v>#N/A</v>
      </c>
      <c r="V33" s="1483" t="s">
        <v>8</v>
      </c>
      <c r="W33" s="1484" t="e">
        <f t="shared" si="14"/>
        <v>#N/A</v>
      </c>
      <c r="X33" s="1485"/>
      <c r="Y33" s="3897"/>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897"/>
      <c r="Q34" s="1478" t="str">
        <f t="shared" si="11"/>
        <v>建筑结构</v>
      </c>
      <c r="R34" s="1479" t="s">
        <v>8</v>
      </c>
      <c r="S34" s="1480">
        <f t="shared" si="12"/>
        <v>100</v>
      </c>
      <c r="T34" s="1479" t="s">
        <v>8</v>
      </c>
      <c r="U34" s="1480">
        <f t="shared" si="13"/>
        <v>100</v>
      </c>
      <c r="V34" s="1479" t="s">
        <v>8</v>
      </c>
      <c r="W34" s="1480">
        <f t="shared" si="14"/>
        <v>100</v>
      </c>
      <c r="X34" s="1473"/>
      <c r="Y34" s="3897"/>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897"/>
      <c r="Q35" s="1478" t="str">
        <f t="shared" si="11"/>
        <v>公共部分装修</v>
      </c>
      <c r="R35" s="1479" t="s">
        <v>8</v>
      </c>
      <c r="S35" s="1480">
        <f t="shared" si="12"/>
        <v>100</v>
      </c>
      <c r="T35" s="1479" t="s">
        <v>8</v>
      </c>
      <c r="U35" s="1480">
        <f t="shared" si="13"/>
        <v>100</v>
      </c>
      <c r="V35" s="1479" t="s">
        <v>8</v>
      </c>
      <c r="W35" s="1480">
        <f t="shared" si="14"/>
        <v>100</v>
      </c>
      <c r="X35" s="1473"/>
      <c r="Y35" s="3897"/>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897"/>
      <c r="Q36" s="1478" t="str">
        <f t="shared" si="11"/>
        <v>成新度</v>
      </c>
      <c r="R36" s="1479" t="s">
        <v>8</v>
      </c>
      <c r="S36" s="1480" t="e">
        <f t="shared" si="12"/>
        <v>#N/A</v>
      </c>
      <c r="T36" s="1479" t="s">
        <v>8</v>
      </c>
      <c r="U36" s="1480" t="e">
        <f t="shared" si="13"/>
        <v>#N/A</v>
      </c>
      <c r="V36" s="1479" t="s">
        <v>8</v>
      </c>
      <c r="W36" s="1480" t="e">
        <f t="shared" si="14"/>
        <v>#N/A</v>
      </c>
      <c r="X36" s="1473"/>
      <c r="Y36" s="3897"/>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897"/>
      <c r="Q37" s="1115" t="str">
        <f t="shared" si="11"/>
        <v>市政基础设施</v>
      </c>
      <c r="R37" s="1474" t="s">
        <v>8</v>
      </c>
      <c r="S37" s="1475">
        <f t="shared" si="12"/>
        <v>100</v>
      </c>
      <c r="T37" s="1474" t="s">
        <v>8</v>
      </c>
      <c r="U37" s="1475">
        <f t="shared" si="13"/>
        <v>100</v>
      </c>
      <c r="V37" s="1474" t="s">
        <v>8</v>
      </c>
      <c r="W37" s="1475">
        <f t="shared" si="14"/>
        <v>100</v>
      </c>
      <c r="X37" s="1476"/>
      <c r="Y37" s="3897"/>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897" t="s">
        <v>744</v>
      </c>
      <c r="Q38" s="1478" t="str">
        <f t="shared" si="11"/>
        <v>业态</v>
      </c>
      <c r="R38" s="1479" t="s">
        <v>8</v>
      </c>
      <c r="S38" s="1480">
        <f t="shared" si="12"/>
        <v>100</v>
      </c>
      <c r="T38" s="1479" t="s">
        <v>8</v>
      </c>
      <c r="U38" s="1480">
        <f t="shared" si="13"/>
        <v>100</v>
      </c>
      <c r="V38" s="1479" t="s">
        <v>8</v>
      </c>
      <c r="W38" s="1480">
        <f t="shared" si="14"/>
        <v>100</v>
      </c>
      <c r="X38" s="1473"/>
      <c r="Y38" s="3897"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7"/>
      <c r="Q39" s="1478" t="str">
        <f t="shared" si="11"/>
        <v>层高</v>
      </c>
      <c r="R39" s="1479" t="s">
        <v>8</v>
      </c>
      <c r="S39" s="1480">
        <f t="shared" si="12"/>
        <v>100</v>
      </c>
      <c r="T39" s="1479" t="s">
        <v>8</v>
      </c>
      <c r="U39" s="1480">
        <f t="shared" si="13"/>
        <v>100</v>
      </c>
      <c r="V39" s="1479" t="s">
        <v>8</v>
      </c>
      <c r="W39" s="1480">
        <f t="shared" si="14"/>
        <v>100</v>
      </c>
      <c r="X39" s="1473"/>
      <c r="Y39" s="3897"/>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897"/>
      <c r="Q40" s="1478" t="str">
        <f t="shared" si="11"/>
        <v>单套建筑面积</v>
      </c>
      <c r="R40" s="1479" t="s">
        <v>8</v>
      </c>
      <c r="S40" s="1480">
        <f t="shared" si="12"/>
        <v>100</v>
      </c>
      <c r="T40" s="1479" t="s">
        <v>8</v>
      </c>
      <c r="U40" s="1480">
        <f t="shared" si="13"/>
        <v>100</v>
      </c>
      <c r="V40" s="1479" t="s">
        <v>8</v>
      </c>
      <c r="W40" s="1480">
        <f t="shared" si="14"/>
        <v>100</v>
      </c>
      <c r="X40" s="1473"/>
      <c r="Y40" s="3897"/>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897"/>
      <c r="Q41" s="1507" t="str">
        <f t="shared" si="11"/>
        <v>进深比</v>
      </c>
      <c r="R41" s="1483" t="s">
        <v>8</v>
      </c>
      <c r="S41" s="1484">
        <f t="shared" si="12"/>
        <v>100</v>
      </c>
      <c r="T41" s="1483" t="s">
        <v>8</v>
      </c>
      <c r="U41" s="1484">
        <f t="shared" si="13"/>
        <v>100</v>
      </c>
      <c r="V41" s="1483" t="s">
        <v>8</v>
      </c>
      <c r="W41" s="1484">
        <f t="shared" si="14"/>
        <v>100</v>
      </c>
      <c r="X41" s="1485"/>
      <c r="Y41" s="3897"/>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897"/>
      <c r="Q42" s="1478" t="str">
        <f t="shared" si="11"/>
        <v>内部装修</v>
      </c>
      <c r="R42" s="1479" t="s">
        <v>8</v>
      </c>
      <c r="S42" s="1480">
        <f t="shared" si="12"/>
        <v>100</v>
      </c>
      <c r="T42" s="1479" t="s">
        <v>8</v>
      </c>
      <c r="U42" s="1480">
        <f t="shared" si="13"/>
        <v>100</v>
      </c>
      <c r="V42" s="1479" t="s">
        <v>8</v>
      </c>
      <c r="W42" s="1480">
        <f t="shared" si="14"/>
        <v>100</v>
      </c>
      <c r="X42" s="1473"/>
      <c r="Y42" s="3897"/>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897"/>
      <c r="Q43" s="1478" t="str">
        <f t="shared" si="11"/>
        <v>内部装修维护情况</v>
      </c>
      <c r="R43" s="1479" t="s">
        <v>8</v>
      </c>
      <c r="S43" s="1480">
        <f t="shared" si="12"/>
        <v>100</v>
      </c>
      <c r="T43" s="1479" t="s">
        <v>8</v>
      </c>
      <c r="U43" s="1480">
        <f t="shared" si="13"/>
        <v>100</v>
      </c>
      <c r="V43" s="1479" t="s">
        <v>8</v>
      </c>
      <c r="W43" s="1480">
        <f t="shared" si="14"/>
        <v>100</v>
      </c>
      <c r="X43" s="1473"/>
      <c r="Y43" s="3897"/>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897"/>
      <c r="Q44" s="1115">
        <f t="shared" si="11"/>
        <v>111</v>
      </c>
      <c r="R44" s="1474" t="s">
        <v>8</v>
      </c>
      <c r="S44" s="1475">
        <f t="shared" si="12"/>
        <v>100</v>
      </c>
      <c r="T44" s="1474" t="s">
        <v>8</v>
      </c>
      <c r="U44" s="1475">
        <f t="shared" si="13"/>
        <v>100</v>
      </c>
      <c r="V44" s="1474" t="s">
        <v>8</v>
      </c>
      <c r="W44" s="1475">
        <f t="shared" si="14"/>
        <v>100</v>
      </c>
      <c r="X44" s="1476"/>
      <c r="Y44" s="3897"/>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897"/>
      <c r="Q45" s="1478">
        <f t="shared" si="11"/>
        <v>111</v>
      </c>
      <c r="R45" s="1479" t="s">
        <v>8</v>
      </c>
      <c r="S45" s="1480">
        <f t="shared" si="12"/>
        <v>100</v>
      </c>
      <c r="T45" s="1479" t="s">
        <v>8</v>
      </c>
      <c r="U45" s="1480">
        <f t="shared" si="13"/>
        <v>100</v>
      </c>
      <c r="V45" s="1479" t="s">
        <v>8</v>
      </c>
      <c r="W45" s="1480">
        <f t="shared" si="14"/>
        <v>100</v>
      </c>
      <c r="X45" s="1473"/>
      <c r="Y45" s="3897"/>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89"/>
      <c r="Q46" s="1478">
        <f t="shared" si="11"/>
        <v>111</v>
      </c>
      <c r="R46" s="1479" t="s">
        <v>8</v>
      </c>
      <c r="S46" s="1480">
        <f t="shared" si="12"/>
        <v>100</v>
      </c>
      <c r="T46" s="1479" t="s">
        <v>8</v>
      </c>
      <c r="U46" s="1480">
        <f t="shared" si="13"/>
        <v>100</v>
      </c>
      <c r="V46" s="1479" t="s">
        <v>8</v>
      </c>
      <c r="W46" s="1480">
        <f t="shared" si="14"/>
        <v>100</v>
      </c>
      <c r="X46" s="1473"/>
      <c r="Y46" s="3989"/>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891" t="str">
        <f>A47</f>
        <v>成交单价（元/平方米）</v>
      </c>
      <c r="Q47" s="3891"/>
      <c r="R47" s="3988">
        <f>E47</f>
        <v>0</v>
      </c>
      <c r="S47" s="3988"/>
      <c r="T47" s="3988">
        <f>G47</f>
        <v>0</v>
      </c>
      <c r="U47" s="3988"/>
      <c r="V47" s="3988">
        <f>I47</f>
        <v>0</v>
      </c>
      <c r="W47" s="3988"/>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891" t="str">
        <f>A48</f>
        <v>比较价格（元/平方米）</v>
      </c>
      <c r="Q48" s="3891"/>
      <c r="R48" s="3988" t="e">
        <f>IF(F1="售价",ROUND(PRODUCT(R47,AA7:AA46),0),ROUND(PRODUCT(R47,AA7:AA46),1))</f>
        <v>#DIV/0!</v>
      </c>
      <c r="S48" s="3988"/>
      <c r="T48" s="3988" t="e">
        <f>IF(F1="售价",ROUND(PRODUCT(T47,AB7:AB46),0),ROUND(PRODUCT(T47,AB7:AB46),1))</f>
        <v>#DIV/0!</v>
      </c>
      <c r="U48" s="3988"/>
      <c r="V48" s="3988" t="e">
        <f>IF(F1="售价",ROUND(PRODUCT(V47,AC7:AC46),0),ROUND(PRODUCT(V47,AC7:AC46),1))</f>
        <v>#DIV/0!</v>
      </c>
      <c r="W48" s="3988"/>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888" t="str">
        <f>A49</f>
        <v>估价对象XX用房的比较价格（楼面单价，元/平方米）</v>
      </c>
      <c r="Q49" s="3889"/>
      <c r="R49" s="3987" t="e">
        <f>IF(F1="售价",ROUND(IF(D48="简单平均",AVERAGE(R48:V48),R48*F48+T48*H48+V48*J48),0),ROUND(IF(D48="简单平均",AVERAGE(R48:V48),R48*F48+T48*H48+V48*J48),1))</f>
        <v>#DIV/0!</v>
      </c>
      <c r="S49" s="3987"/>
      <c r="T49" s="3987"/>
      <c r="U49" s="3987"/>
      <c r="V49" s="3987"/>
      <c r="W49" s="3987"/>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03" t="s">
        <v>500</v>
      </c>
      <c r="D4" s="3904"/>
      <c r="E4" s="3905" t="s">
        <v>501</v>
      </c>
      <c r="F4" s="3906"/>
      <c r="G4" s="3903" t="s">
        <v>502</v>
      </c>
      <c r="H4" s="3904"/>
      <c r="I4" s="3903" t="s">
        <v>503</v>
      </c>
      <c r="J4" s="3904"/>
      <c r="K4" s="489" t="s">
        <v>504</v>
      </c>
      <c r="L4" s="1983"/>
      <c r="M4" s="1984"/>
      <c r="N4" s="1984"/>
      <c r="O4" s="1984"/>
      <c r="P4" s="3990" t="s">
        <v>505</v>
      </c>
      <c r="Q4" s="3908"/>
      <c r="R4" s="3913" t="s">
        <v>501</v>
      </c>
      <c r="S4" s="3914"/>
      <c r="T4" s="3913" t="s">
        <v>502</v>
      </c>
      <c r="U4" s="3914"/>
      <c r="V4" s="3893" t="s">
        <v>503</v>
      </c>
      <c r="W4" s="3893"/>
      <c r="X4" s="1473"/>
      <c r="Y4" s="3913" t="s">
        <v>505</v>
      </c>
      <c r="Z4" s="3914"/>
      <c r="AA4" s="3900" t="s">
        <v>501</v>
      </c>
      <c r="AB4" s="3900" t="s">
        <v>502</v>
      </c>
      <c r="AC4" s="3900" t="s">
        <v>503</v>
      </c>
    </row>
    <row r="5" spans="1:29" ht="15">
      <c r="A5" s="490"/>
      <c r="B5" s="491"/>
      <c r="C5" s="3921" t="s">
        <v>2867</v>
      </c>
      <c r="D5" s="3922"/>
      <c r="E5" s="3919" t="s">
        <v>2868</v>
      </c>
      <c r="F5" s="3920"/>
      <c r="G5" s="3921" t="s">
        <v>2869</v>
      </c>
      <c r="H5" s="3922"/>
      <c r="I5" s="3921" t="s">
        <v>2870</v>
      </c>
      <c r="J5" s="3922"/>
      <c r="K5" s="489"/>
      <c r="L5" s="1983"/>
      <c r="M5" s="1984"/>
      <c r="N5" s="1984"/>
      <c r="O5" s="1984"/>
      <c r="P5" s="3991"/>
      <c r="Q5" s="3910"/>
      <c r="R5" s="3915"/>
      <c r="S5" s="3916"/>
      <c r="T5" s="3915"/>
      <c r="U5" s="3916"/>
      <c r="V5" s="3893"/>
      <c r="W5" s="3893"/>
      <c r="X5" s="1473"/>
      <c r="Y5" s="3915"/>
      <c r="Z5" s="3916"/>
      <c r="AA5" s="3901"/>
      <c r="AB5" s="3901"/>
      <c r="AC5" s="3901"/>
    </row>
    <row r="6" spans="1:29" ht="15.75" thickBot="1">
      <c r="A6" s="492"/>
      <c r="B6" s="493"/>
      <c r="C6" s="3923" t="s">
        <v>2871</v>
      </c>
      <c r="D6" s="3924"/>
      <c r="E6" s="3926" t="s">
        <v>2871</v>
      </c>
      <c r="F6" s="3927"/>
      <c r="G6" s="3923" t="s">
        <v>2871</v>
      </c>
      <c r="H6" s="3924"/>
      <c r="I6" s="3923" t="s">
        <v>2871</v>
      </c>
      <c r="J6" s="3924"/>
      <c r="K6" s="489" t="s">
        <v>506</v>
      </c>
      <c r="L6" s="1983"/>
      <c r="M6" s="1984"/>
      <c r="N6" s="1984"/>
      <c r="O6" s="1984"/>
      <c r="P6" s="3992"/>
      <c r="Q6" s="3912"/>
      <c r="R6" s="3915"/>
      <c r="S6" s="3916"/>
      <c r="T6" s="3917"/>
      <c r="U6" s="3918"/>
      <c r="V6" s="3893"/>
      <c r="W6" s="3893"/>
      <c r="X6" s="1473"/>
      <c r="Y6" s="3917"/>
      <c r="Z6" s="3918"/>
      <c r="AA6" s="3902"/>
      <c r="AB6" s="3902"/>
      <c r="AC6" s="3902"/>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25" t="s">
        <v>508</v>
      </c>
      <c r="Q7" s="3925"/>
      <c r="R7" s="1474" t="s">
        <v>8</v>
      </c>
      <c r="S7" s="1475">
        <f t="shared" ref="S7:S15" si="0">F7</f>
        <v>0</v>
      </c>
      <c r="T7" s="1474" t="s">
        <v>8</v>
      </c>
      <c r="U7" s="1475">
        <f t="shared" ref="U7:U15" si="1">H7</f>
        <v>0</v>
      </c>
      <c r="V7" s="1474" t="s">
        <v>8</v>
      </c>
      <c r="W7" s="1475">
        <f t="shared" ref="W7:W15"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25" t="s">
        <v>511</v>
      </c>
      <c r="Q8" s="3899"/>
      <c r="R8" s="1474" t="s">
        <v>8</v>
      </c>
      <c r="S8" s="1475">
        <f t="shared" si="0"/>
        <v>0</v>
      </c>
      <c r="T8" s="1474" t="s">
        <v>8</v>
      </c>
      <c r="U8" s="1475">
        <f t="shared" si="1"/>
        <v>0</v>
      </c>
      <c r="V8" s="1474" t="s">
        <v>8</v>
      </c>
      <c r="W8" s="1475">
        <f t="shared" si="2"/>
        <v>0</v>
      </c>
      <c r="X8" s="1476"/>
      <c r="Y8" s="3898" t="s">
        <v>511</v>
      </c>
      <c r="Z8" s="3899"/>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891" t="s">
        <v>513</v>
      </c>
      <c r="Q9" s="1115" t="str">
        <f t="shared" ref="Q9:Q15" si="6">B9</f>
        <v>用途</v>
      </c>
      <c r="R9" s="1474" t="s">
        <v>8</v>
      </c>
      <c r="S9" s="1475">
        <f t="shared" si="0"/>
        <v>100</v>
      </c>
      <c r="T9" s="1474" t="s">
        <v>8</v>
      </c>
      <c r="U9" s="1475">
        <f t="shared" si="1"/>
        <v>100</v>
      </c>
      <c r="V9" s="1474" t="s">
        <v>8</v>
      </c>
      <c r="W9" s="1475">
        <f t="shared" si="2"/>
        <v>100</v>
      </c>
      <c r="X9" s="1476"/>
      <c r="Y9" s="374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891"/>
      <c r="Q11" s="1115" t="str">
        <f t="shared" si="6"/>
        <v>容积率</v>
      </c>
      <c r="R11" s="1474" t="s">
        <v>8</v>
      </c>
      <c r="S11" s="1475" t="e">
        <f t="shared" si="0"/>
        <v>#N/A</v>
      </c>
      <c r="T11" s="1474" t="s">
        <v>8</v>
      </c>
      <c r="U11" s="1475" t="e">
        <f t="shared" si="1"/>
        <v>#N/A</v>
      </c>
      <c r="V11" s="1474" t="s">
        <v>8</v>
      </c>
      <c r="W11" s="1475" t="e">
        <f t="shared" si="2"/>
        <v>#N/A</v>
      </c>
      <c r="X11" s="1476"/>
      <c r="Y11" s="374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891"/>
      <c r="Q12" s="1115">
        <f t="shared" si="6"/>
        <v>111</v>
      </c>
      <c r="R12" s="1474" t="s">
        <v>8</v>
      </c>
      <c r="S12" s="1475">
        <f t="shared" si="0"/>
        <v>100</v>
      </c>
      <c r="T12" s="1474" t="s">
        <v>8</v>
      </c>
      <c r="U12" s="1475">
        <f t="shared" si="1"/>
        <v>100</v>
      </c>
      <c r="V12" s="1474" t="s">
        <v>8</v>
      </c>
      <c r="W12" s="1475">
        <f t="shared" si="2"/>
        <v>100</v>
      </c>
      <c r="X12" s="1476"/>
      <c r="Y12" s="3748"/>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891"/>
      <c r="Q13" s="1115">
        <f t="shared" si="6"/>
        <v>111</v>
      </c>
      <c r="R13" s="1474" t="s">
        <v>8</v>
      </c>
      <c r="S13" s="1475">
        <f t="shared" si="0"/>
        <v>100</v>
      </c>
      <c r="T13" s="1474" t="s">
        <v>8</v>
      </c>
      <c r="U13" s="1475">
        <f t="shared" si="1"/>
        <v>100</v>
      </c>
      <c r="V13" s="1474" t="s">
        <v>8</v>
      </c>
      <c r="W13" s="1475">
        <f t="shared" si="2"/>
        <v>100</v>
      </c>
      <c r="X13" s="1476"/>
      <c r="Y13" s="3748"/>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891"/>
      <c r="Q14" s="1115">
        <f t="shared" si="6"/>
        <v>111</v>
      </c>
      <c r="R14" s="1474" t="s">
        <v>8</v>
      </c>
      <c r="S14" s="1475">
        <f t="shared" si="0"/>
        <v>100</v>
      </c>
      <c r="T14" s="1474" t="s">
        <v>8</v>
      </c>
      <c r="U14" s="1475">
        <f t="shared" si="1"/>
        <v>100</v>
      </c>
      <c r="V14" s="1474" t="s">
        <v>8</v>
      </c>
      <c r="W14" s="1475">
        <f t="shared" si="2"/>
        <v>100</v>
      </c>
      <c r="X14" s="1476"/>
      <c r="Y14" s="3748"/>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894" t="s">
        <v>518</v>
      </c>
      <c r="Q15" s="1478" t="str">
        <f t="shared" si="6"/>
        <v>办公集聚程度</v>
      </c>
      <c r="R15" s="1479" t="s">
        <v>8</v>
      </c>
      <c r="S15" s="1480">
        <f t="shared" si="0"/>
        <v>100</v>
      </c>
      <c r="T15" s="1479" t="s">
        <v>8</v>
      </c>
      <c r="U15" s="1480">
        <f t="shared" si="1"/>
        <v>100</v>
      </c>
      <c r="V15" s="1479" t="s">
        <v>8</v>
      </c>
      <c r="W15" s="1480">
        <f t="shared" si="2"/>
        <v>100</v>
      </c>
      <c r="X15" s="1473"/>
      <c r="Y15" s="3894"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895"/>
      <c r="Q16" s="1478"/>
      <c r="R16" s="1479"/>
      <c r="S16" s="1480"/>
      <c r="T16" s="1479"/>
      <c r="U16" s="1480"/>
      <c r="V16" s="1479"/>
      <c r="W16" s="1480"/>
      <c r="X16" s="1473"/>
      <c r="Y16" s="3895"/>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895"/>
      <c r="Q17" s="1478" t="str">
        <f>B17</f>
        <v>交通便捷度</v>
      </c>
      <c r="R17" s="1479" t="s">
        <v>8</v>
      </c>
      <c r="S17" s="1480">
        <f>F17</f>
        <v>100</v>
      </c>
      <c r="T17" s="1479" t="s">
        <v>8</v>
      </c>
      <c r="U17" s="1480">
        <f>H17</f>
        <v>100</v>
      </c>
      <c r="V17" s="1479" t="s">
        <v>8</v>
      </c>
      <c r="W17" s="1480">
        <f>J17</f>
        <v>100</v>
      </c>
      <c r="X17" s="1473"/>
      <c r="Y17" s="3895"/>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895"/>
      <c r="Q18" s="1478"/>
      <c r="R18" s="1479"/>
      <c r="S18" s="1480"/>
      <c r="T18" s="1479"/>
      <c r="U18" s="1480"/>
      <c r="V18" s="1479"/>
      <c r="W18" s="1480"/>
      <c r="X18" s="1473"/>
      <c r="Y18" s="3895"/>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895"/>
      <c r="Q19" s="1478" t="str">
        <f>B19</f>
        <v>公共配套设施</v>
      </c>
      <c r="R19" s="1479" t="s">
        <v>8</v>
      </c>
      <c r="S19" s="1480">
        <f>F19</f>
        <v>100</v>
      </c>
      <c r="T19" s="1479" t="s">
        <v>8</v>
      </c>
      <c r="U19" s="1480">
        <f>H19</f>
        <v>100</v>
      </c>
      <c r="V19" s="1479" t="s">
        <v>8</v>
      </c>
      <c r="W19" s="1480">
        <f>J19</f>
        <v>100</v>
      </c>
      <c r="X19" s="1473"/>
      <c r="Y19" s="3895"/>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895"/>
      <c r="Q20" s="1478"/>
      <c r="R20" s="1479"/>
      <c r="S20" s="1480"/>
      <c r="T20" s="1479"/>
      <c r="U20" s="1480"/>
      <c r="V20" s="1479"/>
      <c r="W20" s="1480"/>
      <c r="X20" s="1473"/>
      <c r="Y20" s="3895"/>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895"/>
      <c r="Q21" s="2393" t="str">
        <f>B21</f>
        <v>基础设施水平</v>
      </c>
      <c r="R21" s="1479" t="s">
        <v>8</v>
      </c>
      <c r="S21" s="1480">
        <f>F21</f>
        <v>100</v>
      </c>
      <c r="T21" s="1479" t="s">
        <v>8</v>
      </c>
      <c r="U21" s="1480">
        <f>H21</f>
        <v>100</v>
      </c>
      <c r="V21" s="1479" t="s">
        <v>8</v>
      </c>
      <c r="W21" s="1480">
        <f>J21</f>
        <v>100</v>
      </c>
      <c r="X21" s="2395"/>
      <c r="Y21" s="3895"/>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895"/>
      <c r="Q22" s="2393"/>
      <c r="R22" s="1479"/>
      <c r="S22" s="1480"/>
      <c r="T22" s="1479"/>
      <c r="U22" s="1480"/>
      <c r="V22" s="1479"/>
      <c r="W22" s="1480"/>
      <c r="X22" s="2395"/>
      <c r="Y22" s="3895"/>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895"/>
      <c r="Q23" s="1478" t="str">
        <f>B23</f>
        <v>环境质量</v>
      </c>
      <c r="R23" s="1479" t="s">
        <v>8</v>
      </c>
      <c r="S23" s="1480">
        <f>F23</f>
        <v>100</v>
      </c>
      <c r="T23" s="1479" t="s">
        <v>8</v>
      </c>
      <c r="U23" s="1480">
        <f>H23</f>
        <v>100</v>
      </c>
      <c r="V23" s="1479" t="s">
        <v>8</v>
      </c>
      <c r="W23" s="1480">
        <f>J23</f>
        <v>100</v>
      </c>
      <c r="X23" s="1473"/>
      <c r="Y23" s="3895"/>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895"/>
      <c r="Q24" s="1478"/>
      <c r="R24" s="1479"/>
      <c r="S24" s="1480"/>
      <c r="T24" s="1479"/>
      <c r="U24" s="1480"/>
      <c r="V24" s="1479"/>
      <c r="W24" s="1480"/>
      <c r="X24" s="1473"/>
      <c r="Y24" s="3895"/>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895"/>
      <c r="Q25" s="1478" t="str">
        <f>B25</f>
        <v>毗邻道路的类型与等级</v>
      </c>
      <c r="R25" s="1479" t="s">
        <v>8</v>
      </c>
      <c r="S25" s="1480">
        <f>F25</f>
        <v>100</v>
      </c>
      <c r="T25" s="1479" t="s">
        <v>8</v>
      </c>
      <c r="U25" s="1480">
        <f>H25</f>
        <v>100</v>
      </c>
      <c r="V25" s="1479" t="s">
        <v>8</v>
      </c>
      <c r="W25" s="1480">
        <f>J25</f>
        <v>100</v>
      </c>
      <c r="X25" s="1473"/>
      <c r="Y25" s="3895"/>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895"/>
      <c r="Q26" s="1478"/>
      <c r="R26" s="1479"/>
      <c r="S26" s="1480"/>
      <c r="T26" s="1479"/>
      <c r="U26" s="1480"/>
      <c r="V26" s="1479"/>
      <c r="W26" s="1480"/>
      <c r="X26" s="1473"/>
      <c r="Y26" s="3895"/>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895"/>
      <c r="Q27" s="1478" t="str">
        <f t="shared" ref="Q27:Q47" si="11">B27</f>
        <v>楼层</v>
      </c>
      <c r="R27" s="1479" t="s">
        <v>8</v>
      </c>
      <c r="S27" s="1480">
        <f>F27</f>
        <v>100</v>
      </c>
      <c r="T27" s="1479" t="s">
        <v>8</v>
      </c>
      <c r="U27" s="1480">
        <f>H27</f>
        <v>100</v>
      </c>
      <c r="V27" s="1479" t="s">
        <v>8</v>
      </c>
      <c r="W27" s="1480">
        <f>J27</f>
        <v>100</v>
      </c>
      <c r="X27" s="1473"/>
      <c r="Y27" s="3895"/>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895"/>
      <c r="Q28" s="1115" t="str">
        <f t="shared" si="11"/>
        <v>朝向</v>
      </c>
      <c r="R28" s="1474" t="s">
        <v>8</v>
      </c>
      <c r="S28" s="1475">
        <f>F28</f>
        <v>100</v>
      </c>
      <c r="T28" s="1474" t="s">
        <v>8</v>
      </c>
      <c r="U28" s="1475">
        <f>H28</f>
        <v>100</v>
      </c>
      <c r="V28" s="1474" t="s">
        <v>8</v>
      </c>
      <c r="W28" s="1475">
        <f>J28</f>
        <v>100</v>
      </c>
      <c r="X28" s="1476"/>
      <c r="Y28" s="3895"/>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895"/>
      <c r="Q29" s="1478">
        <f t="shared" si="11"/>
        <v>111</v>
      </c>
      <c r="R29" s="1479" t="s">
        <v>8</v>
      </c>
      <c r="S29" s="1480">
        <f t="shared" ref="S29:S47" si="12">F29</f>
        <v>100</v>
      </c>
      <c r="T29" s="1479" t="s">
        <v>8</v>
      </c>
      <c r="U29" s="1480">
        <f t="shared" ref="U29:U47" si="13">H29</f>
        <v>100</v>
      </c>
      <c r="V29" s="1479" t="s">
        <v>8</v>
      </c>
      <c r="W29" s="1480">
        <f t="shared" ref="W29:W47" si="14">J29</f>
        <v>100</v>
      </c>
      <c r="X29" s="1473"/>
      <c r="Y29" s="3895"/>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895"/>
      <c r="Q30" s="1478">
        <f t="shared" si="11"/>
        <v>111</v>
      </c>
      <c r="R30" s="1479" t="s">
        <v>8</v>
      </c>
      <c r="S30" s="1480">
        <f t="shared" si="12"/>
        <v>100</v>
      </c>
      <c r="T30" s="1479" t="s">
        <v>8</v>
      </c>
      <c r="U30" s="1480">
        <f t="shared" si="13"/>
        <v>100</v>
      </c>
      <c r="V30" s="1479" t="s">
        <v>8</v>
      </c>
      <c r="W30" s="1480">
        <f t="shared" si="14"/>
        <v>100</v>
      </c>
      <c r="X30" s="1473"/>
      <c r="Y30" s="3895"/>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895"/>
      <c r="Q31" s="1478">
        <f t="shared" si="11"/>
        <v>111</v>
      </c>
      <c r="R31" s="1479" t="s">
        <v>8</v>
      </c>
      <c r="S31" s="1480">
        <f t="shared" si="12"/>
        <v>100</v>
      </c>
      <c r="T31" s="1479" t="s">
        <v>8</v>
      </c>
      <c r="U31" s="1480">
        <f t="shared" si="13"/>
        <v>100</v>
      </c>
      <c r="V31" s="1479" t="s">
        <v>8</v>
      </c>
      <c r="W31" s="1480">
        <f t="shared" si="14"/>
        <v>100</v>
      </c>
      <c r="X31" s="1473"/>
      <c r="Y31" s="3895"/>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895"/>
      <c r="Q32" s="1478">
        <f t="shared" si="11"/>
        <v>111</v>
      </c>
      <c r="R32" s="1479" t="s">
        <v>8</v>
      </c>
      <c r="S32" s="1480">
        <f t="shared" si="12"/>
        <v>100</v>
      </c>
      <c r="T32" s="1479" t="s">
        <v>8</v>
      </c>
      <c r="U32" s="1480">
        <f t="shared" si="13"/>
        <v>100</v>
      </c>
      <c r="V32" s="1479" t="s">
        <v>8</v>
      </c>
      <c r="W32" s="1480">
        <f t="shared" si="14"/>
        <v>100</v>
      </c>
      <c r="X32" s="1473"/>
      <c r="Y32" s="3895"/>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896" t="s">
        <v>528</v>
      </c>
      <c r="Q33" s="1478" t="str">
        <f t="shared" si="11"/>
        <v>建筑类型</v>
      </c>
      <c r="R33" s="1479" t="s">
        <v>8</v>
      </c>
      <c r="S33" s="1480">
        <f t="shared" si="12"/>
        <v>100</v>
      </c>
      <c r="T33" s="1479" t="s">
        <v>8</v>
      </c>
      <c r="U33" s="1480">
        <f t="shared" si="13"/>
        <v>100</v>
      </c>
      <c r="V33" s="1479" t="s">
        <v>8</v>
      </c>
      <c r="W33" s="1480">
        <f t="shared" si="14"/>
        <v>100</v>
      </c>
      <c r="X33" s="1473"/>
      <c r="Y33" s="3897"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897"/>
      <c r="Q34" s="1507" t="str">
        <f t="shared" si="11"/>
        <v>项目建筑规模</v>
      </c>
      <c r="R34" s="1483" t="s">
        <v>8</v>
      </c>
      <c r="S34" s="1484" t="e">
        <f t="shared" si="12"/>
        <v>#N/A</v>
      </c>
      <c r="T34" s="1483" t="s">
        <v>8</v>
      </c>
      <c r="U34" s="1484" t="e">
        <f t="shared" si="13"/>
        <v>#N/A</v>
      </c>
      <c r="V34" s="1483" t="s">
        <v>8</v>
      </c>
      <c r="W34" s="1484" t="e">
        <f t="shared" si="14"/>
        <v>#N/A</v>
      </c>
      <c r="X34" s="1485"/>
      <c r="Y34" s="3897"/>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897"/>
      <c r="Q35" s="1478" t="str">
        <f t="shared" si="11"/>
        <v>建筑结构</v>
      </c>
      <c r="R35" s="1479" t="s">
        <v>8</v>
      </c>
      <c r="S35" s="1480">
        <f t="shared" si="12"/>
        <v>100</v>
      </c>
      <c r="T35" s="1479" t="s">
        <v>8</v>
      </c>
      <c r="U35" s="1480">
        <f t="shared" si="13"/>
        <v>100</v>
      </c>
      <c r="V35" s="1479" t="s">
        <v>8</v>
      </c>
      <c r="W35" s="1480">
        <f t="shared" si="14"/>
        <v>100</v>
      </c>
      <c r="X35" s="1473"/>
      <c r="Y35" s="3897"/>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897"/>
      <c r="Q36" s="1478" t="str">
        <f t="shared" si="11"/>
        <v>公共部分装修</v>
      </c>
      <c r="R36" s="1479" t="s">
        <v>8</v>
      </c>
      <c r="S36" s="1480">
        <f t="shared" si="12"/>
        <v>100</v>
      </c>
      <c r="T36" s="1479" t="s">
        <v>8</v>
      </c>
      <c r="U36" s="1480">
        <f t="shared" si="13"/>
        <v>100</v>
      </c>
      <c r="V36" s="1479" t="s">
        <v>8</v>
      </c>
      <c r="W36" s="1480">
        <f t="shared" si="14"/>
        <v>100</v>
      </c>
      <c r="X36" s="1473"/>
      <c r="Y36" s="3897"/>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897"/>
      <c r="Q37" s="1478" t="str">
        <f t="shared" si="11"/>
        <v>成新度</v>
      </c>
      <c r="R37" s="1479" t="s">
        <v>8</v>
      </c>
      <c r="S37" s="1480" t="e">
        <f t="shared" si="12"/>
        <v>#N/A</v>
      </c>
      <c r="T37" s="1479" t="s">
        <v>8</v>
      </c>
      <c r="U37" s="1480" t="e">
        <f t="shared" si="13"/>
        <v>#N/A</v>
      </c>
      <c r="V37" s="1479" t="s">
        <v>8</v>
      </c>
      <c r="W37" s="1480" t="e">
        <f t="shared" si="14"/>
        <v>#N/A</v>
      </c>
      <c r="X37" s="1473"/>
      <c r="Y37" s="3897"/>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897"/>
      <c r="Q38" s="1115" t="str">
        <f t="shared" si="11"/>
        <v>写字楼等级</v>
      </c>
      <c r="R38" s="1474" t="s">
        <v>8</v>
      </c>
      <c r="S38" s="1475">
        <f t="shared" si="12"/>
        <v>100</v>
      </c>
      <c r="T38" s="1474" t="s">
        <v>8</v>
      </c>
      <c r="U38" s="1475">
        <f t="shared" si="13"/>
        <v>100</v>
      </c>
      <c r="V38" s="1474" t="s">
        <v>8</v>
      </c>
      <c r="W38" s="1475">
        <f t="shared" si="14"/>
        <v>100</v>
      </c>
      <c r="X38" s="1476"/>
      <c r="Y38" s="3897"/>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897" t="s">
        <v>528</v>
      </c>
      <c r="Q39" s="1478" t="str">
        <f t="shared" si="11"/>
        <v>物业管理</v>
      </c>
      <c r="R39" s="1479" t="s">
        <v>8</v>
      </c>
      <c r="S39" s="1480">
        <f t="shared" si="12"/>
        <v>100</v>
      </c>
      <c r="T39" s="1479" t="s">
        <v>8</v>
      </c>
      <c r="U39" s="1480">
        <f t="shared" si="13"/>
        <v>100</v>
      </c>
      <c r="V39" s="1479" t="s">
        <v>8</v>
      </c>
      <c r="W39" s="1480">
        <f t="shared" si="14"/>
        <v>100</v>
      </c>
      <c r="X39" s="1473"/>
      <c r="Y39" s="3897"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897"/>
      <c r="Q40" s="1478" t="str">
        <f t="shared" si="11"/>
        <v>市政基础设施</v>
      </c>
      <c r="R40" s="1479" t="s">
        <v>8</v>
      </c>
      <c r="S40" s="1480">
        <f t="shared" si="12"/>
        <v>100</v>
      </c>
      <c r="T40" s="1479" t="s">
        <v>8</v>
      </c>
      <c r="U40" s="1480">
        <f t="shared" si="13"/>
        <v>100</v>
      </c>
      <c r="V40" s="1479" t="s">
        <v>8</v>
      </c>
      <c r="W40" s="1480">
        <f t="shared" si="14"/>
        <v>100</v>
      </c>
      <c r="X40" s="1473"/>
      <c r="Y40" s="3897"/>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897"/>
      <c r="Q41" s="1478" t="str">
        <f t="shared" si="11"/>
        <v>层高</v>
      </c>
      <c r="R41" s="1479" t="s">
        <v>8</v>
      </c>
      <c r="S41" s="1480">
        <f t="shared" si="12"/>
        <v>100</v>
      </c>
      <c r="T41" s="1479" t="s">
        <v>8</v>
      </c>
      <c r="U41" s="1480">
        <f t="shared" si="13"/>
        <v>100</v>
      </c>
      <c r="V41" s="1479" t="s">
        <v>8</v>
      </c>
      <c r="W41" s="1480">
        <f t="shared" si="14"/>
        <v>100</v>
      </c>
      <c r="X41" s="1473"/>
      <c r="Y41" s="3897"/>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897"/>
      <c r="Q42" s="1507" t="str">
        <f t="shared" si="11"/>
        <v>单套建筑面积</v>
      </c>
      <c r="R42" s="1483" t="s">
        <v>8</v>
      </c>
      <c r="S42" s="1484">
        <f t="shared" si="12"/>
        <v>100</v>
      </c>
      <c r="T42" s="1483" t="s">
        <v>8</v>
      </c>
      <c r="U42" s="1484">
        <f t="shared" si="13"/>
        <v>100</v>
      </c>
      <c r="V42" s="1483" t="s">
        <v>8</v>
      </c>
      <c r="W42" s="1484">
        <f t="shared" si="14"/>
        <v>100</v>
      </c>
      <c r="X42" s="1485"/>
      <c r="Y42" s="3897"/>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897"/>
      <c r="Q43" s="1478" t="str">
        <f t="shared" si="11"/>
        <v>内部装修</v>
      </c>
      <c r="R43" s="1479" t="s">
        <v>8</v>
      </c>
      <c r="S43" s="1480">
        <f t="shared" si="12"/>
        <v>100</v>
      </c>
      <c r="T43" s="1479" t="s">
        <v>8</v>
      </c>
      <c r="U43" s="1480">
        <f t="shared" si="13"/>
        <v>100</v>
      </c>
      <c r="V43" s="1479" t="s">
        <v>8</v>
      </c>
      <c r="W43" s="1480">
        <f t="shared" si="14"/>
        <v>100</v>
      </c>
      <c r="X43" s="1473"/>
      <c r="Y43" s="3897"/>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897"/>
      <c r="Q44" s="1478" t="str">
        <f t="shared" si="11"/>
        <v>内部装修维护情况</v>
      </c>
      <c r="R44" s="1479" t="s">
        <v>8</v>
      </c>
      <c r="S44" s="1480">
        <f t="shared" si="12"/>
        <v>100</v>
      </c>
      <c r="T44" s="1479" t="s">
        <v>8</v>
      </c>
      <c r="U44" s="1480">
        <f t="shared" si="13"/>
        <v>100</v>
      </c>
      <c r="V44" s="1479" t="s">
        <v>8</v>
      </c>
      <c r="W44" s="1480">
        <f t="shared" si="14"/>
        <v>100</v>
      </c>
      <c r="X44" s="1473"/>
      <c r="Y44" s="3897"/>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897"/>
      <c r="Q45" s="1115">
        <f t="shared" si="11"/>
        <v>111</v>
      </c>
      <c r="R45" s="1474" t="s">
        <v>8</v>
      </c>
      <c r="S45" s="1475">
        <f t="shared" si="12"/>
        <v>100</v>
      </c>
      <c r="T45" s="1474" t="s">
        <v>8</v>
      </c>
      <c r="U45" s="1475">
        <f t="shared" si="13"/>
        <v>100</v>
      </c>
      <c r="V45" s="1474" t="s">
        <v>8</v>
      </c>
      <c r="W45" s="1475">
        <f t="shared" si="14"/>
        <v>100</v>
      </c>
      <c r="X45" s="1476"/>
      <c r="Y45" s="3897"/>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897"/>
      <c r="Q46" s="1478">
        <f t="shared" si="11"/>
        <v>111</v>
      </c>
      <c r="R46" s="1479" t="s">
        <v>8</v>
      </c>
      <c r="S46" s="1480">
        <f t="shared" si="12"/>
        <v>100</v>
      </c>
      <c r="T46" s="1479" t="s">
        <v>8</v>
      </c>
      <c r="U46" s="1480">
        <f t="shared" si="13"/>
        <v>100</v>
      </c>
      <c r="V46" s="1479" t="s">
        <v>8</v>
      </c>
      <c r="W46" s="1480">
        <f t="shared" si="14"/>
        <v>100</v>
      </c>
      <c r="X46" s="1473"/>
      <c r="Y46" s="3897"/>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89"/>
      <c r="Q47" s="1478">
        <f t="shared" si="11"/>
        <v>111</v>
      </c>
      <c r="R47" s="1479" t="s">
        <v>8</v>
      </c>
      <c r="S47" s="1480">
        <f t="shared" si="12"/>
        <v>100</v>
      </c>
      <c r="T47" s="1479" t="s">
        <v>8</v>
      </c>
      <c r="U47" s="1480">
        <f t="shared" si="13"/>
        <v>100</v>
      </c>
      <c r="V47" s="1479" t="s">
        <v>8</v>
      </c>
      <c r="W47" s="1480">
        <f t="shared" si="14"/>
        <v>100</v>
      </c>
      <c r="X47" s="1473"/>
      <c r="Y47" s="3989"/>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889" t="str">
        <f>A48</f>
        <v>成交单价（元/平方米）</v>
      </c>
      <c r="Q48" s="3891"/>
      <c r="R48" s="3988">
        <f>E48</f>
        <v>0</v>
      </c>
      <c r="S48" s="3988"/>
      <c r="T48" s="3988">
        <f>G48</f>
        <v>0</v>
      </c>
      <c r="U48" s="3988"/>
      <c r="V48" s="3988">
        <f>I48</f>
        <v>0</v>
      </c>
      <c r="W48" s="3988"/>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889" t="str">
        <f>A49</f>
        <v>比较价格（元/平方米）</v>
      </c>
      <c r="Q49" s="3891"/>
      <c r="R49" s="3988" t="e">
        <f>IF(F1="售价",ROUND(PRODUCT(R48,AA7:AA47),0),ROUND(PRODUCT(R48,AA7:AA47),1))</f>
        <v>#DIV/0!</v>
      </c>
      <c r="S49" s="3988"/>
      <c r="T49" s="3988" t="e">
        <f>IF(F1="售价",ROUND(PRODUCT(T48,AB7:AB47),0),ROUND(PRODUCT(T48,AB7:AB47),1))</f>
        <v>#DIV/0!</v>
      </c>
      <c r="U49" s="3988"/>
      <c r="V49" s="3988" t="e">
        <f>IF(F1="售价",ROUND(PRODUCT(V48,AC7:AC47),0),ROUND(PRODUCT(V48,AC7:AC47),1))</f>
        <v>#DIV/0!</v>
      </c>
      <c r="W49" s="3988"/>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3993" t="str">
        <f>A50</f>
        <v>估价对象XX用房的比较价格（楼面单价，元/平方米）</v>
      </c>
      <c r="Q50" s="3889"/>
      <c r="R50" s="3987" t="e">
        <f>IF(F1="售价",ROUND(IF(D49="简单平均",AVERAGE(R49:V49),R49*F49+T49*H49+V49*J49),0),ROUND(IF(D49="简单平均",AVERAGE(R49:V49),R49*F49+T49*H49+V49*J49),1))</f>
        <v>#DIV/0!</v>
      </c>
      <c r="S50" s="3987"/>
      <c r="T50" s="3987"/>
      <c r="U50" s="3987"/>
      <c r="V50" s="3987"/>
      <c r="W50" s="3987"/>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03" t="s">
        <v>500</v>
      </c>
      <c r="D4" s="3904"/>
      <c r="E4" s="3905" t="s">
        <v>501</v>
      </c>
      <c r="F4" s="3906"/>
      <c r="G4" s="3903" t="s">
        <v>502</v>
      </c>
      <c r="H4" s="3904"/>
      <c r="I4" s="3903" t="s">
        <v>503</v>
      </c>
      <c r="J4" s="3904"/>
      <c r="K4" s="489" t="s">
        <v>504</v>
      </c>
      <c r="L4" s="1983"/>
      <c r="M4" s="1984"/>
      <c r="N4" s="1984"/>
      <c r="O4" s="1984"/>
      <c r="P4" s="3907" t="s">
        <v>505</v>
      </c>
      <c r="Q4" s="3908"/>
      <c r="R4" s="3913" t="s">
        <v>501</v>
      </c>
      <c r="S4" s="3914"/>
      <c r="T4" s="3913" t="s">
        <v>502</v>
      </c>
      <c r="U4" s="3914"/>
      <c r="V4" s="3893" t="s">
        <v>503</v>
      </c>
      <c r="W4" s="3893"/>
      <c r="X4" s="1473"/>
      <c r="Y4" s="3913" t="s">
        <v>505</v>
      </c>
      <c r="Z4" s="3914"/>
      <c r="AA4" s="3900" t="s">
        <v>501</v>
      </c>
      <c r="AB4" s="3901" t="s">
        <v>502</v>
      </c>
      <c r="AC4" s="3900" t="s">
        <v>503</v>
      </c>
    </row>
    <row r="5" spans="1:29" ht="15">
      <c r="A5" s="490"/>
      <c r="B5" s="491"/>
      <c r="C5" s="3921" t="s">
        <v>2867</v>
      </c>
      <c r="D5" s="3922"/>
      <c r="E5" s="3919" t="s">
        <v>2868</v>
      </c>
      <c r="F5" s="3920"/>
      <c r="G5" s="3921" t="s">
        <v>2869</v>
      </c>
      <c r="H5" s="3922"/>
      <c r="I5" s="3921" t="s">
        <v>2870</v>
      </c>
      <c r="J5" s="3922"/>
      <c r="K5" s="489"/>
      <c r="L5" s="1983"/>
      <c r="M5" s="1984"/>
      <c r="N5" s="1984"/>
      <c r="O5" s="1984"/>
      <c r="P5" s="3909"/>
      <c r="Q5" s="3910"/>
      <c r="R5" s="3915"/>
      <c r="S5" s="3916"/>
      <c r="T5" s="3915"/>
      <c r="U5" s="3916"/>
      <c r="V5" s="3893"/>
      <c r="W5" s="3893"/>
      <c r="X5" s="1473"/>
      <c r="Y5" s="3915"/>
      <c r="Z5" s="3916"/>
      <c r="AA5" s="3901"/>
      <c r="AB5" s="3901"/>
      <c r="AC5" s="3901"/>
    </row>
    <row r="6" spans="1:29" ht="15.75" thickBot="1">
      <c r="A6" s="492"/>
      <c r="B6" s="493"/>
      <c r="C6" s="3923" t="s">
        <v>2871</v>
      </c>
      <c r="D6" s="3924"/>
      <c r="E6" s="3926" t="s">
        <v>2871</v>
      </c>
      <c r="F6" s="3927"/>
      <c r="G6" s="3923" t="s">
        <v>2871</v>
      </c>
      <c r="H6" s="3924"/>
      <c r="I6" s="3923" t="s">
        <v>2871</v>
      </c>
      <c r="J6" s="3924"/>
      <c r="K6" s="489" t="s">
        <v>506</v>
      </c>
      <c r="L6" s="1983"/>
      <c r="M6" s="1984"/>
      <c r="N6" s="1984"/>
      <c r="O6" s="1984"/>
      <c r="P6" s="3911"/>
      <c r="Q6" s="3912"/>
      <c r="R6" s="3915"/>
      <c r="S6" s="3916"/>
      <c r="T6" s="3917"/>
      <c r="U6" s="3918"/>
      <c r="V6" s="3893"/>
      <c r="W6" s="3893"/>
      <c r="X6" s="1473"/>
      <c r="Y6" s="3917"/>
      <c r="Z6" s="3918"/>
      <c r="AA6" s="3902"/>
      <c r="AB6" s="3902"/>
      <c r="AC6" s="3902"/>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98" t="s">
        <v>508</v>
      </c>
      <c r="Q7" s="3925"/>
      <c r="R7" s="1474" t="s">
        <v>8</v>
      </c>
      <c r="S7" s="1475">
        <f t="shared" ref="S7:S15" si="0">F7</f>
        <v>0</v>
      </c>
      <c r="T7" s="1474" t="s">
        <v>8</v>
      </c>
      <c r="U7" s="1475">
        <f t="shared" ref="U7:U15" si="1">H7</f>
        <v>0</v>
      </c>
      <c r="V7" s="1474" t="s">
        <v>8</v>
      </c>
      <c r="W7" s="1475">
        <f t="shared" ref="W7:W15"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98" t="s">
        <v>511</v>
      </c>
      <c r="Q8" s="3899"/>
      <c r="R8" s="1474" t="s">
        <v>8</v>
      </c>
      <c r="S8" s="1475">
        <f t="shared" si="0"/>
        <v>0</v>
      </c>
      <c r="T8" s="1474" t="s">
        <v>8</v>
      </c>
      <c r="U8" s="1475">
        <f t="shared" si="1"/>
        <v>0</v>
      </c>
      <c r="V8" s="1474" t="s">
        <v>8</v>
      </c>
      <c r="W8" s="1475">
        <f t="shared" si="2"/>
        <v>0</v>
      </c>
      <c r="X8" s="1476"/>
      <c r="Y8" s="3898" t="s">
        <v>511</v>
      </c>
      <c r="Z8" s="3899"/>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891" t="s">
        <v>513</v>
      </c>
      <c r="Q9" s="1115" t="str">
        <f t="shared" ref="Q9:Q15" si="6">B9</f>
        <v>用途</v>
      </c>
      <c r="R9" s="1474" t="s">
        <v>8</v>
      </c>
      <c r="S9" s="1475">
        <f t="shared" si="0"/>
        <v>100</v>
      </c>
      <c r="T9" s="1474" t="s">
        <v>8</v>
      </c>
      <c r="U9" s="1475">
        <f t="shared" si="1"/>
        <v>100</v>
      </c>
      <c r="V9" s="1474" t="s">
        <v>8</v>
      </c>
      <c r="W9" s="1475">
        <f t="shared" si="2"/>
        <v>100</v>
      </c>
      <c r="X9" s="1476"/>
      <c r="Y9" s="374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891"/>
      <c r="Q11" s="1115" t="str">
        <f t="shared" si="6"/>
        <v>容积率</v>
      </c>
      <c r="R11" s="1474" t="s">
        <v>8</v>
      </c>
      <c r="S11" s="1475" t="e">
        <f t="shared" si="0"/>
        <v>#N/A</v>
      </c>
      <c r="T11" s="1474" t="s">
        <v>8</v>
      </c>
      <c r="U11" s="1475" t="e">
        <f t="shared" si="1"/>
        <v>#N/A</v>
      </c>
      <c r="V11" s="1474" t="s">
        <v>8</v>
      </c>
      <c r="W11" s="1475" t="e">
        <f t="shared" si="2"/>
        <v>#N/A</v>
      </c>
      <c r="X11" s="1476"/>
      <c r="Y11" s="374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891"/>
      <c r="Q12" s="1115">
        <f t="shared" si="6"/>
        <v>111</v>
      </c>
      <c r="R12" s="1474" t="s">
        <v>8</v>
      </c>
      <c r="S12" s="1475">
        <f t="shared" si="0"/>
        <v>100</v>
      </c>
      <c r="T12" s="1474" t="s">
        <v>8</v>
      </c>
      <c r="U12" s="1475">
        <f t="shared" si="1"/>
        <v>100</v>
      </c>
      <c r="V12" s="1474" t="s">
        <v>8</v>
      </c>
      <c r="W12" s="1475">
        <f t="shared" si="2"/>
        <v>100</v>
      </c>
      <c r="X12" s="1476"/>
      <c r="Y12" s="3748"/>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891"/>
      <c r="Q13" s="1115">
        <f t="shared" si="6"/>
        <v>111</v>
      </c>
      <c r="R13" s="1474" t="s">
        <v>8</v>
      </c>
      <c r="S13" s="1475">
        <f t="shared" si="0"/>
        <v>100</v>
      </c>
      <c r="T13" s="1474" t="s">
        <v>8</v>
      </c>
      <c r="U13" s="1475">
        <f t="shared" si="1"/>
        <v>100</v>
      </c>
      <c r="V13" s="1474" t="s">
        <v>8</v>
      </c>
      <c r="W13" s="1475">
        <f t="shared" si="2"/>
        <v>100</v>
      </c>
      <c r="X13" s="1476"/>
      <c r="Y13" s="3748"/>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891"/>
      <c r="Q14" s="1115">
        <f t="shared" si="6"/>
        <v>111</v>
      </c>
      <c r="R14" s="1474" t="s">
        <v>8</v>
      </c>
      <c r="S14" s="1475">
        <f t="shared" si="0"/>
        <v>100</v>
      </c>
      <c r="T14" s="1474" t="s">
        <v>8</v>
      </c>
      <c r="U14" s="1475">
        <f t="shared" si="1"/>
        <v>100</v>
      </c>
      <c r="V14" s="1474" t="s">
        <v>8</v>
      </c>
      <c r="W14" s="1475">
        <f t="shared" si="2"/>
        <v>100</v>
      </c>
      <c r="X14" s="1476"/>
      <c r="Y14" s="3748"/>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894" t="s">
        <v>518</v>
      </c>
      <c r="Q15" s="1478" t="str">
        <f t="shared" si="6"/>
        <v>产业集聚程度</v>
      </c>
      <c r="R15" s="1479" t="s">
        <v>8</v>
      </c>
      <c r="S15" s="1480">
        <f t="shared" si="0"/>
        <v>100</v>
      </c>
      <c r="T15" s="1479" t="s">
        <v>8</v>
      </c>
      <c r="U15" s="1480">
        <f t="shared" si="1"/>
        <v>100</v>
      </c>
      <c r="V15" s="1479" t="s">
        <v>8</v>
      </c>
      <c r="W15" s="1480">
        <f t="shared" si="2"/>
        <v>100</v>
      </c>
      <c r="X15" s="1473"/>
      <c r="Y15" s="3894"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5"/>
      <c r="Q16" s="1478"/>
      <c r="R16" s="1479"/>
      <c r="S16" s="1480"/>
      <c r="T16" s="1479"/>
      <c r="U16" s="1480"/>
      <c r="V16" s="1479"/>
      <c r="W16" s="1480"/>
      <c r="X16" s="1473"/>
      <c r="Y16" s="3895"/>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895"/>
      <c r="Q17" s="1478" t="str">
        <f>B17</f>
        <v>交通便捷度</v>
      </c>
      <c r="R17" s="1479" t="s">
        <v>8</v>
      </c>
      <c r="S17" s="1480">
        <f>F17</f>
        <v>100</v>
      </c>
      <c r="T17" s="1479" t="s">
        <v>8</v>
      </c>
      <c r="U17" s="1480">
        <f>H17</f>
        <v>100</v>
      </c>
      <c r="V17" s="1479" t="s">
        <v>8</v>
      </c>
      <c r="W17" s="1480">
        <f>J17</f>
        <v>100</v>
      </c>
      <c r="X17" s="1473"/>
      <c r="Y17" s="389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5"/>
      <c r="Q18" s="1478"/>
      <c r="R18" s="1479"/>
      <c r="S18" s="1480"/>
      <c r="T18" s="1479"/>
      <c r="U18" s="1480"/>
      <c r="V18" s="1479"/>
      <c r="W18" s="1480"/>
      <c r="X18" s="1473"/>
      <c r="Y18" s="3895"/>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895"/>
      <c r="Q19" s="1478" t="str">
        <f>B19</f>
        <v>公共配套设施</v>
      </c>
      <c r="R19" s="1479" t="s">
        <v>8</v>
      </c>
      <c r="S19" s="1480">
        <f>F19</f>
        <v>100</v>
      </c>
      <c r="T19" s="1479" t="s">
        <v>8</v>
      </c>
      <c r="U19" s="1480">
        <f>H19</f>
        <v>100</v>
      </c>
      <c r="V19" s="1479" t="s">
        <v>8</v>
      </c>
      <c r="W19" s="1480">
        <f>J19</f>
        <v>100</v>
      </c>
      <c r="X19" s="1473"/>
      <c r="Y19" s="3895"/>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895"/>
      <c r="Q20" s="1478"/>
      <c r="R20" s="1479"/>
      <c r="S20" s="1480"/>
      <c r="T20" s="1479"/>
      <c r="U20" s="1480"/>
      <c r="V20" s="1479"/>
      <c r="W20" s="1480"/>
      <c r="X20" s="1473"/>
      <c r="Y20" s="3895"/>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895"/>
      <c r="Q21" s="2393" t="str">
        <f>B21</f>
        <v>基础设施水平</v>
      </c>
      <c r="R21" s="1479" t="s">
        <v>8</v>
      </c>
      <c r="S21" s="1480">
        <f>F21</f>
        <v>100</v>
      </c>
      <c r="T21" s="1479" t="s">
        <v>8</v>
      </c>
      <c r="U21" s="1480">
        <f>H21</f>
        <v>100</v>
      </c>
      <c r="V21" s="1479" t="s">
        <v>8</v>
      </c>
      <c r="W21" s="1480">
        <f>J21</f>
        <v>100</v>
      </c>
      <c r="X21" s="2395"/>
      <c r="Y21" s="3895"/>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895"/>
      <c r="Q22" s="2393"/>
      <c r="R22" s="1479"/>
      <c r="S22" s="1480"/>
      <c r="T22" s="1479"/>
      <c r="U22" s="1480"/>
      <c r="V22" s="1479"/>
      <c r="W22" s="1480"/>
      <c r="X22" s="2395"/>
      <c r="Y22" s="3895"/>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895"/>
      <c r="Q23" s="1478" t="str">
        <f>B23</f>
        <v>环境质量</v>
      </c>
      <c r="R23" s="1479" t="s">
        <v>8</v>
      </c>
      <c r="S23" s="1480">
        <f>F23</f>
        <v>100</v>
      </c>
      <c r="T23" s="1479" t="s">
        <v>8</v>
      </c>
      <c r="U23" s="1480">
        <f>H23</f>
        <v>100</v>
      </c>
      <c r="V23" s="1479" t="s">
        <v>8</v>
      </c>
      <c r="W23" s="1480">
        <f>J23</f>
        <v>100</v>
      </c>
      <c r="X23" s="1473"/>
      <c r="Y23" s="3895"/>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895"/>
      <c r="Q24" s="1478"/>
      <c r="R24" s="1479"/>
      <c r="S24" s="1480"/>
      <c r="T24" s="1479"/>
      <c r="U24" s="1480"/>
      <c r="V24" s="1479"/>
      <c r="W24" s="1480"/>
      <c r="X24" s="1473"/>
      <c r="Y24" s="3895"/>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895"/>
      <c r="Q25" s="1478">
        <f>B25</f>
        <v>111</v>
      </c>
      <c r="R25" s="1479" t="s">
        <v>8</v>
      </c>
      <c r="S25" s="1480">
        <f>F25</f>
        <v>100</v>
      </c>
      <c r="T25" s="1479" t="s">
        <v>8</v>
      </c>
      <c r="U25" s="1480">
        <f>H25</f>
        <v>100</v>
      </c>
      <c r="V25" s="1479" t="s">
        <v>8</v>
      </c>
      <c r="W25" s="1480">
        <f>J25</f>
        <v>100</v>
      </c>
      <c r="X25" s="1473"/>
      <c r="Y25" s="3895"/>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895"/>
      <c r="Q26" s="1478">
        <f t="shared" ref="Q26:Q40" si="11">B26</f>
        <v>111</v>
      </c>
      <c r="R26" s="1479" t="s">
        <v>8</v>
      </c>
      <c r="S26" s="1480">
        <f>F26</f>
        <v>100</v>
      </c>
      <c r="T26" s="1479" t="s">
        <v>8</v>
      </c>
      <c r="U26" s="1480">
        <f>H26</f>
        <v>100</v>
      </c>
      <c r="V26" s="1479" t="s">
        <v>8</v>
      </c>
      <c r="W26" s="1480">
        <f>J26</f>
        <v>100</v>
      </c>
      <c r="X26" s="1473"/>
      <c r="Y26" s="3895"/>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895"/>
      <c r="Q27" s="1115">
        <f t="shared" si="11"/>
        <v>111</v>
      </c>
      <c r="R27" s="1474" t="s">
        <v>8</v>
      </c>
      <c r="S27" s="1475">
        <f>F27</f>
        <v>100</v>
      </c>
      <c r="T27" s="1474" t="s">
        <v>8</v>
      </c>
      <c r="U27" s="1475">
        <f>H27</f>
        <v>100</v>
      </c>
      <c r="V27" s="1474" t="s">
        <v>8</v>
      </c>
      <c r="W27" s="1475">
        <f>J27</f>
        <v>100</v>
      </c>
      <c r="X27" s="1476"/>
      <c r="Y27" s="3895"/>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895"/>
      <c r="Q28" s="1478">
        <f t="shared" si="11"/>
        <v>111</v>
      </c>
      <c r="R28" s="1479" t="s">
        <v>8</v>
      </c>
      <c r="S28" s="1480">
        <f t="shared" ref="S28:S40" si="12">F28</f>
        <v>100</v>
      </c>
      <c r="T28" s="1479" t="s">
        <v>8</v>
      </c>
      <c r="U28" s="1480">
        <f t="shared" ref="U28:U40" si="13">H28</f>
        <v>100</v>
      </c>
      <c r="V28" s="1479" t="s">
        <v>8</v>
      </c>
      <c r="W28" s="1480">
        <f t="shared" ref="W28:W40" si="14">J28</f>
        <v>100</v>
      </c>
      <c r="X28" s="1473"/>
      <c r="Y28" s="3895"/>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896" t="s">
        <v>528</v>
      </c>
      <c r="Q29" s="1478" t="str">
        <f t="shared" si="11"/>
        <v>建筑类型</v>
      </c>
      <c r="R29" s="1479" t="s">
        <v>8</v>
      </c>
      <c r="S29" s="1480">
        <f t="shared" si="12"/>
        <v>100</v>
      </c>
      <c r="T29" s="1479" t="s">
        <v>8</v>
      </c>
      <c r="U29" s="1480">
        <f t="shared" si="13"/>
        <v>100</v>
      </c>
      <c r="V29" s="1479" t="s">
        <v>8</v>
      </c>
      <c r="W29" s="1480">
        <f t="shared" si="14"/>
        <v>100</v>
      </c>
      <c r="X29" s="1473"/>
      <c r="Y29" s="3897"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897"/>
      <c r="Q30" s="1507" t="str">
        <f t="shared" si="11"/>
        <v>项目建筑规模</v>
      </c>
      <c r="R30" s="1483" t="s">
        <v>8</v>
      </c>
      <c r="S30" s="1484" t="e">
        <f t="shared" si="12"/>
        <v>#N/A</v>
      </c>
      <c r="T30" s="1483" t="s">
        <v>8</v>
      </c>
      <c r="U30" s="1484" t="e">
        <f t="shared" si="13"/>
        <v>#N/A</v>
      </c>
      <c r="V30" s="1483" t="s">
        <v>8</v>
      </c>
      <c r="W30" s="1484" t="e">
        <f t="shared" si="14"/>
        <v>#N/A</v>
      </c>
      <c r="X30" s="1485"/>
      <c r="Y30" s="3897"/>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897"/>
      <c r="Q31" s="1478" t="str">
        <f t="shared" si="11"/>
        <v>建筑结构</v>
      </c>
      <c r="R31" s="1479" t="s">
        <v>8</v>
      </c>
      <c r="S31" s="1480">
        <f t="shared" si="12"/>
        <v>100</v>
      </c>
      <c r="T31" s="1479" t="s">
        <v>8</v>
      </c>
      <c r="U31" s="1480">
        <f t="shared" si="13"/>
        <v>100</v>
      </c>
      <c r="V31" s="1479" t="s">
        <v>8</v>
      </c>
      <c r="W31" s="1480">
        <f t="shared" si="14"/>
        <v>100</v>
      </c>
      <c r="X31" s="1473"/>
      <c r="Y31" s="3897"/>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897"/>
      <c r="Q32" s="1478" t="str">
        <f t="shared" si="11"/>
        <v>公共部分装修</v>
      </c>
      <c r="R32" s="1479" t="s">
        <v>8</v>
      </c>
      <c r="S32" s="1480">
        <f t="shared" si="12"/>
        <v>100</v>
      </c>
      <c r="T32" s="1479" t="s">
        <v>8</v>
      </c>
      <c r="U32" s="1480">
        <f t="shared" si="13"/>
        <v>100</v>
      </c>
      <c r="V32" s="1479" t="s">
        <v>8</v>
      </c>
      <c r="W32" s="1480">
        <f t="shared" si="14"/>
        <v>100</v>
      </c>
      <c r="X32" s="1473"/>
      <c r="Y32" s="3897"/>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897"/>
      <c r="Q33" s="1478" t="str">
        <f t="shared" si="11"/>
        <v>成新度</v>
      </c>
      <c r="R33" s="1479" t="s">
        <v>8</v>
      </c>
      <c r="S33" s="1480" t="e">
        <f t="shared" si="12"/>
        <v>#N/A</v>
      </c>
      <c r="T33" s="1479" t="s">
        <v>8</v>
      </c>
      <c r="U33" s="1480" t="e">
        <f t="shared" si="13"/>
        <v>#N/A</v>
      </c>
      <c r="V33" s="1479" t="s">
        <v>8</v>
      </c>
      <c r="W33" s="1480" t="e">
        <f t="shared" si="14"/>
        <v>#N/A</v>
      </c>
      <c r="X33" s="1473"/>
      <c r="Y33" s="3897"/>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897"/>
      <c r="Q34" s="1115" t="str">
        <f t="shared" si="11"/>
        <v>物业管理</v>
      </c>
      <c r="R34" s="1474" t="s">
        <v>8</v>
      </c>
      <c r="S34" s="1475">
        <f t="shared" si="12"/>
        <v>100</v>
      </c>
      <c r="T34" s="1474" t="s">
        <v>8</v>
      </c>
      <c r="U34" s="1475">
        <f t="shared" si="13"/>
        <v>100</v>
      </c>
      <c r="V34" s="1474" t="s">
        <v>8</v>
      </c>
      <c r="W34" s="1475">
        <f t="shared" si="14"/>
        <v>100</v>
      </c>
      <c r="X34" s="1476"/>
      <c r="Y34" s="3897"/>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897" t="s">
        <v>528</v>
      </c>
      <c r="Q35" s="1478" t="str">
        <f t="shared" si="11"/>
        <v>市政基础设施</v>
      </c>
      <c r="R35" s="1479" t="s">
        <v>8</v>
      </c>
      <c r="S35" s="1480">
        <f t="shared" si="12"/>
        <v>100</v>
      </c>
      <c r="T35" s="1479" t="s">
        <v>8</v>
      </c>
      <c r="U35" s="1480">
        <f t="shared" si="13"/>
        <v>100</v>
      </c>
      <c r="V35" s="1479" t="s">
        <v>8</v>
      </c>
      <c r="W35" s="1480">
        <f t="shared" si="14"/>
        <v>100</v>
      </c>
      <c r="X35" s="1473"/>
      <c r="Y35" s="3897"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897"/>
      <c r="Q36" s="1478" t="str">
        <f t="shared" si="11"/>
        <v>内部装修</v>
      </c>
      <c r="R36" s="1479" t="s">
        <v>8</v>
      </c>
      <c r="S36" s="1480">
        <f t="shared" si="12"/>
        <v>100</v>
      </c>
      <c r="T36" s="1479" t="s">
        <v>8</v>
      </c>
      <c r="U36" s="1480">
        <f t="shared" si="13"/>
        <v>100</v>
      </c>
      <c r="V36" s="1479" t="s">
        <v>8</v>
      </c>
      <c r="W36" s="1480">
        <f t="shared" si="14"/>
        <v>100</v>
      </c>
      <c r="X36" s="1473"/>
      <c r="Y36" s="3897"/>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897"/>
      <c r="Q37" s="1478" t="str">
        <f t="shared" si="11"/>
        <v>内部装修状况</v>
      </c>
      <c r="R37" s="1479" t="s">
        <v>8</v>
      </c>
      <c r="S37" s="1480">
        <f t="shared" si="12"/>
        <v>100</v>
      </c>
      <c r="T37" s="1479" t="s">
        <v>8</v>
      </c>
      <c r="U37" s="1480">
        <f t="shared" si="13"/>
        <v>100</v>
      </c>
      <c r="V37" s="1479" t="s">
        <v>8</v>
      </c>
      <c r="W37" s="1480">
        <f t="shared" si="14"/>
        <v>100</v>
      </c>
      <c r="X37" s="1473"/>
      <c r="Y37" s="3897"/>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897"/>
      <c r="Q38" s="1507">
        <f t="shared" si="11"/>
        <v>111</v>
      </c>
      <c r="R38" s="1483" t="s">
        <v>8</v>
      </c>
      <c r="S38" s="1484">
        <f t="shared" si="12"/>
        <v>100</v>
      </c>
      <c r="T38" s="1483" t="s">
        <v>8</v>
      </c>
      <c r="U38" s="1484">
        <f t="shared" si="13"/>
        <v>100</v>
      </c>
      <c r="V38" s="1483" t="s">
        <v>8</v>
      </c>
      <c r="W38" s="1484">
        <f t="shared" si="14"/>
        <v>100</v>
      </c>
      <c r="X38" s="1485"/>
      <c r="Y38" s="3897"/>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897"/>
      <c r="Q39" s="1478">
        <f t="shared" si="11"/>
        <v>111</v>
      </c>
      <c r="R39" s="1479" t="s">
        <v>8</v>
      </c>
      <c r="S39" s="1480">
        <f t="shared" si="12"/>
        <v>100</v>
      </c>
      <c r="T39" s="1479" t="s">
        <v>8</v>
      </c>
      <c r="U39" s="1480">
        <f t="shared" si="13"/>
        <v>100</v>
      </c>
      <c r="V39" s="1479" t="s">
        <v>8</v>
      </c>
      <c r="W39" s="1480">
        <f t="shared" si="14"/>
        <v>100</v>
      </c>
      <c r="X39" s="1473"/>
      <c r="Y39" s="3897"/>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89"/>
      <c r="Q40" s="1478">
        <f t="shared" si="11"/>
        <v>111</v>
      </c>
      <c r="R40" s="1479" t="s">
        <v>8</v>
      </c>
      <c r="S40" s="1480">
        <f t="shared" si="12"/>
        <v>100</v>
      </c>
      <c r="T40" s="1479" t="s">
        <v>8</v>
      </c>
      <c r="U40" s="1480">
        <f t="shared" si="13"/>
        <v>100</v>
      </c>
      <c r="V40" s="1479" t="s">
        <v>8</v>
      </c>
      <c r="W40" s="1480">
        <f t="shared" si="14"/>
        <v>100</v>
      </c>
      <c r="X40" s="1473"/>
      <c r="Y40" s="3989"/>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891" t="str">
        <f>A41</f>
        <v>成交单价（元/平方米）</v>
      </c>
      <c r="Q41" s="3891"/>
      <c r="R41" s="3988">
        <f>E41</f>
        <v>0</v>
      </c>
      <c r="S41" s="3988"/>
      <c r="T41" s="3988">
        <f>G41</f>
        <v>0</v>
      </c>
      <c r="U41" s="3988"/>
      <c r="V41" s="3988">
        <f>I41</f>
        <v>0</v>
      </c>
      <c r="W41" s="3988"/>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891" t="str">
        <f>A42</f>
        <v>比较价格（元/平方米）</v>
      </c>
      <c r="Q42" s="3891"/>
      <c r="R42" s="3988" t="e">
        <f>IF(F1="售价",ROUND(PRODUCT(R41,AA7:AA40),0),ROUND(PRODUCT(R41,AA7:AA40),1))</f>
        <v>#DIV/0!</v>
      </c>
      <c r="S42" s="3988"/>
      <c r="T42" s="3988" t="e">
        <f>IF(F1="售价",ROUND(PRODUCT(T41,AB7:AB40),0),ROUND(PRODUCT(T41,AB7:AB40),1))</f>
        <v>#DIV/0!</v>
      </c>
      <c r="U42" s="3988"/>
      <c r="V42" s="3988" t="e">
        <f>IF(F1="售价",ROUND(PRODUCT(V41,AC7:AC40),0),ROUND(PRODUCT(V41,AC7:AC40),1))</f>
        <v>#DIV/0!</v>
      </c>
      <c r="W42" s="3988"/>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888" t="str">
        <f>A43</f>
        <v>估价对象XX用房的比较价格（楼面单价，元/平方米）</v>
      </c>
      <c r="Q43" s="3889"/>
      <c r="R43" s="3987" t="e">
        <f>IF(F1="售价",ROUND(IF(D42="简单平均",AVERAGE(R42:V42),R42*F42+T42*H42+V42*J42),0),ROUND(IF(D42="简单平均",AVERAGE(R42:V42),R42*F42+T42*H42+V42*J42),1))</f>
        <v>#DIV/0!</v>
      </c>
      <c r="S43" s="3987"/>
      <c r="T43" s="3987"/>
      <c r="U43" s="3987"/>
      <c r="V43" s="3987"/>
      <c r="W43" s="3987"/>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03" t="s">
        <v>776</v>
      </c>
      <c r="D4" s="3904"/>
      <c r="E4" s="3903" t="s">
        <v>777</v>
      </c>
      <c r="F4" s="3904"/>
      <c r="G4" s="3903" t="s">
        <v>778</v>
      </c>
      <c r="H4" s="3904"/>
      <c r="I4" s="3903" t="s">
        <v>779</v>
      </c>
      <c r="J4" s="3904"/>
      <c r="K4" s="489" t="s">
        <v>780</v>
      </c>
      <c r="L4" s="1983"/>
      <c r="M4" s="1984"/>
      <c r="N4" s="1984"/>
      <c r="O4" s="1984"/>
      <c r="P4" s="3907" t="s">
        <v>781</v>
      </c>
      <c r="Q4" s="3908"/>
      <c r="R4" s="3913" t="s">
        <v>777</v>
      </c>
      <c r="S4" s="3914"/>
      <c r="T4" s="3913" t="s">
        <v>778</v>
      </c>
      <c r="U4" s="3914"/>
      <c r="V4" s="3893" t="s">
        <v>779</v>
      </c>
      <c r="W4" s="3893"/>
      <c r="X4" s="1473"/>
      <c r="Y4" s="3913" t="s">
        <v>781</v>
      </c>
      <c r="Z4" s="3914"/>
      <c r="AA4" s="3900" t="s">
        <v>777</v>
      </c>
      <c r="AB4" s="3901" t="s">
        <v>778</v>
      </c>
      <c r="AC4" s="3900" t="s">
        <v>779</v>
      </c>
    </row>
    <row r="5" spans="1:29" ht="15">
      <c r="A5" s="490"/>
      <c r="B5" s="491"/>
      <c r="C5" s="3921" t="s">
        <v>2867</v>
      </c>
      <c r="D5" s="3922"/>
      <c r="E5" s="3921" t="s">
        <v>2868</v>
      </c>
      <c r="F5" s="3922"/>
      <c r="G5" s="3921" t="s">
        <v>2869</v>
      </c>
      <c r="H5" s="3922"/>
      <c r="I5" s="3921" t="s">
        <v>2870</v>
      </c>
      <c r="J5" s="3922"/>
      <c r="K5" s="489"/>
      <c r="L5" s="1983"/>
      <c r="M5" s="1984"/>
      <c r="N5" s="1984"/>
      <c r="O5" s="1984"/>
      <c r="P5" s="3909"/>
      <c r="Q5" s="3910"/>
      <c r="R5" s="3915"/>
      <c r="S5" s="3916"/>
      <c r="T5" s="3915"/>
      <c r="U5" s="3916"/>
      <c r="V5" s="3893"/>
      <c r="W5" s="3893"/>
      <c r="X5" s="1473"/>
      <c r="Y5" s="3915"/>
      <c r="Z5" s="3916"/>
      <c r="AA5" s="3901"/>
      <c r="AB5" s="3901"/>
      <c r="AC5" s="3901"/>
    </row>
    <row r="6" spans="1:29" ht="15.75" thickBot="1">
      <c r="A6" s="492"/>
      <c r="B6" s="493"/>
      <c r="C6" s="3923" t="s">
        <v>2871</v>
      </c>
      <c r="D6" s="3924"/>
      <c r="E6" s="3994" t="s">
        <v>2871</v>
      </c>
      <c r="F6" s="3995"/>
      <c r="G6" s="3923" t="s">
        <v>2871</v>
      </c>
      <c r="H6" s="3924"/>
      <c r="I6" s="3923" t="s">
        <v>2871</v>
      </c>
      <c r="J6" s="3924"/>
      <c r="K6" s="489" t="s">
        <v>506</v>
      </c>
      <c r="L6" s="1983"/>
      <c r="M6" s="1984"/>
      <c r="N6" s="1984"/>
      <c r="O6" s="1984"/>
      <c r="P6" s="3911"/>
      <c r="Q6" s="3912"/>
      <c r="R6" s="3915"/>
      <c r="S6" s="3916"/>
      <c r="T6" s="3917"/>
      <c r="U6" s="3918"/>
      <c r="V6" s="3893"/>
      <c r="W6" s="3893"/>
      <c r="X6" s="1473"/>
      <c r="Y6" s="3917"/>
      <c r="Z6" s="3918"/>
      <c r="AA6" s="3902"/>
      <c r="AB6" s="3902"/>
      <c r="AC6" s="3902"/>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98" t="s">
        <v>508</v>
      </c>
      <c r="Q7" s="3925"/>
      <c r="R7" s="1474" t="s">
        <v>8</v>
      </c>
      <c r="S7" s="1475">
        <f t="shared" ref="S7:S14" si="0">F7</f>
        <v>0</v>
      </c>
      <c r="T7" s="1474" t="s">
        <v>8</v>
      </c>
      <c r="U7" s="1475">
        <f t="shared" ref="U7:U14" si="1">H7</f>
        <v>0</v>
      </c>
      <c r="V7" s="1474" t="s">
        <v>8</v>
      </c>
      <c r="W7" s="1475">
        <f t="shared" ref="W7:W14"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98" t="s">
        <v>511</v>
      </c>
      <c r="Q8" s="3899"/>
      <c r="R8" s="1474" t="s">
        <v>8</v>
      </c>
      <c r="S8" s="1475">
        <f t="shared" si="0"/>
        <v>0</v>
      </c>
      <c r="T8" s="1474" t="s">
        <v>8</v>
      </c>
      <c r="U8" s="1475">
        <f t="shared" si="1"/>
        <v>0</v>
      </c>
      <c r="V8" s="1474" t="s">
        <v>8</v>
      </c>
      <c r="W8" s="1475">
        <f t="shared" si="2"/>
        <v>0</v>
      </c>
      <c r="X8" s="1476"/>
      <c r="Y8" s="3898" t="s">
        <v>511</v>
      </c>
      <c r="Z8" s="3899"/>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891" t="s">
        <v>513</v>
      </c>
      <c r="Q9" s="1115" t="str">
        <f t="shared" ref="Q9:Q14" si="6">B9</f>
        <v>用途</v>
      </c>
      <c r="R9" s="1474" t="s">
        <v>8</v>
      </c>
      <c r="S9" s="1475">
        <f t="shared" si="0"/>
        <v>100</v>
      </c>
      <c r="T9" s="1474" t="s">
        <v>8</v>
      </c>
      <c r="U9" s="1475">
        <f t="shared" si="1"/>
        <v>100</v>
      </c>
      <c r="V9" s="1474" t="s">
        <v>8</v>
      </c>
      <c r="W9" s="1475">
        <f t="shared" si="2"/>
        <v>100</v>
      </c>
      <c r="X9" s="1476"/>
      <c r="Y9" s="3748"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891"/>
      <c r="Q11" s="1115">
        <f t="shared" si="6"/>
        <v>111</v>
      </c>
      <c r="R11" s="1474" t="s">
        <v>8</v>
      </c>
      <c r="S11" s="1475">
        <f t="shared" si="0"/>
        <v>100</v>
      </c>
      <c r="T11" s="1474" t="s">
        <v>8</v>
      </c>
      <c r="U11" s="1475">
        <f t="shared" si="1"/>
        <v>100</v>
      </c>
      <c r="V11" s="1474" t="s">
        <v>8</v>
      </c>
      <c r="W11" s="1475">
        <f t="shared" si="2"/>
        <v>100</v>
      </c>
      <c r="X11" s="1476"/>
      <c r="Y11" s="3748"/>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891"/>
      <c r="Q12" s="1115">
        <f t="shared" si="6"/>
        <v>111</v>
      </c>
      <c r="R12" s="1474" t="s">
        <v>8</v>
      </c>
      <c r="S12" s="1475">
        <f t="shared" si="0"/>
        <v>100</v>
      </c>
      <c r="T12" s="1474" t="s">
        <v>8</v>
      </c>
      <c r="U12" s="1475">
        <f t="shared" si="1"/>
        <v>100</v>
      </c>
      <c r="V12" s="1474" t="s">
        <v>8</v>
      </c>
      <c r="W12" s="1475">
        <f t="shared" si="2"/>
        <v>100</v>
      </c>
      <c r="X12" s="1476"/>
      <c r="Y12" s="3748"/>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891"/>
      <c r="Q13" s="1115">
        <f t="shared" si="6"/>
        <v>111</v>
      </c>
      <c r="R13" s="1474" t="s">
        <v>8</v>
      </c>
      <c r="S13" s="1475">
        <f t="shared" si="0"/>
        <v>100</v>
      </c>
      <c r="T13" s="1474" t="s">
        <v>8</v>
      </c>
      <c r="U13" s="1475">
        <f t="shared" si="1"/>
        <v>100</v>
      </c>
      <c r="V13" s="1474" t="s">
        <v>8</v>
      </c>
      <c r="W13" s="1475">
        <f t="shared" si="2"/>
        <v>100</v>
      </c>
      <c r="X13" s="1476"/>
      <c r="Y13" s="3748"/>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894" t="s">
        <v>518</v>
      </c>
      <c r="Q14" s="1478" t="str">
        <f t="shared" si="6"/>
        <v>交通便捷度</v>
      </c>
      <c r="R14" s="1479" t="s">
        <v>8</v>
      </c>
      <c r="S14" s="1480">
        <f t="shared" si="0"/>
        <v>100</v>
      </c>
      <c r="T14" s="1479" t="s">
        <v>8</v>
      </c>
      <c r="U14" s="1480">
        <f t="shared" si="1"/>
        <v>100</v>
      </c>
      <c r="V14" s="1479" t="s">
        <v>8</v>
      </c>
      <c r="W14" s="1480">
        <f t="shared" si="2"/>
        <v>100</v>
      </c>
      <c r="X14" s="1473"/>
      <c r="Y14" s="3894"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895"/>
      <c r="Q15" s="1478"/>
      <c r="R15" s="1479"/>
      <c r="S15" s="1480"/>
      <c r="T15" s="1479"/>
      <c r="U15" s="1480"/>
      <c r="V15" s="1479"/>
      <c r="W15" s="1480"/>
      <c r="X15" s="1473"/>
      <c r="Y15" s="3895"/>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895"/>
      <c r="Q16" s="1478" t="str">
        <f>B16</f>
        <v>公共配套设施</v>
      </c>
      <c r="R16" s="1479" t="s">
        <v>8</v>
      </c>
      <c r="S16" s="1480">
        <f>F16</f>
        <v>100</v>
      </c>
      <c r="T16" s="1479" t="s">
        <v>8</v>
      </c>
      <c r="U16" s="1480">
        <f>H16</f>
        <v>100</v>
      </c>
      <c r="V16" s="1479" t="s">
        <v>8</v>
      </c>
      <c r="W16" s="1480">
        <f>J16</f>
        <v>100</v>
      </c>
      <c r="X16" s="1473"/>
      <c r="Y16" s="3895"/>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895"/>
      <c r="Q17" s="1478"/>
      <c r="R17" s="1479"/>
      <c r="S17" s="1480"/>
      <c r="T17" s="1479"/>
      <c r="U17" s="1480"/>
      <c r="V17" s="1479"/>
      <c r="W17" s="1480"/>
      <c r="X17" s="1473"/>
      <c r="Y17" s="3895"/>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895"/>
      <c r="Q18" s="2393" t="str">
        <f>B18</f>
        <v>基础设施水平</v>
      </c>
      <c r="R18" s="1479" t="s">
        <v>8</v>
      </c>
      <c r="S18" s="1480">
        <f>F18</f>
        <v>100</v>
      </c>
      <c r="T18" s="1479" t="s">
        <v>8</v>
      </c>
      <c r="U18" s="1480">
        <f>H18</f>
        <v>100</v>
      </c>
      <c r="V18" s="1479" t="s">
        <v>8</v>
      </c>
      <c r="W18" s="1480">
        <f>J18</f>
        <v>100</v>
      </c>
      <c r="X18" s="2395"/>
      <c r="Y18" s="3895"/>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895"/>
      <c r="Q19" s="2393"/>
      <c r="R19" s="1479"/>
      <c r="S19" s="1480"/>
      <c r="T19" s="1479"/>
      <c r="U19" s="1480"/>
      <c r="V19" s="1479"/>
      <c r="W19" s="1480"/>
      <c r="X19" s="2395"/>
      <c r="Y19" s="3895"/>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895"/>
      <c r="Q20" s="1478" t="str">
        <f>B20</f>
        <v>自然及人文环境</v>
      </c>
      <c r="R20" s="1479" t="s">
        <v>8</v>
      </c>
      <c r="S20" s="1480">
        <f>F20</f>
        <v>100</v>
      </c>
      <c r="T20" s="1479" t="s">
        <v>8</v>
      </c>
      <c r="U20" s="1480">
        <f>H20</f>
        <v>100</v>
      </c>
      <c r="V20" s="1479" t="s">
        <v>8</v>
      </c>
      <c r="W20" s="1480">
        <f>J20</f>
        <v>100</v>
      </c>
      <c r="X20" s="1473"/>
      <c r="Y20" s="3895"/>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895"/>
      <c r="Q21" s="1478"/>
      <c r="R21" s="1479"/>
      <c r="S21" s="1480"/>
      <c r="T21" s="1479"/>
      <c r="U21" s="1480"/>
      <c r="V21" s="1479"/>
      <c r="W21" s="1480"/>
      <c r="X21" s="1473"/>
      <c r="Y21" s="3895"/>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895"/>
      <c r="Q22" s="1478" t="str">
        <f>B22</f>
        <v>楼层</v>
      </c>
      <c r="R22" s="1479" t="s">
        <v>8</v>
      </c>
      <c r="S22" s="1480">
        <f>F22</f>
        <v>100</v>
      </c>
      <c r="T22" s="1479" t="s">
        <v>8</v>
      </c>
      <c r="U22" s="1480">
        <f>H22</f>
        <v>100</v>
      </c>
      <c r="V22" s="1479" t="s">
        <v>8</v>
      </c>
      <c r="W22" s="1480">
        <f>J22</f>
        <v>100</v>
      </c>
      <c r="X22" s="1473"/>
      <c r="Y22" s="3895"/>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895"/>
      <c r="Q23" s="1478">
        <f>B23</f>
        <v>111</v>
      </c>
      <c r="R23" s="1479" t="s">
        <v>8</v>
      </c>
      <c r="S23" s="1480">
        <f>F23</f>
        <v>100</v>
      </c>
      <c r="T23" s="1479" t="s">
        <v>8</v>
      </c>
      <c r="U23" s="1480">
        <f>H23</f>
        <v>100</v>
      </c>
      <c r="V23" s="1479" t="s">
        <v>8</v>
      </c>
      <c r="W23" s="1480">
        <f>J23</f>
        <v>100</v>
      </c>
      <c r="X23" s="1473"/>
      <c r="Y23" s="3895"/>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895"/>
      <c r="Q24" s="1478">
        <f t="shared" ref="Q24:Q36" si="11">B24</f>
        <v>111</v>
      </c>
      <c r="R24" s="1479" t="s">
        <v>8</v>
      </c>
      <c r="S24" s="1480">
        <f>F24</f>
        <v>100</v>
      </c>
      <c r="T24" s="1479" t="s">
        <v>8</v>
      </c>
      <c r="U24" s="1480">
        <f>H24</f>
        <v>100</v>
      </c>
      <c r="V24" s="1479" t="s">
        <v>8</v>
      </c>
      <c r="W24" s="1480">
        <f>J24</f>
        <v>100</v>
      </c>
      <c r="X24" s="1473"/>
      <c r="Y24" s="3895"/>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895"/>
      <c r="Q25" s="1115">
        <f t="shared" si="11"/>
        <v>111</v>
      </c>
      <c r="R25" s="1474" t="s">
        <v>8</v>
      </c>
      <c r="S25" s="1475">
        <f>F25</f>
        <v>100</v>
      </c>
      <c r="T25" s="1474" t="s">
        <v>8</v>
      </c>
      <c r="U25" s="1475">
        <f>H25</f>
        <v>100</v>
      </c>
      <c r="V25" s="1474" t="s">
        <v>8</v>
      </c>
      <c r="W25" s="1475">
        <f>J25</f>
        <v>100</v>
      </c>
      <c r="X25" s="1476"/>
      <c r="Y25" s="3895"/>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896"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897"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897"/>
      <c r="Q27" s="1507" t="str">
        <f t="shared" si="11"/>
        <v>项目停车位配比</v>
      </c>
      <c r="R27" s="1483" t="s">
        <v>8</v>
      </c>
      <c r="S27" s="1484">
        <f t="shared" si="12"/>
        <v>100</v>
      </c>
      <c r="T27" s="1483" t="s">
        <v>8</v>
      </c>
      <c r="U27" s="1484">
        <f t="shared" si="13"/>
        <v>100</v>
      </c>
      <c r="V27" s="1483" t="s">
        <v>8</v>
      </c>
      <c r="W27" s="1484">
        <f t="shared" si="14"/>
        <v>100</v>
      </c>
      <c r="X27" s="1485"/>
      <c r="Y27" s="3897"/>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897"/>
      <c r="Q28" s="1478" t="str">
        <f t="shared" si="11"/>
        <v>公共部分装修</v>
      </c>
      <c r="R28" s="1479" t="s">
        <v>8</v>
      </c>
      <c r="S28" s="1480">
        <f t="shared" si="12"/>
        <v>100</v>
      </c>
      <c r="T28" s="1479" t="s">
        <v>8</v>
      </c>
      <c r="U28" s="1480">
        <f t="shared" si="13"/>
        <v>100</v>
      </c>
      <c r="V28" s="1479" t="s">
        <v>8</v>
      </c>
      <c r="W28" s="1480">
        <f t="shared" si="14"/>
        <v>100</v>
      </c>
      <c r="X28" s="1473"/>
      <c r="Y28" s="3897"/>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897"/>
      <c r="Q29" s="1478" t="str">
        <f t="shared" si="11"/>
        <v>成新率</v>
      </c>
      <c r="R29" s="1479" t="s">
        <v>8</v>
      </c>
      <c r="S29" s="1480" t="e">
        <f t="shared" si="12"/>
        <v>#N/A</v>
      </c>
      <c r="T29" s="1479" t="s">
        <v>8</v>
      </c>
      <c r="U29" s="1480" t="e">
        <f t="shared" si="13"/>
        <v>#N/A</v>
      </c>
      <c r="V29" s="1479" t="s">
        <v>8</v>
      </c>
      <c r="W29" s="1480" t="e">
        <f t="shared" si="14"/>
        <v>#N/A</v>
      </c>
      <c r="X29" s="1473"/>
      <c r="Y29" s="3897"/>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897"/>
      <c r="Q30" s="1478" t="str">
        <f t="shared" si="11"/>
        <v>物业等级</v>
      </c>
      <c r="R30" s="1479" t="s">
        <v>8</v>
      </c>
      <c r="S30" s="1480">
        <f t="shared" si="12"/>
        <v>100</v>
      </c>
      <c r="T30" s="1479" t="s">
        <v>8</v>
      </c>
      <c r="U30" s="1480">
        <f t="shared" si="13"/>
        <v>100</v>
      </c>
      <c r="V30" s="1479" t="s">
        <v>8</v>
      </c>
      <c r="W30" s="1480">
        <f t="shared" si="14"/>
        <v>100</v>
      </c>
      <c r="X30" s="1473"/>
      <c r="Y30" s="3897"/>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897"/>
      <c r="Q31" s="1115" t="str">
        <f t="shared" si="11"/>
        <v>停车位面积</v>
      </c>
      <c r="R31" s="1474" t="s">
        <v>8</v>
      </c>
      <c r="S31" s="1475" t="e">
        <f t="shared" si="12"/>
        <v>#N/A</v>
      </c>
      <c r="T31" s="1474" t="s">
        <v>8</v>
      </c>
      <c r="U31" s="1475" t="e">
        <f t="shared" si="13"/>
        <v>#N/A</v>
      </c>
      <c r="V31" s="1474" t="s">
        <v>8</v>
      </c>
      <c r="W31" s="1475" t="e">
        <f t="shared" si="14"/>
        <v>#N/A</v>
      </c>
      <c r="X31" s="1476"/>
      <c r="Y31" s="3897"/>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897" t="s">
        <v>528</v>
      </c>
      <c r="Q32" s="1478" t="str">
        <f t="shared" si="11"/>
        <v>车位类型</v>
      </c>
      <c r="R32" s="1479" t="s">
        <v>8</v>
      </c>
      <c r="S32" s="1480">
        <f t="shared" si="12"/>
        <v>100</v>
      </c>
      <c r="T32" s="1479" t="s">
        <v>8</v>
      </c>
      <c r="U32" s="1480">
        <f t="shared" si="13"/>
        <v>100</v>
      </c>
      <c r="V32" s="1479" t="s">
        <v>8</v>
      </c>
      <c r="W32" s="1480">
        <f t="shared" si="14"/>
        <v>100</v>
      </c>
      <c r="X32" s="1473"/>
      <c r="Y32" s="3897"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897"/>
      <c r="Q33" s="1478" t="str">
        <f t="shared" si="11"/>
        <v>是否直接入户</v>
      </c>
      <c r="R33" s="1479" t="s">
        <v>8</v>
      </c>
      <c r="S33" s="1480">
        <f t="shared" si="12"/>
        <v>100</v>
      </c>
      <c r="T33" s="1479" t="s">
        <v>8</v>
      </c>
      <c r="U33" s="1480">
        <f t="shared" si="13"/>
        <v>100</v>
      </c>
      <c r="V33" s="1479" t="s">
        <v>8</v>
      </c>
      <c r="W33" s="1480">
        <f t="shared" si="14"/>
        <v>100</v>
      </c>
      <c r="X33" s="1473"/>
      <c r="Y33" s="3897"/>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897"/>
      <c r="Q34" s="1478">
        <f t="shared" si="11"/>
        <v>111</v>
      </c>
      <c r="R34" s="1479" t="s">
        <v>8</v>
      </c>
      <c r="S34" s="1480">
        <f t="shared" si="12"/>
        <v>100</v>
      </c>
      <c r="T34" s="1479" t="s">
        <v>8</v>
      </c>
      <c r="U34" s="1480">
        <f t="shared" si="13"/>
        <v>100</v>
      </c>
      <c r="V34" s="1479" t="s">
        <v>8</v>
      </c>
      <c r="W34" s="1480">
        <f t="shared" si="14"/>
        <v>100</v>
      </c>
      <c r="X34" s="1473"/>
      <c r="Y34" s="3897"/>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897"/>
      <c r="Q35" s="1507">
        <f t="shared" si="11"/>
        <v>111</v>
      </c>
      <c r="R35" s="1483" t="s">
        <v>8</v>
      </c>
      <c r="S35" s="1484">
        <f t="shared" si="12"/>
        <v>100</v>
      </c>
      <c r="T35" s="1483" t="s">
        <v>8</v>
      </c>
      <c r="U35" s="1484">
        <f t="shared" si="13"/>
        <v>100</v>
      </c>
      <c r="V35" s="1483" t="s">
        <v>8</v>
      </c>
      <c r="W35" s="1484">
        <f t="shared" si="14"/>
        <v>100</v>
      </c>
      <c r="X35" s="1485"/>
      <c r="Y35" s="3897"/>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897"/>
      <c r="Q36" s="1478">
        <f t="shared" si="11"/>
        <v>111</v>
      </c>
      <c r="R36" s="1479" t="s">
        <v>8</v>
      </c>
      <c r="S36" s="1480">
        <f t="shared" si="12"/>
        <v>100</v>
      </c>
      <c r="T36" s="1479" t="s">
        <v>8</v>
      </c>
      <c r="U36" s="1480">
        <f t="shared" si="13"/>
        <v>100</v>
      </c>
      <c r="V36" s="1479" t="s">
        <v>8</v>
      </c>
      <c r="W36" s="1480">
        <f t="shared" si="14"/>
        <v>100</v>
      </c>
      <c r="X36" s="1473"/>
      <c r="Y36" s="3897"/>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891" t="str">
        <f>A37</f>
        <v>成交单价</v>
      </c>
      <c r="Q37" s="3891"/>
      <c r="R37" s="3988">
        <f>E37</f>
        <v>0</v>
      </c>
      <c r="S37" s="3988"/>
      <c r="T37" s="3988">
        <f>G37</f>
        <v>0</v>
      </c>
      <c r="U37" s="3988"/>
      <c r="V37" s="3988">
        <f>I37</f>
        <v>0</v>
      </c>
      <c r="W37" s="3988"/>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891" t="str">
        <f>A38</f>
        <v>比较价格（元/平方米）</v>
      </c>
      <c r="Q38" s="3891"/>
      <c r="R38" s="3988" t="e">
        <f>IF(F1="售价",ROUND(PRODUCT(R37,AA7:AA36),0),ROUND(PRODUCT(R37,AA7:AA36),1))</f>
        <v>#DIV/0!</v>
      </c>
      <c r="S38" s="3988"/>
      <c r="T38" s="3988" t="e">
        <f>IF(F1="售价",ROUND(PRODUCT(T37,AB7:AB36),0),ROUND(PRODUCT(T37,AB7:AB36),1))</f>
        <v>#DIV/0!</v>
      </c>
      <c r="U38" s="3988"/>
      <c r="V38" s="3988" t="e">
        <f>IF(F1="售价",ROUND(PRODUCT(V37,AC7:AC36),0),ROUND(PRODUCT(V37,AC7:AC36),1))</f>
        <v>#DIV/0!</v>
      </c>
      <c r="W38" s="3988"/>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888" t="str">
        <f>A39</f>
        <v>估价对象XX用房的比较价格（楼面单价，元/平方米）</v>
      </c>
      <c r="Q39" s="3889"/>
      <c r="R39" s="3987" t="e">
        <f>IF(F1="售价",ROUND(IF(D38="简单平均",AVERAGE(R38:W38),R38*F38+T38*H38+V38*J38),0),ROUND(IF(D38="简单平均",AVERAGE(R38:V38),R38*F38+T38*H38+V38*J38),1))</f>
        <v>#DIV/0!</v>
      </c>
      <c r="S39" s="3987"/>
      <c r="T39" s="3987"/>
      <c r="U39" s="3987"/>
      <c r="V39" s="3987"/>
      <c r="W39" s="3987"/>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03" t="s">
        <v>776</v>
      </c>
      <c r="D4" s="3904"/>
      <c r="E4" s="3905" t="s">
        <v>777</v>
      </c>
      <c r="F4" s="3906"/>
      <c r="G4" s="3903" t="s">
        <v>778</v>
      </c>
      <c r="H4" s="3904"/>
      <c r="I4" s="3903" t="s">
        <v>779</v>
      </c>
      <c r="J4" s="3904"/>
      <c r="K4" s="489" t="s">
        <v>780</v>
      </c>
      <c r="L4" s="1983"/>
      <c r="M4" s="1984"/>
      <c r="N4" s="1984"/>
      <c r="O4" s="1984"/>
      <c r="P4" s="3907" t="s">
        <v>781</v>
      </c>
      <c r="Q4" s="3908"/>
      <c r="R4" s="3913" t="s">
        <v>777</v>
      </c>
      <c r="S4" s="3914"/>
      <c r="T4" s="3913" t="s">
        <v>778</v>
      </c>
      <c r="U4" s="3914"/>
      <c r="V4" s="3893" t="s">
        <v>779</v>
      </c>
      <c r="W4" s="3893"/>
      <c r="X4" s="1473"/>
      <c r="Y4" s="3913" t="s">
        <v>781</v>
      </c>
      <c r="Z4" s="3914"/>
      <c r="AA4" s="3900" t="s">
        <v>777</v>
      </c>
      <c r="AB4" s="3901" t="s">
        <v>778</v>
      </c>
      <c r="AC4" s="3900" t="s">
        <v>779</v>
      </c>
    </row>
    <row r="5" spans="1:29" ht="15">
      <c r="A5" s="490"/>
      <c r="B5" s="491"/>
      <c r="C5" s="3921" t="s">
        <v>2867</v>
      </c>
      <c r="D5" s="3922"/>
      <c r="E5" s="3919" t="s">
        <v>2868</v>
      </c>
      <c r="F5" s="3920"/>
      <c r="G5" s="3921" t="s">
        <v>2869</v>
      </c>
      <c r="H5" s="3922"/>
      <c r="I5" s="3921" t="s">
        <v>2870</v>
      </c>
      <c r="J5" s="3922"/>
      <c r="K5" s="489"/>
      <c r="L5" s="1983"/>
      <c r="M5" s="1984"/>
      <c r="N5" s="1984"/>
      <c r="O5" s="1984"/>
      <c r="P5" s="3909"/>
      <c r="Q5" s="3910"/>
      <c r="R5" s="3915"/>
      <c r="S5" s="3916"/>
      <c r="T5" s="3915"/>
      <c r="U5" s="3916"/>
      <c r="V5" s="3893"/>
      <c r="W5" s="3893"/>
      <c r="X5" s="1473"/>
      <c r="Y5" s="3915"/>
      <c r="Z5" s="3916"/>
      <c r="AA5" s="3901"/>
      <c r="AB5" s="3901"/>
      <c r="AC5" s="3901"/>
    </row>
    <row r="6" spans="1:29" ht="15.75" thickBot="1">
      <c r="A6" s="492"/>
      <c r="B6" s="493"/>
      <c r="C6" s="3923" t="s">
        <v>2871</v>
      </c>
      <c r="D6" s="3924"/>
      <c r="E6" s="3926" t="s">
        <v>2871</v>
      </c>
      <c r="F6" s="3927"/>
      <c r="G6" s="3923" t="s">
        <v>2871</v>
      </c>
      <c r="H6" s="3924"/>
      <c r="I6" s="3923" t="s">
        <v>2871</v>
      </c>
      <c r="J6" s="3924"/>
      <c r="K6" s="489" t="s">
        <v>506</v>
      </c>
      <c r="L6" s="1983"/>
      <c r="M6" s="1984"/>
      <c r="N6" s="1984"/>
      <c r="O6" s="1984"/>
      <c r="P6" s="3911"/>
      <c r="Q6" s="3912"/>
      <c r="R6" s="3915"/>
      <c r="S6" s="3916"/>
      <c r="T6" s="3917"/>
      <c r="U6" s="3918"/>
      <c r="V6" s="3893"/>
      <c r="W6" s="3893"/>
      <c r="X6" s="1473"/>
      <c r="Y6" s="3917"/>
      <c r="Z6" s="3918"/>
      <c r="AA6" s="3902"/>
      <c r="AB6" s="3902"/>
      <c r="AC6" s="3902"/>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98" t="s">
        <v>508</v>
      </c>
      <c r="Q7" s="3925"/>
      <c r="R7" s="1474" t="s">
        <v>8</v>
      </c>
      <c r="S7" s="1475">
        <f t="shared" ref="S7:S14" si="0">F7</f>
        <v>0</v>
      </c>
      <c r="T7" s="1474" t="s">
        <v>8</v>
      </c>
      <c r="U7" s="1475">
        <f t="shared" ref="U7:U14" si="1">H7</f>
        <v>0</v>
      </c>
      <c r="V7" s="1474" t="s">
        <v>8</v>
      </c>
      <c r="W7" s="1475">
        <f t="shared" ref="W7:W14" si="2">J7</f>
        <v>0</v>
      </c>
      <c r="X7" s="1476"/>
      <c r="Y7" s="3898" t="s">
        <v>508</v>
      </c>
      <c r="Z7" s="3899"/>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98" t="s">
        <v>511</v>
      </c>
      <c r="Q8" s="3899"/>
      <c r="R8" s="1474" t="s">
        <v>8</v>
      </c>
      <c r="S8" s="1475">
        <f t="shared" si="0"/>
        <v>0</v>
      </c>
      <c r="T8" s="1474" t="s">
        <v>8</v>
      </c>
      <c r="U8" s="1475">
        <f t="shared" si="1"/>
        <v>0</v>
      </c>
      <c r="V8" s="1474" t="s">
        <v>8</v>
      </c>
      <c r="W8" s="1475">
        <f t="shared" si="2"/>
        <v>0</v>
      </c>
      <c r="X8" s="1476"/>
      <c r="Y8" s="3898" t="s">
        <v>511</v>
      </c>
      <c r="Z8" s="3899"/>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891" t="s">
        <v>513</v>
      </c>
      <c r="Q9" s="1115" t="str">
        <f t="shared" ref="Q9:Q14" si="6">B9</f>
        <v>用途</v>
      </c>
      <c r="R9" s="1474" t="s">
        <v>8</v>
      </c>
      <c r="S9" s="1475">
        <f t="shared" si="0"/>
        <v>100</v>
      </c>
      <c r="T9" s="1474" t="s">
        <v>8</v>
      </c>
      <c r="U9" s="1475">
        <f t="shared" si="1"/>
        <v>100</v>
      </c>
      <c r="V9" s="1474" t="s">
        <v>8</v>
      </c>
      <c r="W9" s="1475">
        <f t="shared" si="2"/>
        <v>100</v>
      </c>
      <c r="X9" s="1476"/>
      <c r="Y9" s="3748"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891"/>
      <c r="Q10" s="1115" t="str">
        <f t="shared" si="6"/>
        <v>土地使用年限（年）</v>
      </c>
      <c r="R10" s="1474" t="s">
        <v>8</v>
      </c>
      <c r="S10" s="1475">
        <f t="shared" si="0"/>
        <v>100</v>
      </c>
      <c r="T10" s="1474" t="s">
        <v>8</v>
      </c>
      <c r="U10" s="1475">
        <f t="shared" si="1"/>
        <v>100</v>
      </c>
      <c r="V10" s="1474" t="s">
        <v>8</v>
      </c>
      <c r="W10" s="1475">
        <f t="shared" si="2"/>
        <v>100</v>
      </c>
      <c r="X10" s="1476"/>
      <c r="Y10" s="3748"/>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891"/>
      <c r="Q11" s="1115">
        <f t="shared" si="6"/>
        <v>111</v>
      </c>
      <c r="R11" s="1474" t="s">
        <v>8</v>
      </c>
      <c r="S11" s="1475">
        <f t="shared" si="0"/>
        <v>100</v>
      </c>
      <c r="T11" s="1474" t="s">
        <v>8</v>
      </c>
      <c r="U11" s="1475">
        <f t="shared" si="1"/>
        <v>100</v>
      </c>
      <c r="V11" s="1474" t="s">
        <v>8</v>
      </c>
      <c r="W11" s="1475">
        <f t="shared" si="2"/>
        <v>100</v>
      </c>
      <c r="X11" s="1476"/>
      <c r="Y11" s="3748"/>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891"/>
      <c r="Q12" s="1115">
        <f t="shared" si="6"/>
        <v>111</v>
      </c>
      <c r="R12" s="1474" t="s">
        <v>8</v>
      </c>
      <c r="S12" s="1475">
        <f t="shared" si="0"/>
        <v>100</v>
      </c>
      <c r="T12" s="1474" t="s">
        <v>8</v>
      </c>
      <c r="U12" s="1475">
        <f t="shared" si="1"/>
        <v>100</v>
      </c>
      <c r="V12" s="1474" t="s">
        <v>8</v>
      </c>
      <c r="W12" s="1475">
        <f t="shared" si="2"/>
        <v>100</v>
      </c>
      <c r="X12" s="1476"/>
      <c r="Y12" s="3748"/>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891"/>
      <c r="Q13" s="1115">
        <f t="shared" si="6"/>
        <v>111</v>
      </c>
      <c r="R13" s="1474" t="s">
        <v>8</v>
      </c>
      <c r="S13" s="1475">
        <f t="shared" si="0"/>
        <v>100</v>
      </c>
      <c r="T13" s="1474" t="s">
        <v>8</v>
      </c>
      <c r="U13" s="1475">
        <f t="shared" si="1"/>
        <v>100</v>
      </c>
      <c r="V13" s="1474" t="s">
        <v>8</v>
      </c>
      <c r="W13" s="1475">
        <f t="shared" si="2"/>
        <v>100</v>
      </c>
      <c r="X13" s="1476"/>
      <c r="Y13" s="3748"/>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894" t="s">
        <v>518</v>
      </c>
      <c r="Q14" s="1478" t="str">
        <f t="shared" si="6"/>
        <v>交通便捷度</v>
      </c>
      <c r="R14" s="1479" t="s">
        <v>8</v>
      </c>
      <c r="S14" s="1480">
        <f t="shared" si="0"/>
        <v>100</v>
      </c>
      <c r="T14" s="1479" t="s">
        <v>8</v>
      </c>
      <c r="U14" s="1480">
        <f t="shared" si="1"/>
        <v>100</v>
      </c>
      <c r="V14" s="1479" t="s">
        <v>8</v>
      </c>
      <c r="W14" s="1480">
        <f t="shared" si="2"/>
        <v>100</v>
      </c>
      <c r="X14" s="1473"/>
      <c r="Y14" s="3894"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895"/>
      <c r="Q15" s="1478"/>
      <c r="R15" s="1479"/>
      <c r="S15" s="1480"/>
      <c r="T15" s="1479"/>
      <c r="U15" s="1480"/>
      <c r="V15" s="1479"/>
      <c r="W15" s="1480"/>
      <c r="X15" s="1473"/>
      <c r="Y15" s="3895"/>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895"/>
      <c r="Q16" s="1478" t="str">
        <f>B16</f>
        <v>公共配套设施</v>
      </c>
      <c r="R16" s="1479" t="s">
        <v>8</v>
      </c>
      <c r="S16" s="1480">
        <f>F16</f>
        <v>100</v>
      </c>
      <c r="T16" s="1479" t="s">
        <v>8</v>
      </c>
      <c r="U16" s="1480">
        <f>H16</f>
        <v>100</v>
      </c>
      <c r="V16" s="1479" t="s">
        <v>8</v>
      </c>
      <c r="W16" s="1480">
        <f>J16</f>
        <v>100</v>
      </c>
      <c r="X16" s="1473"/>
      <c r="Y16" s="3895"/>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895"/>
      <c r="Q17" s="1478"/>
      <c r="R17" s="1479"/>
      <c r="S17" s="1480"/>
      <c r="T17" s="1479"/>
      <c r="U17" s="1480"/>
      <c r="V17" s="1479"/>
      <c r="W17" s="1480"/>
      <c r="X17" s="1473"/>
      <c r="Y17" s="3895"/>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895"/>
      <c r="Q18" s="2393" t="str">
        <f>B18</f>
        <v>基础设施水平</v>
      </c>
      <c r="R18" s="1479" t="s">
        <v>8</v>
      </c>
      <c r="S18" s="1480">
        <f>F18</f>
        <v>100</v>
      </c>
      <c r="T18" s="1479" t="s">
        <v>8</v>
      </c>
      <c r="U18" s="1480">
        <f>H18</f>
        <v>100</v>
      </c>
      <c r="V18" s="1479" t="s">
        <v>8</v>
      </c>
      <c r="W18" s="1480">
        <f>J18</f>
        <v>100</v>
      </c>
      <c r="X18" s="2395"/>
      <c r="Y18" s="3895"/>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895"/>
      <c r="Q19" s="2393"/>
      <c r="R19" s="1479"/>
      <c r="S19" s="1480"/>
      <c r="T19" s="1479"/>
      <c r="U19" s="1480"/>
      <c r="V19" s="1479"/>
      <c r="W19" s="1480"/>
      <c r="X19" s="2395"/>
      <c r="Y19" s="3895"/>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895"/>
      <c r="Q20" s="1478" t="str">
        <f>B20</f>
        <v>自然及人文环境</v>
      </c>
      <c r="R20" s="1479" t="s">
        <v>8</v>
      </c>
      <c r="S20" s="1480">
        <f>F20</f>
        <v>100</v>
      </c>
      <c r="T20" s="1479" t="s">
        <v>8</v>
      </c>
      <c r="U20" s="1480">
        <f>H20</f>
        <v>100</v>
      </c>
      <c r="V20" s="1479" t="s">
        <v>8</v>
      </c>
      <c r="W20" s="1480">
        <f>J20</f>
        <v>100</v>
      </c>
      <c r="X20" s="1473"/>
      <c r="Y20" s="3895"/>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895"/>
      <c r="Q21" s="1478"/>
      <c r="R21" s="1479"/>
      <c r="S21" s="1480"/>
      <c r="T21" s="1479"/>
      <c r="U21" s="1480"/>
      <c r="V21" s="1479"/>
      <c r="W21" s="1480"/>
      <c r="X21" s="1473"/>
      <c r="Y21" s="3895"/>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895"/>
      <c r="Q22" s="1478" t="str">
        <f>B22</f>
        <v>楼层</v>
      </c>
      <c r="R22" s="1479" t="s">
        <v>8</v>
      </c>
      <c r="S22" s="1480">
        <f>F22</f>
        <v>100</v>
      </c>
      <c r="T22" s="1479" t="s">
        <v>8</v>
      </c>
      <c r="U22" s="1480">
        <f>H22</f>
        <v>100</v>
      </c>
      <c r="V22" s="1479" t="s">
        <v>8</v>
      </c>
      <c r="W22" s="1480">
        <f>J22</f>
        <v>100</v>
      </c>
      <c r="X22" s="1473"/>
      <c r="Y22" s="3895"/>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895"/>
      <c r="Q23" s="1478">
        <f>B23</f>
        <v>111</v>
      </c>
      <c r="R23" s="1479" t="s">
        <v>8</v>
      </c>
      <c r="S23" s="1480">
        <f>F23</f>
        <v>100</v>
      </c>
      <c r="T23" s="1479" t="s">
        <v>8</v>
      </c>
      <c r="U23" s="1480">
        <f>H23</f>
        <v>100</v>
      </c>
      <c r="V23" s="1479" t="s">
        <v>8</v>
      </c>
      <c r="W23" s="1480">
        <f>J23</f>
        <v>100</v>
      </c>
      <c r="X23" s="1473"/>
      <c r="Y23" s="3895"/>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895"/>
      <c r="Q24" s="1478">
        <f t="shared" ref="Q24:Q34" si="11">B24</f>
        <v>111</v>
      </c>
      <c r="R24" s="1479" t="s">
        <v>8</v>
      </c>
      <c r="S24" s="1480">
        <f>F24</f>
        <v>100</v>
      </c>
      <c r="T24" s="1479" t="s">
        <v>8</v>
      </c>
      <c r="U24" s="1480">
        <f>H24</f>
        <v>100</v>
      </c>
      <c r="V24" s="1479" t="s">
        <v>8</v>
      </c>
      <c r="W24" s="1480">
        <f>J24</f>
        <v>100</v>
      </c>
      <c r="X24" s="1473"/>
      <c r="Y24" s="3895"/>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895"/>
      <c r="Q25" s="1115">
        <f t="shared" si="11"/>
        <v>111</v>
      </c>
      <c r="R25" s="1474" t="s">
        <v>8</v>
      </c>
      <c r="S25" s="1475">
        <f>F25</f>
        <v>100</v>
      </c>
      <c r="T25" s="1474" t="s">
        <v>8</v>
      </c>
      <c r="U25" s="1475">
        <f>H25</f>
        <v>100</v>
      </c>
      <c r="V25" s="1474" t="s">
        <v>8</v>
      </c>
      <c r="W25" s="1475">
        <f>J25</f>
        <v>100</v>
      </c>
      <c r="X25" s="1476"/>
      <c r="Y25" s="3895"/>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896"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897"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897"/>
      <c r="Q27" s="1507" t="str">
        <f t="shared" si="11"/>
        <v>成新率</v>
      </c>
      <c r="R27" s="1483" t="s">
        <v>8</v>
      </c>
      <c r="S27" s="1484" t="e">
        <f t="shared" si="12"/>
        <v>#N/A</v>
      </c>
      <c r="T27" s="1483" t="s">
        <v>8</v>
      </c>
      <c r="U27" s="1484" t="e">
        <f t="shared" si="13"/>
        <v>#N/A</v>
      </c>
      <c r="V27" s="1483" t="s">
        <v>8</v>
      </c>
      <c r="W27" s="1484" t="e">
        <f t="shared" si="14"/>
        <v>#N/A</v>
      </c>
      <c r="X27" s="1485"/>
      <c r="Y27" s="3897"/>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897"/>
      <c r="Q28" s="1478" t="str">
        <f t="shared" si="11"/>
        <v>物业等级</v>
      </c>
      <c r="R28" s="1479" t="s">
        <v>8</v>
      </c>
      <c r="S28" s="1480">
        <f t="shared" si="12"/>
        <v>100</v>
      </c>
      <c r="T28" s="1479" t="s">
        <v>8</v>
      </c>
      <c r="U28" s="1480">
        <f t="shared" si="13"/>
        <v>100</v>
      </c>
      <c r="V28" s="1479" t="s">
        <v>8</v>
      </c>
      <c r="W28" s="1480">
        <f t="shared" si="14"/>
        <v>100</v>
      </c>
      <c r="X28" s="1473"/>
      <c r="Y28" s="3897"/>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897"/>
      <c r="Q29" s="1478" t="str">
        <f t="shared" si="11"/>
        <v>有无电梯</v>
      </c>
      <c r="R29" s="1479" t="s">
        <v>8</v>
      </c>
      <c r="S29" s="1480">
        <f t="shared" si="12"/>
        <v>100</v>
      </c>
      <c r="T29" s="1479" t="s">
        <v>8</v>
      </c>
      <c r="U29" s="1480">
        <f t="shared" si="13"/>
        <v>100</v>
      </c>
      <c r="V29" s="1479" t="s">
        <v>8</v>
      </c>
      <c r="W29" s="1480">
        <f t="shared" si="14"/>
        <v>100</v>
      </c>
      <c r="X29" s="1473"/>
      <c r="Y29" s="3897"/>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897"/>
      <c r="Q30" s="1478" t="str">
        <f t="shared" si="11"/>
        <v>建筑面积</v>
      </c>
      <c r="R30" s="1479" t="s">
        <v>8</v>
      </c>
      <c r="S30" s="1480" t="e">
        <f t="shared" si="12"/>
        <v>#N/A</v>
      </c>
      <c r="T30" s="1479" t="s">
        <v>8</v>
      </c>
      <c r="U30" s="1480" t="e">
        <f t="shared" si="13"/>
        <v>#N/A</v>
      </c>
      <c r="V30" s="1479" t="s">
        <v>8</v>
      </c>
      <c r="W30" s="1480" t="e">
        <f t="shared" si="14"/>
        <v>#N/A</v>
      </c>
      <c r="X30" s="1473"/>
      <c r="Y30" s="3897"/>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897"/>
      <c r="Q31" s="1115" t="str">
        <f t="shared" si="11"/>
        <v>是否封闭</v>
      </c>
      <c r="R31" s="1474" t="s">
        <v>8</v>
      </c>
      <c r="S31" s="1475">
        <f t="shared" si="12"/>
        <v>100</v>
      </c>
      <c r="T31" s="1474" t="s">
        <v>8</v>
      </c>
      <c r="U31" s="1475">
        <f t="shared" si="13"/>
        <v>100</v>
      </c>
      <c r="V31" s="1474" t="s">
        <v>8</v>
      </c>
      <c r="W31" s="1475">
        <f t="shared" si="14"/>
        <v>100</v>
      </c>
      <c r="X31" s="1476"/>
      <c r="Y31" s="3897"/>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897" t="s">
        <v>528</v>
      </c>
      <c r="Q32" s="1478">
        <f t="shared" si="11"/>
        <v>111</v>
      </c>
      <c r="R32" s="1479" t="s">
        <v>8</v>
      </c>
      <c r="S32" s="1480">
        <f t="shared" si="12"/>
        <v>100</v>
      </c>
      <c r="T32" s="1479" t="s">
        <v>8</v>
      </c>
      <c r="U32" s="1480">
        <f t="shared" si="13"/>
        <v>100</v>
      </c>
      <c r="V32" s="1479" t="s">
        <v>8</v>
      </c>
      <c r="W32" s="1480">
        <f t="shared" si="14"/>
        <v>100</v>
      </c>
      <c r="X32" s="1473"/>
      <c r="Y32" s="3897"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897"/>
      <c r="Q33" s="1478">
        <f t="shared" si="11"/>
        <v>111</v>
      </c>
      <c r="R33" s="1479" t="s">
        <v>8</v>
      </c>
      <c r="S33" s="1480">
        <f t="shared" si="12"/>
        <v>100</v>
      </c>
      <c r="T33" s="1479" t="s">
        <v>8</v>
      </c>
      <c r="U33" s="1480">
        <f t="shared" si="13"/>
        <v>100</v>
      </c>
      <c r="V33" s="1479" t="s">
        <v>8</v>
      </c>
      <c r="W33" s="1480">
        <f t="shared" si="14"/>
        <v>100</v>
      </c>
      <c r="X33" s="1473"/>
      <c r="Y33" s="3897"/>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897"/>
      <c r="Q34" s="1478">
        <f t="shared" si="11"/>
        <v>111</v>
      </c>
      <c r="R34" s="1479" t="s">
        <v>8</v>
      </c>
      <c r="S34" s="1480">
        <f t="shared" si="12"/>
        <v>100</v>
      </c>
      <c r="T34" s="1479" t="s">
        <v>8</v>
      </c>
      <c r="U34" s="1480">
        <f t="shared" si="13"/>
        <v>100</v>
      </c>
      <c r="V34" s="1479" t="s">
        <v>8</v>
      </c>
      <c r="W34" s="1480">
        <f t="shared" si="14"/>
        <v>100</v>
      </c>
      <c r="X34" s="1473"/>
      <c r="Y34" s="3897"/>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891" t="str">
        <f>A35</f>
        <v>成交单价（元/平方米）</v>
      </c>
      <c r="Q35" s="3891"/>
      <c r="R35" s="3988">
        <f>E35</f>
        <v>0</v>
      </c>
      <c r="S35" s="3988"/>
      <c r="T35" s="3988">
        <f>G35</f>
        <v>0</v>
      </c>
      <c r="U35" s="3988"/>
      <c r="V35" s="3988">
        <f>I35</f>
        <v>0</v>
      </c>
      <c r="W35" s="3988"/>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891" t="str">
        <f>A36</f>
        <v>比较价格（元/平方米）</v>
      </c>
      <c r="Q36" s="3891"/>
      <c r="R36" s="3988" t="e">
        <f>IF(F1="售价",ROUND(PRODUCT(R35,AA7:AA34),0),ROUND(PRODUCT(R35,AA7:AA34),1))</f>
        <v>#DIV/0!</v>
      </c>
      <c r="S36" s="3988"/>
      <c r="T36" s="3988" t="e">
        <f>IF(F1="售价",ROUND(PRODUCT(T35,AB7:AB34),0),ROUND(PRODUCT(T35,AB7:AB34),1))</f>
        <v>#DIV/0!</v>
      </c>
      <c r="U36" s="3988"/>
      <c r="V36" s="3988" t="e">
        <f>IF(F1="售价",ROUND(PRODUCT(V35,AC7:AC34),0),ROUND(PRODUCT(V35,AC7:AC34),1))</f>
        <v>#DIV/0!</v>
      </c>
      <c r="W36" s="3988"/>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888" t="str">
        <f>A37</f>
        <v>估价对象XX用房的比较价格（楼面单价，元/平方米）</v>
      </c>
      <c r="Q37" s="3889"/>
      <c r="R37" s="3987" t="e">
        <f>IF(F1="售价",ROUND(IF(D36="简单平均",AVERAGE(R36:W36),R36*F36+T36*H36+V36*J36),0),ROUND(IF(D36="简单平均",AVERAGE(R36:V36),R36*F36+T36*H36+V36*J36),1))</f>
        <v>#DIV/0!</v>
      </c>
      <c r="S37" s="3987"/>
      <c r="T37" s="3987"/>
      <c r="U37" s="3987"/>
      <c r="V37" s="3987"/>
      <c r="W37" s="3987"/>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3999" t="s">
        <v>2269</v>
      </c>
      <c r="D1" s="4000"/>
      <c r="E1" s="4000"/>
      <c r="F1" s="4000"/>
      <c r="G1" s="4000"/>
      <c r="H1" s="4000"/>
      <c r="I1" s="4000"/>
      <c r="J1" s="4000"/>
      <c r="K1" s="4000"/>
      <c r="L1" s="4000"/>
      <c r="M1" s="4000"/>
      <c r="N1" s="4000"/>
      <c r="O1" s="4000"/>
      <c r="P1" s="4000"/>
      <c r="Q1" s="4000"/>
      <c r="R1" s="4000"/>
      <c r="S1" s="4001"/>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3996" t="s">
        <v>20</v>
      </c>
      <c r="D22" s="3997"/>
      <c r="E22" s="3997"/>
      <c r="F22" s="3997"/>
      <c r="G22" s="3997"/>
      <c r="H22" s="3997"/>
      <c r="I22" s="3997"/>
      <c r="J22" s="3997"/>
      <c r="K22" s="3997"/>
      <c r="L22" s="3997"/>
      <c r="M22" s="3997"/>
      <c r="N22" s="3997"/>
      <c r="O22" s="3997"/>
      <c r="P22" s="3997"/>
      <c r="Q22" s="3998"/>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12" t="s">
        <v>2005</v>
      </c>
      <c r="B1" s="3612"/>
      <c r="C1" s="3612"/>
      <c r="D1" s="3612"/>
      <c r="E1" s="3612"/>
      <c r="F1" s="3612"/>
      <c r="G1" s="3612"/>
      <c r="H1" s="3612"/>
      <c r="I1" s="3612"/>
      <c r="J1" s="3612"/>
      <c r="K1" s="3612"/>
      <c r="L1" s="3612"/>
      <c r="M1" s="3612"/>
      <c r="N1" s="3612"/>
      <c r="O1" s="3612"/>
      <c r="P1" s="3612"/>
      <c r="Q1" s="3612"/>
      <c r="R1" s="3612"/>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13" t="s">
        <v>1996</v>
      </c>
      <c r="B3" s="3613" t="s">
        <v>2684</v>
      </c>
      <c r="C3" s="3614" t="s">
        <v>1997</v>
      </c>
      <c r="D3" s="3613" t="s">
        <v>2688</v>
      </c>
      <c r="E3" s="3616" t="s">
        <v>1998</v>
      </c>
      <c r="F3" s="3616"/>
      <c r="G3" s="3616"/>
      <c r="H3" s="3616" t="s">
        <v>1999</v>
      </c>
      <c r="I3" s="3616"/>
      <c r="J3" s="3616"/>
      <c r="K3" s="3614" t="s">
        <v>2000</v>
      </c>
      <c r="L3" s="3614" t="s">
        <v>2001</v>
      </c>
      <c r="M3" s="3613" t="s">
        <v>2685</v>
      </c>
      <c r="N3" s="3615" t="str">
        <f>"（分摊）"&amp;项目基本情况!B16&amp;"国有建设用地使用权面积/㎡"</f>
        <v>（分摊）出让国有建设用地使用权面积/㎡</v>
      </c>
      <c r="O3" s="3613" t="s">
        <v>2030</v>
      </c>
      <c r="P3" s="3614" t="s">
        <v>2010</v>
      </c>
      <c r="Q3" s="3614" t="s">
        <v>2031</v>
      </c>
      <c r="R3" s="3614" t="s">
        <v>2002</v>
      </c>
    </row>
    <row r="4" spans="1:18" ht="36.75" customHeight="1">
      <c r="A4" s="3613"/>
      <c r="B4" s="3613"/>
      <c r="C4" s="3614"/>
      <c r="D4" s="3613"/>
      <c r="E4" s="2455" t="s">
        <v>2009</v>
      </c>
      <c r="F4" s="2455" t="s">
        <v>2697</v>
      </c>
      <c r="G4" s="2455" t="s">
        <v>2003</v>
      </c>
      <c r="H4" s="2455" t="s">
        <v>2004</v>
      </c>
      <c r="I4" s="2455" t="s">
        <v>2698</v>
      </c>
      <c r="J4" s="2455" t="s">
        <v>2003</v>
      </c>
      <c r="K4" s="3614"/>
      <c r="L4" s="3614"/>
      <c r="M4" s="3613"/>
      <c r="N4" s="3615"/>
      <c r="O4" s="3613"/>
      <c r="P4" s="3614"/>
      <c r="Q4" s="3614"/>
      <c r="R4" s="3614"/>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1613.09</v>
      </c>
      <c r="O5" s="1695">
        <f>项目基本情况!C21</f>
        <v>8968.7999999999993</v>
      </c>
      <c r="P5" s="1695" t="e">
        <f ca="1">结果表!E42</f>
        <v>#REF!</v>
      </c>
      <c r="Q5" s="1695" t="e">
        <f ca="1">结果表!D42</f>
        <v>#REF!</v>
      </c>
      <c r="R5" s="1696" t="e">
        <f ca="1">结果表!C42</f>
        <v>#REF!</v>
      </c>
    </row>
    <row r="6" spans="1:18">
      <c r="A6" s="3609" t="str">
        <f>IF(项目基本情况!B9="市场价格","——","抵押价格")</f>
        <v>——</v>
      </c>
      <c r="B6" s="3610"/>
      <c r="C6" s="3610"/>
      <c r="D6" s="3610"/>
      <c r="E6" s="3610"/>
      <c r="F6" s="3610"/>
      <c r="G6" s="3610"/>
      <c r="H6" s="3610"/>
      <c r="I6" s="3610"/>
      <c r="J6" s="3610"/>
      <c r="K6" s="3610"/>
      <c r="L6" s="3610"/>
      <c r="M6" s="3610"/>
      <c r="N6" s="3610"/>
      <c r="O6" s="3610"/>
      <c r="P6" s="3610"/>
      <c r="Q6" s="3611"/>
      <c r="R6" s="1697" t="str">
        <f>结果表!O39</f>
        <v>——</v>
      </c>
    </row>
    <row r="7" spans="1:18">
      <c r="A7" s="3609" t="str">
        <f>IF(项目基本情况!B9="市场价格","——",IF(项目基本情况!E8="已注销及未注销","抵押担保权已注销时的抵押价格","——"))</f>
        <v>——</v>
      </c>
      <c r="B7" s="3610"/>
      <c r="C7" s="3610"/>
      <c r="D7" s="3610"/>
      <c r="E7" s="3610"/>
      <c r="F7" s="3610"/>
      <c r="G7" s="3610"/>
      <c r="H7" s="3610"/>
      <c r="I7" s="3610"/>
      <c r="J7" s="3610"/>
      <c r="K7" s="3610"/>
      <c r="L7" s="3610"/>
      <c r="M7" s="3610"/>
      <c r="N7" s="3610"/>
      <c r="O7" s="3610"/>
      <c r="P7" s="3610"/>
      <c r="Q7" s="3611"/>
      <c r="R7" s="1697" t="str">
        <f>结果表!O40</f>
        <v>——</v>
      </c>
    </row>
    <row r="8" spans="1:18">
      <c r="A8" s="3609" t="str">
        <f>IF(项目基本情况!B9="市场价格","——",项目基本情况!E9)</f>
        <v>——</v>
      </c>
      <c r="B8" s="3610"/>
      <c r="C8" s="3610"/>
      <c r="D8" s="3610"/>
      <c r="E8" s="3610"/>
      <c r="F8" s="3610"/>
      <c r="G8" s="3610"/>
      <c r="H8" s="3610"/>
      <c r="I8" s="3610"/>
      <c r="J8" s="3610"/>
      <c r="K8" s="3610"/>
      <c r="L8" s="3610"/>
      <c r="M8" s="3610"/>
      <c r="N8" s="3610"/>
      <c r="O8" s="3610"/>
      <c r="P8" s="3610"/>
      <c r="Q8" s="3611"/>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03" t="s">
        <v>500</v>
      </c>
      <c r="D6" s="3904"/>
      <c r="E6" s="3903" t="s">
        <v>501</v>
      </c>
      <c r="F6" s="3904"/>
      <c r="G6" s="3903" t="s">
        <v>502</v>
      </c>
      <c r="H6" s="3904"/>
      <c r="I6" s="3903" t="s">
        <v>503</v>
      </c>
      <c r="J6" s="3904"/>
      <c r="K6" s="489" t="s">
        <v>504</v>
      </c>
      <c r="L6" s="1983"/>
      <c r="M6" s="1982"/>
      <c r="N6" s="1982"/>
      <c r="O6" s="1984"/>
      <c r="P6" s="3907" t="s">
        <v>505</v>
      </c>
      <c r="Q6" s="3908"/>
      <c r="R6" s="3913" t="s">
        <v>501</v>
      </c>
      <c r="S6" s="3914"/>
      <c r="T6" s="3913" t="s">
        <v>502</v>
      </c>
      <c r="U6" s="3914"/>
      <c r="V6" s="3893" t="s">
        <v>503</v>
      </c>
      <c r="W6" s="3893"/>
      <c r="X6" s="1473"/>
      <c r="Y6" s="3913" t="s">
        <v>505</v>
      </c>
      <c r="Z6" s="3914"/>
      <c r="AA6" s="3900" t="s">
        <v>501</v>
      </c>
      <c r="AB6" s="3901" t="s">
        <v>502</v>
      </c>
      <c r="AC6" s="3900" t="s">
        <v>503</v>
      </c>
    </row>
    <row r="7" spans="1:30" ht="20.25">
      <c r="A7" s="490"/>
      <c r="B7" s="491"/>
      <c r="C7" s="3921" t="s">
        <v>2867</v>
      </c>
      <c r="D7" s="3922"/>
      <c r="E7" s="3921" t="s">
        <v>2868</v>
      </c>
      <c r="F7" s="3922"/>
      <c r="G7" s="3921" t="s">
        <v>2869</v>
      </c>
      <c r="H7" s="3922"/>
      <c r="I7" s="3921" t="s">
        <v>2870</v>
      </c>
      <c r="J7" s="3922"/>
      <c r="K7" s="489"/>
      <c r="L7" s="1983"/>
      <c r="M7" s="1982"/>
      <c r="N7" s="1982"/>
      <c r="O7" s="1984"/>
      <c r="P7" s="3909"/>
      <c r="Q7" s="3910"/>
      <c r="R7" s="3915"/>
      <c r="S7" s="3916"/>
      <c r="T7" s="3915"/>
      <c r="U7" s="3916"/>
      <c r="V7" s="3893"/>
      <c r="W7" s="3893"/>
      <c r="X7" s="1473"/>
      <c r="Y7" s="3915"/>
      <c r="Z7" s="3916"/>
      <c r="AA7" s="3901"/>
      <c r="AB7" s="3901"/>
      <c r="AC7" s="3901"/>
    </row>
    <row r="8" spans="1:30" ht="21" thickBot="1">
      <c r="A8" s="490"/>
      <c r="B8" s="491"/>
      <c r="C8" s="3994" t="s">
        <v>2871</v>
      </c>
      <c r="D8" s="3995"/>
      <c r="E8" s="3994" t="s">
        <v>2871</v>
      </c>
      <c r="F8" s="3995"/>
      <c r="G8" s="3923" t="s">
        <v>2871</v>
      </c>
      <c r="H8" s="3924"/>
      <c r="I8" s="3923" t="s">
        <v>2871</v>
      </c>
      <c r="J8" s="3924"/>
      <c r="K8" s="489" t="s">
        <v>506</v>
      </c>
      <c r="L8" s="1983"/>
      <c r="M8" s="1982"/>
      <c r="N8" s="1982"/>
      <c r="O8" s="1984"/>
      <c r="P8" s="3911"/>
      <c r="Q8" s="3912"/>
      <c r="R8" s="3915"/>
      <c r="S8" s="3916"/>
      <c r="T8" s="3917"/>
      <c r="U8" s="3918"/>
      <c r="V8" s="3893"/>
      <c r="W8" s="3893"/>
      <c r="X8" s="1473"/>
      <c r="Y8" s="3917"/>
      <c r="Z8" s="3918"/>
      <c r="AA8" s="3902"/>
      <c r="AB8" s="3902"/>
      <c r="AC8" s="3902"/>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8" t="s">
        <v>508</v>
      </c>
      <c r="Q9" s="3925"/>
      <c r="R9" s="1474" t="s">
        <v>8</v>
      </c>
      <c r="S9" s="1475">
        <f t="shared" ref="S9:S17" si="0">F9</f>
        <v>0</v>
      </c>
      <c r="T9" s="1474" t="s">
        <v>8</v>
      </c>
      <c r="U9" s="1475">
        <f t="shared" ref="U9:U17" si="1">H9</f>
        <v>0</v>
      </c>
      <c r="V9" s="1474" t="s">
        <v>8</v>
      </c>
      <c r="W9" s="1475">
        <f t="shared" ref="W9:W17" si="2">J9</f>
        <v>0</v>
      </c>
      <c r="X9" s="1476"/>
      <c r="Y9" s="3898" t="s">
        <v>508</v>
      </c>
      <c r="Z9" s="3899"/>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8" t="s">
        <v>511</v>
      </c>
      <c r="Q10" s="3899"/>
      <c r="R10" s="1474" t="s">
        <v>8</v>
      </c>
      <c r="S10" s="1475">
        <f t="shared" si="0"/>
        <v>0</v>
      </c>
      <c r="T10" s="1474" t="s">
        <v>8</v>
      </c>
      <c r="U10" s="1475">
        <f t="shared" si="1"/>
        <v>0</v>
      </c>
      <c r="V10" s="1474" t="s">
        <v>8</v>
      </c>
      <c r="W10" s="1475">
        <f t="shared" si="2"/>
        <v>0</v>
      </c>
      <c r="X10" s="1476"/>
      <c r="Y10" s="3898" t="s">
        <v>511</v>
      </c>
      <c r="Z10" s="3899"/>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91" t="s">
        <v>513</v>
      </c>
      <c r="Q11" s="1115" t="str">
        <f t="shared" ref="Q11:Q17" si="6">B11</f>
        <v>用途</v>
      </c>
      <c r="R11" s="1474" t="s">
        <v>8</v>
      </c>
      <c r="S11" s="1475">
        <f t="shared" si="0"/>
        <v>100</v>
      </c>
      <c r="T11" s="1474" t="s">
        <v>8</v>
      </c>
      <c r="U11" s="1475">
        <f t="shared" si="1"/>
        <v>100</v>
      </c>
      <c r="V11" s="1474" t="s">
        <v>8</v>
      </c>
      <c r="W11" s="1475">
        <f t="shared" si="2"/>
        <v>100</v>
      </c>
      <c r="X11" s="1476"/>
      <c r="Y11" s="3748"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91"/>
      <c r="Q12" s="1115" t="str">
        <f t="shared" si="6"/>
        <v>土地使用年限（年）</v>
      </c>
      <c r="R12" s="1474" t="s">
        <v>8</v>
      </c>
      <c r="S12" s="1475">
        <f t="shared" si="0"/>
        <v>100</v>
      </c>
      <c r="T12" s="1474" t="s">
        <v>8</v>
      </c>
      <c r="U12" s="1475">
        <f t="shared" si="1"/>
        <v>100</v>
      </c>
      <c r="V12" s="1474" t="s">
        <v>8</v>
      </c>
      <c r="W12" s="1475">
        <f t="shared" si="2"/>
        <v>100</v>
      </c>
      <c r="X12" s="1476"/>
      <c r="Y12" s="3748"/>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91"/>
      <c r="Q13" s="1115" t="str">
        <f t="shared" si="6"/>
        <v>容积率</v>
      </c>
      <c r="R13" s="1474" t="s">
        <v>8</v>
      </c>
      <c r="S13" s="1475" t="e">
        <f t="shared" si="0"/>
        <v>#N/A</v>
      </c>
      <c r="T13" s="1474" t="s">
        <v>8</v>
      </c>
      <c r="U13" s="1475" t="e">
        <f t="shared" si="1"/>
        <v>#N/A</v>
      </c>
      <c r="V13" s="1474" t="s">
        <v>8</v>
      </c>
      <c r="W13" s="1475" t="e">
        <f t="shared" si="2"/>
        <v>#N/A</v>
      </c>
      <c r="X13" s="1476"/>
      <c r="Y13" s="3748"/>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91"/>
      <c r="Q14" s="1115" t="str">
        <f t="shared" si="6"/>
        <v>配建</v>
      </c>
      <c r="R14" s="1474" t="s">
        <v>8</v>
      </c>
      <c r="S14" s="1475">
        <f t="shared" si="0"/>
        <v>100</v>
      </c>
      <c r="T14" s="1474" t="s">
        <v>8</v>
      </c>
      <c r="U14" s="1475">
        <f t="shared" si="1"/>
        <v>100</v>
      </c>
      <c r="V14" s="1474" t="s">
        <v>8</v>
      </c>
      <c r="W14" s="1475">
        <f t="shared" si="2"/>
        <v>100</v>
      </c>
      <c r="X14" s="1476"/>
      <c r="Y14" s="3748"/>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91"/>
      <c r="Q15" s="1115">
        <f t="shared" si="6"/>
        <v>111</v>
      </c>
      <c r="R15" s="1474" t="s">
        <v>8</v>
      </c>
      <c r="S15" s="1475">
        <f t="shared" si="0"/>
        <v>100</v>
      </c>
      <c r="T15" s="1474" t="s">
        <v>8</v>
      </c>
      <c r="U15" s="1475">
        <f t="shared" si="1"/>
        <v>100</v>
      </c>
      <c r="V15" s="1474" t="s">
        <v>8</v>
      </c>
      <c r="W15" s="1475">
        <f t="shared" si="2"/>
        <v>100</v>
      </c>
      <c r="X15" s="1476"/>
      <c r="Y15" s="3748"/>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91"/>
      <c r="Q16" s="1115">
        <f t="shared" si="6"/>
        <v>111</v>
      </c>
      <c r="R16" s="1474" t="s">
        <v>8</v>
      </c>
      <c r="S16" s="1475">
        <f t="shared" si="0"/>
        <v>100</v>
      </c>
      <c r="T16" s="1474" t="s">
        <v>8</v>
      </c>
      <c r="U16" s="1475">
        <f t="shared" si="1"/>
        <v>100</v>
      </c>
      <c r="V16" s="1474" t="s">
        <v>8</v>
      </c>
      <c r="W16" s="1475">
        <f t="shared" si="2"/>
        <v>100</v>
      </c>
      <c r="X16" s="1476"/>
      <c r="Y16" s="3748"/>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4" t="s">
        <v>518</v>
      </c>
      <c r="Q17" s="1478" t="str">
        <f t="shared" si="6"/>
        <v>居住社区成熟度</v>
      </c>
      <c r="R17" s="1479" t="s">
        <v>8</v>
      </c>
      <c r="S17" s="1480">
        <f t="shared" si="0"/>
        <v>100</v>
      </c>
      <c r="T17" s="1479" t="s">
        <v>8</v>
      </c>
      <c r="U17" s="1480">
        <f t="shared" si="1"/>
        <v>100</v>
      </c>
      <c r="V17" s="1479" t="s">
        <v>8</v>
      </c>
      <c r="W17" s="1480">
        <f t="shared" si="2"/>
        <v>100</v>
      </c>
      <c r="X17" s="1473"/>
      <c r="Y17" s="3894"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895"/>
      <c r="Q18" s="1478"/>
      <c r="R18" s="1479"/>
      <c r="S18" s="1480"/>
      <c r="T18" s="1479"/>
      <c r="U18" s="1480"/>
      <c r="V18" s="1479"/>
      <c r="W18" s="1480"/>
      <c r="X18" s="1473"/>
      <c r="Y18" s="3895"/>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5"/>
      <c r="Q19" s="1478" t="str">
        <f>B19</f>
        <v>商业繁华度</v>
      </c>
      <c r="R19" s="1479" t="s">
        <v>8</v>
      </c>
      <c r="S19" s="1480">
        <f>F19</f>
        <v>100</v>
      </c>
      <c r="T19" s="1479" t="s">
        <v>8</v>
      </c>
      <c r="U19" s="1480">
        <f>H19</f>
        <v>100</v>
      </c>
      <c r="V19" s="1479" t="s">
        <v>8</v>
      </c>
      <c r="W19" s="1480">
        <f>J19</f>
        <v>100</v>
      </c>
      <c r="X19" s="1473"/>
      <c r="Y19" s="3895"/>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895"/>
      <c r="Q20" s="1478"/>
      <c r="R20" s="1479"/>
      <c r="S20" s="1480"/>
      <c r="T20" s="1479"/>
      <c r="U20" s="1480"/>
      <c r="V20" s="1479"/>
      <c r="W20" s="1480"/>
      <c r="X20" s="1473"/>
      <c r="Y20" s="3895"/>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5"/>
      <c r="Q21" s="1478" t="str">
        <f>B21</f>
        <v>办公集聚程度</v>
      </c>
      <c r="R21" s="1479" t="s">
        <v>8</v>
      </c>
      <c r="S21" s="1480">
        <f>F21</f>
        <v>100</v>
      </c>
      <c r="T21" s="1479" t="s">
        <v>8</v>
      </c>
      <c r="U21" s="1480">
        <f>H21</f>
        <v>100</v>
      </c>
      <c r="V21" s="1479" t="s">
        <v>8</v>
      </c>
      <c r="W21" s="1480">
        <f>J21</f>
        <v>100</v>
      </c>
      <c r="X21" s="1473"/>
      <c r="Y21" s="3895"/>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895"/>
      <c r="Q22" s="1478"/>
      <c r="R22" s="1479"/>
      <c r="S22" s="1480"/>
      <c r="T22" s="1479"/>
      <c r="U22" s="1480"/>
      <c r="V22" s="1479"/>
      <c r="W22" s="1480"/>
      <c r="X22" s="1473"/>
      <c r="Y22" s="3895"/>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5"/>
      <c r="Q23" s="1478" t="str">
        <f>B23</f>
        <v>交通便捷度</v>
      </c>
      <c r="R23" s="1479" t="s">
        <v>8</v>
      </c>
      <c r="S23" s="1480">
        <f>F23</f>
        <v>100</v>
      </c>
      <c r="T23" s="1479" t="s">
        <v>8</v>
      </c>
      <c r="U23" s="1480">
        <f>H23</f>
        <v>100</v>
      </c>
      <c r="V23" s="1479" t="s">
        <v>8</v>
      </c>
      <c r="W23" s="1480">
        <f>J23</f>
        <v>100</v>
      </c>
      <c r="X23" s="1473"/>
      <c r="Y23" s="3895"/>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895"/>
      <c r="Q24" s="1478"/>
      <c r="R24" s="1479"/>
      <c r="S24" s="1480"/>
      <c r="T24" s="1479"/>
      <c r="U24" s="1480"/>
      <c r="V24" s="1479"/>
      <c r="W24" s="1480"/>
      <c r="X24" s="1473"/>
      <c r="Y24" s="3895"/>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5"/>
      <c r="Q25" s="1478" t="str">
        <f t="shared" ref="Q25:Q39" si="8">B25</f>
        <v>区域土地利用方向</v>
      </c>
      <c r="R25" s="1479" t="s">
        <v>8</v>
      </c>
      <c r="S25" s="1480">
        <f>F25</f>
        <v>100</v>
      </c>
      <c r="T25" s="1479" t="s">
        <v>8</v>
      </c>
      <c r="U25" s="1480">
        <f>H25</f>
        <v>100</v>
      </c>
      <c r="V25" s="1479" t="s">
        <v>8</v>
      </c>
      <c r="W25" s="1480">
        <f>J25</f>
        <v>100</v>
      </c>
      <c r="X25" s="1473"/>
      <c r="Y25" s="3895"/>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895"/>
      <c r="Q26" s="1478"/>
      <c r="R26" s="1479"/>
      <c r="S26" s="1480"/>
      <c r="T26" s="1479"/>
      <c r="U26" s="1480"/>
      <c r="V26" s="1479"/>
      <c r="W26" s="1480"/>
      <c r="X26" s="1473"/>
      <c r="Y26" s="3895"/>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5"/>
      <c r="Q27" s="1478" t="str">
        <f t="shared" si="8"/>
        <v>自然及人文环境状况</v>
      </c>
      <c r="R27" s="1479" t="s">
        <v>8</v>
      </c>
      <c r="S27" s="1480">
        <f>F27</f>
        <v>100</v>
      </c>
      <c r="T27" s="1479" t="s">
        <v>8</v>
      </c>
      <c r="U27" s="1480">
        <f>H27</f>
        <v>100</v>
      </c>
      <c r="V27" s="1479" t="s">
        <v>8</v>
      </c>
      <c r="W27" s="1480">
        <f>J27</f>
        <v>100</v>
      </c>
      <c r="X27" s="1473"/>
      <c r="Y27" s="3895"/>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895"/>
      <c r="Q28" s="1478"/>
      <c r="R28" s="1479"/>
      <c r="S28" s="1480"/>
      <c r="T28" s="1479"/>
      <c r="U28" s="1480"/>
      <c r="V28" s="1479"/>
      <c r="W28" s="1480"/>
      <c r="X28" s="1473"/>
      <c r="Y28" s="3895"/>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5"/>
      <c r="Q29" s="1115" t="str">
        <f t="shared" si="8"/>
        <v>公共配套设施</v>
      </c>
      <c r="R29" s="1474" t="s">
        <v>8</v>
      </c>
      <c r="S29" s="1475">
        <f>F29</f>
        <v>100</v>
      </c>
      <c r="T29" s="1474" t="s">
        <v>8</v>
      </c>
      <c r="U29" s="1475">
        <f>H29</f>
        <v>100</v>
      </c>
      <c r="V29" s="1474" t="s">
        <v>8</v>
      </c>
      <c r="W29" s="1475">
        <f>J29</f>
        <v>100</v>
      </c>
      <c r="X29" s="1476"/>
      <c r="Y29" s="3895"/>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895"/>
      <c r="Q30" s="1115"/>
      <c r="R30" s="1474"/>
      <c r="S30" s="1475"/>
      <c r="T30" s="1474"/>
      <c r="U30" s="1475"/>
      <c r="V30" s="1474"/>
      <c r="W30" s="1475"/>
      <c r="X30" s="1476"/>
      <c r="Y30" s="3895"/>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5"/>
      <c r="Q31" s="2392" t="str">
        <f t="shared" ref="Q31" si="9">B31</f>
        <v>基础设施水平</v>
      </c>
      <c r="R31" s="1474" t="s">
        <v>8</v>
      </c>
      <c r="S31" s="1475">
        <f>F31</f>
        <v>100</v>
      </c>
      <c r="T31" s="1474" t="s">
        <v>8</v>
      </c>
      <c r="U31" s="1475">
        <f>H31</f>
        <v>100</v>
      </c>
      <c r="V31" s="1474" t="s">
        <v>8</v>
      </c>
      <c r="W31" s="1475">
        <f>J31</f>
        <v>100</v>
      </c>
      <c r="X31" s="1476"/>
      <c r="Y31" s="3895"/>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895"/>
      <c r="Q32" s="2392"/>
      <c r="R32" s="1474"/>
      <c r="S32" s="1475"/>
      <c r="T32" s="1474"/>
      <c r="U32" s="1475"/>
      <c r="V32" s="1474"/>
      <c r="W32" s="1475"/>
      <c r="X32" s="1476"/>
      <c r="Y32" s="3895"/>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5"/>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895"/>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5"/>
      <c r="Q34" s="1478" t="str">
        <f t="shared" si="8"/>
        <v>毗邻道路的类型与等级</v>
      </c>
      <c r="R34" s="1479" t="s">
        <v>8</v>
      </c>
      <c r="S34" s="1480">
        <f t="shared" si="10"/>
        <v>100</v>
      </c>
      <c r="T34" s="1479" t="s">
        <v>8</v>
      </c>
      <c r="U34" s="1480">
        <f t="shared" si="11"/>
        <v>100</v>
      </c>
      <c r="V34" s="1479" t="s">
        <v>8</v>
      </c>
      <c r="W34" s="1480">
        <f t="shared" si="12"/>
        <v>100</v>
      </c>
      <c r="X34" s="1473"/>
      <c r="Y34" s="3895"/>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895"/>
      <c r="Q35" s="1478"/>
      <c r="R35" s="1479"/>
      <c r="S35" s="1480"/>
      <c r="T35" s="1479"/>
      <c r="U35" s="1480"/>
      <c r="V35" s="1479"/>
      <c r="W35" s="1480"/>
      <c r="X35" s="1473"/>
      <c r="Y35" s="3895"/>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5"/>
      <c r="Q36" s="1478" t="str">
        <f t="shared" si="8"/>
        <v>土地级别</v>
      </c>
      <c r="R36" s="1479" t="s">
        <v>8</v>
      </c>
      <c r="S36" s="1480">
        <f t="shared" si="10"/>
        <v>100</v>
      </c>
      <c r="T36" s="1479" t="s">
        <v>8</v>
      </c>
      <c r="U36" s="1480">
        <f t="shared" si="11"/>
        <v>100</v>
      </c>
      <c r="V36" s="1479" t="s">
        <v>8</v>
      </c>
      <c r="W36" s="1480">
        <f t="shared" si="12"/>
        <v>100</v>
      </c>
      <c r="X36" s="1473"/>
      <c r="Y36" s="3895"/>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5"/>
      <c r="Q37" s="1478">
        <f t="shared" si="8"/>
        <v>111</v>
      </c>
      <c r="R37" s="1479" t="s">
        <v>8</v>
      </c>
      <c r="S37" s="1480">
        <f t="shared" si="10"/>
        <v>100</v>
      </c>
      <c r="T37" s="1479" t="s">
        <v>8</v>
      </c>
      <c r="U37" s="1480">
        <f t="shared" si="11"/>
        <v>100</v>
      </c>
      <c r="V37" s="1479" t="s">
        <v>8</v>
      </c>
      <c r="W37" s="1480">
        <f t="shared" si="12"/>
        <v>100</v>
      </c>
      <c r="X37" s="1473"/>
      <c r="Y37" s="3895"/>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6" t="s">
        <v>528</v>
      </c>
      <c r="Q38" s="1478">
        <f t="shared" si="8"/>
        <v>111</v>
      </c>
      <c r="R38" s="1479" t="s">
        <v>8</v>
      </c>
      <c r="S38" s="1480">
        <f t="shared" si="10"/>
        <v>100</v>
      </c>
      <c r="T38" s="1479" t="s">
        <v>8</v>
      </c>
      <c r="U38" s="1480">
        <f t="shared" si="11"/>
        <v>100</v>
      </c>
      <c r="V38" s="1479" t="s">
        <v>8</v>
      </c>
      <c r="W38" s="1480">
        <f t="shared" si="12"/>
        <v>100</v>
      </c>
      <c r="X38" s="1473"/>
      <c r="Y38" s="3897"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7"/>
      <c r="Q39" s="1478">
        <f t="shared" si="8"/>
        <v>111</v>
      </c>
      <c r="R39" s="1483" t="s">
        <v>8</v>
      </c>
      <c r="S39" s="1484">
        <f t="shared" si="10"/>
        <v>100</v>
      </c>
      <c r="T39" s="1483" t="s">
        <v>8</v>
      </c>
      <c r="U39" s="1484">
        <f t="shared" si="11"/>
        <v>100</v>
      </c>
      <c r="V39" s="1483" t="s">
        <v>8</v>
      </c>
      <c r="W39" s="1484">
        <f t="shared" si="12"/>
        <v>100</v>
      </c>
      <c r="X39" s="1485"/>
      <c r="Y39" s="3897"/>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7"/>
      <c r="Q40" s="1478" t="str">
        <f>B40</f>
        <v>宗地面积</v>
      </c>
      <c r="R40" s="1479" t="s">
        <v>8</v>
      </c>
      <c r="S40" s="1480" t="e">
        <f t="shared" si="10"/>
        <v>#N/A</v>
      </c>
      <c r="T40" s="1479" t="s">
        <v>8</v>
      </c>
      <c r="U40" s="1480" t="e">
        <f t="shared" si="11"/>
        <v>#N/A</v>
      </c>
      <c r="V40" s="1479" t="s">
        <v>8</v>
      </c>
      <c r="W40" s="1480" t="e">
        <f t="shared" si="12"/>
        <v>#N/A</v>
      </c>
      <c r="X40" s="1473"/>
      <c r="Y40" s="3897"/>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7"/>
      <c r="Q41" s="1478" t="str">
        <f t="shared" ref="Q41:Q47" si="14">B41</f>
        <v>宗地形状</v>
      </c>
      <c r="R41" s="1479" t="s">
        <v>8</v>
      </c>
      <c r="S41" s="1480">
        <f t="shared" si="10"/>
        <v>100</v>
      </c>
      <c r="T41" s="1479" t="s">
        <v>8</v>
      </c>
      <c r="U41" s="1480">
        <f t="shared" si="11"/>
        <v>100</v>
      </c>
      <c r="V41" s="1479" t="s">
        <v>8</v>
      </c>
      <c r="W41" s="1480">
        <f t="shared" si="12"/>
        <v>100</v>
      </c>
      <c r="X41" s="1473"/>
      <c r="Y41" s="3897"/>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7"/>
      <c r="Q42" s="1478" t="str">
        <f t="shared" si="14"/>
        <v>临街宽度及深度</v>
      </c>
      <c r="R42" s="1479" t="s">
        <v>8</v>
      </c>
      <c r="S42" s="1480">
        <f t="shared" si="10"/>
        <v>100</v>
      </c>
      <c r="T42" s="1479" t="s">
        <v>8</v>
      </c>
      <c r="U42" s="1480">
        <f t="shared" si="11"/>
        <v>100</v>
      </c>
      <c r="V42" s="1479" t="s">
        <v>8</v>
      </c>
      <c r="W42" s="1480">
        <f t="shared" si="12"/>
        <v>100</v>
      </c>
      <c r="X42" s="1473"/>
      <c r="Y42" s="3897"/>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7"/>
      <c r="Q43" s="1478" t="str">
        <f t="shared" si="14"/>
        <v>宗地开发程度</v>
      </c>
      <c r="R43" s="1474" t="s">
        <v>8</v>
      </c>
      <c r="S43" s="1475">
        <f t="shared" si="10"/>
        <v>100</v>
      </c>
      <c r="T43" s="1474" t="s">
        <v>8</v>
      </c>
      <c r="U43" s="1475">
        <f t="shared" si="11"/>
        <v>100</v>
      </c>
      <c r="V43" s="1474" t="s">
        <v>8</v>
      </c>
      <c r="W43" s="1475">
        <f t="shared" si="12"/>
        <v>100</v>
      </c>
      <c r="X43" s="1476"/>
      <c r="Y43" s="3897"/>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7" t="s">
        <v>528</v>
      </c>
      <c r="Q44" s="1478" t="str">
        <f t="shared" si="14"/>
        <v>工程地质条件</v>
      </c>
      <c r="R44" s="1479" t="s">
        <v>8</v>
      </c>
      <c r="S44" s="1480">
        <f t="shared" si="10"/>
        <v>100</v>
      </c>
      <c r="T44" s="1479" t="s">
        <v>8</v>
      </c>
      <c r="U44" s="1480">
        <f t="shared" si="11"/>
        <v>100</v>
      </c>
      <c r="V44" s="1479" t="s">
        <v>8</v>
      </c>
      <c r="W44" s="1480">
        <f t="shared" si="12"/>
        <v>100</v>
      </c>
      <c r="X44" s="1473"/>
      <c r="Y44" s="3897"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7"/>
      <c r="Q45" s="1478">
        <f t="shared" si="14"/>
        <v>111</v>
      </c>
      <c r="R45" s="1479" t="s">
        <v>8</v>
      </c>
      <c r="S45" s="1480">
        <f t="shared" si="10"/>
        <v>100</v>
      </c>
      <c r="T45" s="1479" t="s">
        <v>8</v>
      </c>
      <c r="U45" s="1480">
        <f t="shared" si="11"/>
        <v>100</v>
      </c>
      <c r="V45" s="1479" t="s">
        <v>8</v>
      </c>
      <c r="W45" s="1480">
        <f t="shared" si="12"/>
        <v>100</v>
      </c>
      <c r="X45" s="1473"/>
      <c r="Y45" s="3897"/>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7"/>
      <c r="Q46" s="1478">
        <f t="shared" si="14"/>
        <v>111</v>
      </c>
      <c r="R46" s="1479" t="s">
        <v>8</v>
      </c>
      <c r="S46" s="1480">
        <f t="shared" si="10"/>
        <v>100</v>
      </c>
      <c r="T46" s="1479" t="s">
        <v>8</v>
      </c>
      <c r="U46" s="1480">
        <f t="shared" si="11"/>
        <v>100</v>
      </c>
      <c r="V46" s="1479" t="s">
        <v>8</v>
      </c>
      <c r="W46" s="1480">
        <f t="shared" si="12"/>
        <v>100</v>
      </c>
      <c r="X46" s="1473"/>
      <c r="Y46" s="3897"/>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7"/>
      <c r="Q47" s="1478">
        <f t="shared" si="14"/>
        <v>111</v>
      </c>
      <c r="R47" s="1483" t="s">
        <v>8</v>
      </c>
      <c r="S47" s="1484">
        <f t="shared" si="10"/>
        <v>100</v>
      </c>
      <c r="T47" s="1483" t="s">
        <v>8</v>
      </c>
      <c r="U47" s="1484">
        <f t="shared" si="11"/>
        <v>100</v>
      </c>
      <c r="V47" s="1483" t="s">
        <v>8</v>
      </c>
      <c r="W47" s="1484">
        <f t="shared" si="12"/>
        <v>100</v>
      </c>
      <c r="X47" s="1485"/>
      <c r="Y47" s="3897"/>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891" t="str">
        <f>A48</f>
        <v>成交单价</v>
      </c>
      <c r="Q48" s="3891"/>
      <c r="R48" s="3893">
        <f>E48</f>
        <v>0</v>
      </c>
      <c r="S48" s="3893"/>
      <c r="T48" s="3893">
        <f>G48</f>
        <v>0</v>
      </c>
      <c r="U48" s="3893"/>
      <c r="V48" s="3893">
        <f>I48</f>
        <v>0</v>
      </c>
      <c r="W48" s="3893"/>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91" t="str">
        <f>A49</f>
        <v>比较价格（元/平方米）</v>
      </c>
      <c r="Q49" s="3891"/>
      <c r="R49" s="3892" t="e">
        <f>ROUND(PRODUCT(R48,AA9:AA47),0)</f>
        <v>#DIV/0!</v>
      </c>
      <c r="S49" s="3892"/>
      <c r="T49" s="3892" t="e">
        <f>ROUND(PRODUCT(T48,AB9:AB47),0)</f>
        <v>#DIV/0!</v>
      </c>
      <c r="U49" s="3892"/>
      <c r="V49" s="3892" t="e">
        <f>ROUND(PRODUCT(V48,AC9:AC47),0)</f>
        <v>#DIV/0!</v>
      </c>
      <c r="W49" s="3892"/>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8" t="str">
        <f>A50</f>
        <v>估价对象XX用房的比较价格（楼面单价，元/平方米）</v>
      </c>
      <c r="Q50" s="3889"/>
      <c r="R50" s="4007" t="e">
        <f>ROUND(IF(D49="简单平均",AVERAGE(R49:W49),R49*F49+T49*H49+V49*J49),0)</f>
        <v>#DIV/0!</v>
      </c>
      <c r="S50" s="4007"/>
      <c r="T50" s="4007"/>
      <c r="U50" s="4007"/>
      <c r="V50" s="4007"/>
      <c r="W50" s="4007"/>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02" t="s">
        <v>2247</v>
      </c>
      <c r="H57" s="4003"/>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4"/>
      <c r="H58" s="4005"/>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6"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6"/>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6"/>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6"/>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03" t="s">
        <v>500</v>
      </c>
      <c r="D6" s="3904"/>
      <c r="E6" s="3903" t="s">
        <v>501</v>
      </c>
      <c r="F6" s="3904"/>
      <c r="G6" s="3903" t="s">
        <v>502</v>
      </c>
      <c r="H6" s="3904"/>
      <c r="I6" s="3903" t="s">
        <v>503</v>
      </c>
      <c r="J6" s="3904"/>
      <c r="K6" s="489" t="s">
        <v>504</v>
      </c>
      <c r="L6" s="1983"/>
      <c r="M6" s="1982"/>
      <c r="N6" s="1982"/>
      <c r="O6" s="1984"/>
      <c r="P6" s="3907" t="s">
        <v>505</v>
      </c>
      <c r="Q6" s="3908"/>
      <c r="R6" s="3913" t="s">
        <v>501</v>
      </c>
      <c r="S6" s="3914"/>
      <c r="T6" s="3913" t="s">
        <v>502</v>
      </c>
      <c r="U6" s="3914"/>
      <c r="V6" s="3893" t="s">
        <v>503</v>
      </c>
      <c r="W6" s="3893"/>
      <c r="X6" s="3445"/>
      <c r="Y6" s="3913" t="s">
        <v>505</v>
      </c>
      <c r="Z6" s="3914"/>
      <c r="AA6" s="3900" t="s">
        <v>501</v>
      </c>
      <c r="AB6" s="3901" t="s">
        <v>502</v>
      </c>
      <c r="AC6" s="3900" t="s">
        <v>503</v>
      </c>
    </row>
    <row r="7" spans="1:30" ht="20.25">
      <c r="A7" s="490"/>
      <c r="B7" s="491"/>
      <c r="C7" s="3921" t="s">
        <v>2867</v>
      </c>
      <c r="D7" s="3922"/>
      <c r="E7" s="3921" t="s">
        <v>2868</v>
      </c>
      <c r="F7" s="3922"/>
      <c r="G7" s="3921" t="s">
        <v>2869</v>
      </c>
      <c r="H7" s="3922"/>
      <c r="I7" s="3921" t="s">
        <v>2870</v>
      </c>
      <c r="J7" s="3922"/>
      <c r="K7" s="489"/>
      <c r="L7" s="1983"/>
      <c r="M7" s="1982"/>
      <c r="N7" s="1982"/>
      <c r="O7" s="1984"/>
      <c r="P7" s="3909"/>
      <c r="Q7" s="3910"/>
      <c r="R7" s="3915"/>
      <c r="S7" s="3916"/>
      <c r="T7" s="3915"/>
      <c r="U7" s="3916"/>
      <c r="V7" s="3893"/>
      <c r="W7" s="3893"/>
      <c r="X7" s="3445"/>
      <c r="Y7" s="3915"/>
      <c r="Z7" s="3916"/>
      <c r="AA7" s="3901"/>
      <c r="AB7" s="3901"/>
      <c r="AC7" s="3901"/>
    </row>
    <row r="8" spans="1:30" ht="21" thickBot="1">
      <c r="A8" s="490"/>
      <c r="B8" s="491"/>
      <c r="C8" s="3994" t="s">
        <v>2871</v>
      </c>
      <c r="D8" s="3995"/>
      <c r="E8" s="3994" t="s">
        <v>2871</v>
      </c>
      <c r="F8" s="3995"/>
      <c r="G8" s="3923" t="s">
        <v>2871</v>
      </c>
      <c r="H8" s="3924"/>
      <c r="I8" s="3923" t="s">
        <v>2871</v>
      </c>
      <c r="J8" s="3924"/>
      <c r="K8" s="489" t="s">
        <v>506</v>
      </c>
      <c r="L8" s="1983"/>
      <c r="M8" s="1982"/>
      <c r="N8" s="1982"/>
      <c r="O8" s="1984"/>
      <c r="P8" s="3911"/>
      <c r="Q8" s="3912"/>
      <c r="R8" s="3915"/>
      <c r="S8" s="3916"/>
      <c r="T8" s="3917"/>
      <c r="U8" s="3918"/>
      <c r="V8" s="3893"/>
      <c r="W8" s="3893"/>
      <c r="X8" s="3445"/>
      <c r="Y8" s="3917"/>
      <c r="Z8" s="3918"/>
      <c r="AA8" s="3902"/>
      <c r="AB8" s="3902"/>
      <c r="AC8" s="3902"/>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8" t="s">
        <v>508</v>
      </c>
      <c r="Q9" s="3925"/>
      <c r="R9" s="1474" t="s">
        <v>8</v>
      </c>
      <c r="S9" s="1475">
        <f t="shared" ref="S9:S17" si="0">F9</f>
        <v>0</v>
      </c>
      <c r="T9" s="1474" t="s">
        <v>8</v>
      </c>
      <c r="U9" s="1475">
        <f t="shared" ref="U9:U17" si="1">H9</f>
        <v>0</v>
      </c>
      <c r="V9" s="1474" t="s">
        <v>8</v>
      </c>
      <c r="W9" s="1475">
        <f t="shared" ref="W9:W17" si="2">J9</f>
        <v>0</v>
      </c>
      <c r="X9" s="1476"/>
      <c r="Y9" s="3898" t="s">
        <v>508</v>
      </c>
      <c r="Z9" s="3899"/>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8" t="s">
        <v>511</v>
      </c>
      <c r="Q10" s="3899"/>
      <c r="R10" s="1474" t="s">
        <v>8</v>
      </c>
      <c r="S10" s="1475">
        <f t="shared" si="0"/>
        <v>0</v>
      </c>
      <c r="T10" s="1474" t="s">
        <v>8</v>
      </c>
      <c r="U10" s="1475">
        <f t="shared" si="1"/>
        <v>0</v>
      </c>
      <c r="V10" s="1474" t="s">
        <v>8</v>
      </c>
      <c r="W10" s="1475">
        <f t="shared" si="2"/>
        <v>0</v>
      </c>
      <c r="X10" s="1476"/>
      <c r="Y10" s="3898" t="s">
        <v>511</v>
      </c>
      <c r="Z10" s="3899"/>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91" t="s">
        <v>513</v>
      </c>
      <c r="Q11" s="3439" t="str">
        <f t="shared" ref="Q11:Q17" si="6">B11</f>
        <v>用途</v>
      </c>
      <c r="R11" s="1474" t="s">
        <v>8</v>
      </c>
      <c r="S11" s="1475">
        <f t="shared" si="0"/>
        <v>100</v>
      </c>
      <c r="T11" s="1474" t="s">
        <v>8</v>
      </c>
      <c r="U11" s="1475">
        <f t="shared" si="1"/>
        <v>100</v>
      </c>
      <c r="V11" s="1474" t="s">
        <v>8</v>
      </c>
      <c r="W11" s="1475">
        <f t="shared" si="2"/>
        <v>100</v>
      </c>
      <c r="X11" s="1476"/>
      <c r="Y11" s="3748"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91"/>
      <c r="Q12" s="3439" t="str">
        <f t="shared" si="6"/>
        <v>土地使用年限（年）</v>
      </c>
      <c r="R12" s="1474" t="s">
        <v>8</v>
      </c>
      <c r="S12" s="1475">
        <f t="shared" si="0"/>
        <v>100</v>
      </c>
      <c r="T12" s="1474" t="s">
        <v>8</v>
      </c>
      <c r="U12" s="1475">
        <f t="shared" si="1"/>
        <v>100</v>
      </c>
      <c r="V12" s="1474" t="s">
        <v>8</v>
      </c>
      <c r="W12" s="1475">
        <f t="shared" si="2"/>
        <v>100</v>
      </c>
      <c r="X12" s="1476"/>
      <c r="Y12" s="3748"/>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91"/>
      <c r="Q13" s="3439" t="str">
        <f t="shared" si="6"/>
        <v>容积率</v>
      </c>
      <c r="R13" s="1474" t="s">
        <v>8</v>
      </c>
      <c r="S13" s="1475" t="e">
        <f t="shared" si="0"/>
        <v>#N/A</v>
      </c>
      <c r="T13" s="1474" t="s">
        <v>8</v>
      </c>
      <c r="U13" s="1475" t="e">
        <f t="shared" si="1"/>
        <v>#N/A</v>
      </c>
      <c r="V13" s="1474" t="s">
        <v>8</v>
      </c>
      <c r="W13" s="1475" t="e">
        <f t="shared" si="2"/>
        <v>#N/A</v>
      </c>
      <c r="X13" s="1476"/>
      <c r="Y13" s="3748"/>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91"/>
      <c r="Q14" s="3439" t="str">
        <f t="shared" si="6"/>
        <v>配建</v>
      </c>
      <c r="R14" s="1474" t="s">
        <v>8</v>
      </c>
      <c r="S14" s="1475">
        <f t="shared" si="0"/>
        <v>100</v>
      </c>
      <c r="T14" s="1474" t="s">
        <v>8</v>
      </c>
      <c r="U14" s="1475">
        <f t="shared" si="1"/>
        <v>100</v>
      </c>
      <c r="V14" s="1474" t="s">
        <v>8</v>
      </c>
      <c r="W14" s="1475">
        <f t="shared" si="2"/>
        <v>100</v>
      </c>
      <c r="X14" s="1476"/>
      <c r="Y14" s="3748"/>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91"/>
      <c r="Q15" s="3439">
        <f t="shared" si="6"/>
        <v>111</v>
      </c>
      <c r="R15" s="1474" t="s">
        <v>8</v>
      </c>
      <c r="S15" s="1475">
        <f t="shared" si="0"/>
        <v>100</v>
      </c>
      <c r="T15" s="1474" t="s">
        <v>8</v>
      </c>
      <c r="U15" s="1475">
        <f t="shared" si="1"/>
        <v>100</v>
      </c>
      <c r="V15" s="1474" t="s">
        <v>8</v>
      </c>
      <c r="W15" s="1475">
        <f t="shared" si="2"/>
        <v>100</v>
      </c>
      <c r="X15" s="1476"/>
      <c r="Y15" s="3748"/>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91"/>
      <c r="Q16" s="3439">
        <f t="shared" si="6"/>
        <v>111</v>
      </c>
      <c r="R16" s="1474" t="s">
        <v>8</v>
      </c>
      <c r="S16" s="1475">
        <f t="shared" si="0"/>
        <v>100</v>
      </c>
      <c r="T16" s="1474" t="s">
        <v>8</v>
      </c>
      <c r="U16" s="1475">
        <f t="shared" si="1"/>
        <v>100</v>
      </c>
      <c r="V16" s="1474" t="s">
        <v>8</v>
      </c>
      <c r="W16" s="1475">
        <f t="shared" si="2"/>
        <v>100</v>
      </c>
      <c r="X16" s="1476"/>
      <c r="Y16" s="3748"/>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4" t="s">
        <v>518</v>
      </c>
      <c r="Q17" s="3446" t="str">
        <f t="shared" si="6"/>
        <v>居住社区成熟度</v>
      </c>
      <c r="R17" s="1479" t="s">
        <v>8</v>
      </c>
      <c r="S17" s="1480">
        <f t="shared" si="0"/>
        <v>100</v>
      </c>
      <c r="T17" s="1479" t="s">
        <v>8</v>
      </c>
      <c r="U17" s="1480">
        <f t="shared" si="1"/>
        <v>100</v>
      </c>
      <c r="V17" s="1479" t="s">
        <v>8</v>
      </c>
      <c r="W17" s="1480">
        <f t="shared" si="2"/>
        <v>100</v>
      </c>
      <c r="X17" s="3445"/>
      <c r="Y17" s="3894"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895"/>
      <c r="Q18" s="3446"/>
      <c r="R18" s="1479"/>
      <c r="S18" s="1480"/>
      <c r="T18" s="1479"/>
      <c r="U18" s="1480"/>
      <c r="V18" s="1479"/>
      <c r="W18" s="1480"/>
      <c r="X18" s="3445"/>
      <c r="Y18" s="3895"/>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5"/>
      <c r="Q19" s="3446" t="str">
        <f>B19</f>
        <v>商业繁华度</v>
      </c>
      <c r="R19" s="1479" t="s">
        <v>8</v>
      </c>
      <c r="S19" s="1480">
        <f>F19</f>
        <v>100</v>
      </c>
      <c r="T19" s="1479" t="s">
        <v>8</v>
      </c>
      <c r="U19" s="1480">
        <f>H19</f>
        <v>100</v>
      </c>
      <c r="V19" s="1479" t="s">
        <v>8</v>
      </c>
      <c r="W19" s="1480">
        <f>J19</f>
        <v>100</v>
      </c>
      <c r="X19" s="3445"/>
      <c r="Y19" s="3895"/>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895"/>
      <c r="Q20" s="3446"/>
      <c r="R20" s="1479"/>
      <c r="S20" s="1480"/>
      <c r="T20" s="1479"/>
      <c r="U20" s="1480"/>
      <c r="V20" s="1479"/>
      <c r="W20" s="1480"/>
      <c r="X20" s="3445"/>
      <c r="Y20" s="3895"/>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5"/>
      <c r="Q21" s="3446" t="str">
        <f>B21</f>
        <v>办公集聚程度</v>
      </c>
      <c r="R21" s="1479" t="s">
        <v>8</v>
      </c>
      <c r="S21" s="1480">
        <f>F21</f>
        <v>100</v>
      </c>
      <c r="T21" s="1479" t="s">
        <v>8</v>
      </c>
      <c r="U21" s="1480">
        <f>H21</f>
        <v>100</v>
      </c>
      <c r="V21" s="1479" t="s">
        <v>8</v>
      </c>
      <c r="W21" s="1480">
        <f>J21</f>
        <v>100</v>
      </c>
      <c r="X21" s="3445"/>
      <c r="Y21" s="3895"/>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895"/>
      <c r="Q22" s="3446"/>
      <c r="R22" s="1479"/>
      <c r="S22" s="1480"/>
      <c r="T22" s="1479"/>
      <c r="U22" s="1480"/>
      <c r="V22" s="1479"/>
      <c r="W22" s="1480"/>
      <c r="X22" s="3445"/>
      <c r="Y22" s="3895"/>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5"/>
      <c r="Q23" s="3446" t="str">
        <f>B23</f>
        <v>交通便捷度</v>
      </c>
      <c r="R23" s="1479" t="s">
        <v>8</v>
      </c>
      <c r="S23" s="1480">
        <f>F23</f>
        <v>100</v>
      </c>
      <c r="T23" s="1479" t="s">
        <v>8</v>
      </c>
      <c r="U23" s="1480">
        <f>H23</f>
        <v>100</v>
      </c>
      <c r="V23" s="1479" t="s">
        <v>8</v>
      </c>
      <c r="W23" s="1480">
        <f>J23</f>
        <v>100</v>
      </c>
      <c r="X23" s="3445"/>
      <c r="Y23" s="3895"/>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895"/>
      <c r="Q24" s="3446"/>
      <c r="R24" s="1479"/>
      <c r="S24" s="1480"/>
      <c r="T24" s="1479"/>
      <c r="U24" s="1480"/>
      <c r="V24" s="1479"/>
      <c r="W24" s="1480"/>
      <c r="X24" s="3445"/>
      <c r="Y24" s="3895"/>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5"/>
      <c r="Q25" s="3446" t="str">
        <f t="shared" ref="Q25:Q39" si="8">B25</f>
        <v>区域土地利用方向</v>
      </c>
      <c r="R25" s="1479" t="s">
        <v>8</v>
      </c>
      <c r="S25" s="1480">
        <f>F25</f>
        <v>100</v>
      </c>
      <c r="T25" s="1479" t="s">
        <v>8</v>
      </c>
      <c r="U25" s="1480">
        <f>H25</f>
        <v>100</v>
      </c>
      <c r="V25" s="1479" t="s">
        <v>8</v>
      </c>
      <c r="W25" s="1480">
        <f>J25</f>
        <v>100</v>
      </c>
      <c r="X25" s="3445"/>
      <c r="Y25" s="3895"/>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895"/>
      <c r="Q26" s="3446"/>
      <c r="R26" s="1479"/>
      <c r="S26" s="1480"/>
      <c r="T26" s="1479"/>
      <c r="U26" s="1480"/>
      <c r="V26" s="1479"/>
      <c r="W26" s="1480"/>
      <c r="X26" s="3445"/>
      <c r="Y26" s="3895"/>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5"/>
      <c r="Q27" s="3446" t="str">
        <f t="shared" si="8"/>
        <v>自然及人文环境状况</v>
      </c>
      <c r="R27" s="1479" t="s">
        <v>8</v>
      </c>
      <c r="S27" s="1480">
        <f>F27</f>
        <v>100</v>
      </c>
      <c r="T27" s="1479" t="s">
        <v>8</v>
      </c>
      <c r="U27" s="1480">
        <f>H27</f>
        <v>100</v>
      </c>
      <c r="V27" s="1479" t="s">
        <v>8</v>
      </c>
      <c r="W27" s="1480">
        <f>J27</f>
        <v>100</v>
      </c>
      <c r="X27" s="3445"/>
      <c r="Y27" s="3895"/>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895"/>
      <c r="Q28" s="3446"/>
      <c r="R28" s="1479"/>
      <c r="S28" s="1480"/>
      <c r="T28" s="1479"/>
      <c r="U28" s="1480"/>
      <c r="V28" s="1479"/>
      <c r="W28" s="1480"/>
      <c r="X28" s="3445"/>
      <c r="Y28" s="3895"/>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5"/>
      <c r="Q29" s="3439" t="str">
        <f t="shared" si="8"/>
        <v>公共配套设施</v>
      </c>
      <c r="R29" s="1474" t="s">
        <v>8</v>
      </c>
      <c r="S29" s="1475">
        <f>F29</f>
        <v>100</v>
      </c>
      <c r="T29" s="1474" t="s">
        <v>8</v>
      </c>
      <c r="U29" s="1475">
        <f>H29</f>
        <v>100</v>
      </c>
      <c r="V29" s="1474" t="s">
        <v>8</v>
      </c>
      <c r="W29" s="1475">
        <f>J29</f>
        <v>100</v>
      </c>
      <c r="X29" s="1476"/>
      <c r="Y29" s="3895"/>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895"/>
      <c r="Q30" s="3439"/>
      <c r="R30" s="1474"/>
      <c r="S30" s="1475"/>
      <c r="T30" s="1474"/>
      <c r="U30" s="1475"/>
      <c r="V30" s="1474"/>
      <c r="W30" s="1475"/>
      <c r="X30" s="1476"/>
      <c r="Y30" s="3895"/>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5"/>
      <c r="Q31" s="3439" t="str">
        <f t="shared" ref="Q31" si="9">B31</f>
        <v>基础设施水平</v>
      </c>
      <c r="R31" s="1474" t="s">
        <v>8</v>
      </c>
      <c r="S31" s="1475">
        <f>F31</f>
        <v>100</v>
      </c>
      <c r="T31" s="1474" t="s">
        <v>8</v>
      </c>
      <c r="U31" s="1475">
        <f>H31</f>
        <v>100</v>
      </c>
      <c r="V31" s="1474" t="s">
        <v>8</v>
      </c>
      <c r="W31" s="1475">
        <f>J31</f>
        <v>100</v>
      </c>
      <c r="X31" s="1476"/>
      <c r="Y31" s="3895"/>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895"/>
      <c r="Q32" s="3439"/>
      <c r="R32" s="1474"/>
      <c r="S32" s="1475"/>
      <c r="T32" s="1474"/>
      <c r="U32" s="1475"/>
      <c r="V32" s="1474"/>
      <c r="W32" s="1475"/>
      <c r="X32" s="1476"/>
      <c r="Y32" s="3895"/>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5"/>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895"/>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5"/>
      <c r="Q34" s="3446" t="str">
        <f t="shared" si="8"/>
        <v>毗邻道路的类型与等级</v>
      </c>
      <c r="R34" s="1479" t="s">
        <v>8</v>
      </c>
      <c r="S34" s="1480">
        <f t="shared" si="10"/>
        <v>100</v>
      </c>
      <c r="T34" s="1479" t="s">
        <v>8</v>
      </c>
      <c r="U34" s="1480">
        <f t="shared" si="11"/>
        <v>100</v>
      </c>
      <c r="V34" s="1479" t="s">
        <v>8</v>
      </c>
      <c r="W34" s="1480">
        <f t="shared" si="12"/>
        <v>100</v>
      </c>
      <c r="X34" s="3445"/>
      <c r="Y34" s="3895"/>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895"/>
      <c r="Q35" s="3446"/>
      <c r="R35" s="1479"/>
      <c r="S35" s="1480"/>
      <c r="T35" s="1479"/>
      <c r="U35" s="1480"/>
      <c r="V35" s="1479"/>
      <c r="W35" s="1480"/>
      <c r="X35" s="3445"/>
      <c r="Y35" s="3895"/>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5"/>
      <c r="Q36" s="3446" t="str">
        <f t="shared" si="8"/>
        <v>土地级别</v>
      </c>
      <c r="R36" s="1479" t="s">
        <v>8</v>
      </c>
      <c r="S36" s="1480">
        <f t="shared" si="10"/>
        <v>100</v>
      </c>
      <c r="T36" s="1479" t="s">
        <v>8</v>
      </c>
      <c r="U36" s="1480">
        <f t="shared" si="11"/>
        <v>100</v>
      </c>
      <c r="V36" s="1479" t="s">
        <v>8</v>
      </c>
      <c r="W36" s="1480">
        <f t="shared" si="12"/>
        <v>100</v>
      </c>
      <c r="X36" s="3445"/>
      <c r="Y36" s="3895"/>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5"/>
      <c r="Q37" s="3446">
        <f t="shared" si="8"/>
        <v>111</v>
      </c>
      <c r="R37" s="1479" t="s">
        <v>8</v>
      </c>
      <c r="S37" s="1480">
        <f t="shared" si="10"/>
        <v>100</v>
      </c>
      <c r="T37" s="1479" t="s">
        <v>8</v>
      </c>
      <c r="U37" s="1480">
        <f t="shared" si="11"/>
        <v>100</v>
      </c>
      <c r="V37" s="1479" t="s">
        <v>8</v>
      </c>
      <c r="W37" s="1480">
        <f t="shared" si="12"/>
        <v>100</v>
      </c>
      <c r="X37" s="3445"/>
      <c r="Y37" s="3895"/>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6" t="s">
        <v>528</v>
      </c>
      <c r="Q38" s="3446">
        <f t="shared" si="8"/>
        <v>111</v>
      </c>
      <c r="R38" s="1479" t="s">
        <v>8</v>
      </c>
      <c r="S38" s="1480">
        <f t="shared" si="10"/>
        <v>100</v>
      </c>
      <c r="T38" s="1479" t="s">
        <v>8</v>
      </c>
      <c r="U38" s="1480">
        <f t="shared" si="11"/>
        <v>100</v>
      </c>
      <c r="V38" s="1479" t="s">
        <v>8</v>
      </c>
      <c r="W38" s="1480">
        <f t="shared" si="12"/>
        <v>100</v>
      </c>
      <c r="X38" s="3445"/>
      <c r="Y38" s="3897"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7"/>
      <c r="Q39" s="3446">
        <f t="shared" si="8"/>
        <v>111</v>
      </c>
      <c r="R39" s="1483" t="s">
        <v>8</v>
      </c>
      <c r="S39" s="1484">
        <f t="shared" si="10"/>
        <v>100</v>
      </c>
      <c r="T39" s="1483" t="s">
        <v>8</v>
      </c>
      <c r="U39" s="1484">
        <f t="shared" si="11"/>
        <v>100</v>
      </c>
      <c r="V39" s="1483" t="s">
        <v>8</v>
      </c>
      <c r="W39" s="1484">
        <f t="shared" si="12"/>
        <v>100</v>
      </c>
      <c r="X39" s="1485"/>
      <c r="Y39" s="3897"/>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7"/>
      <c r="Q40" s="3446" t="str">
        <f>B40</f>
        <v>宗地面积</v>
      </c>
      <c r="R40" s="1479" t="s">
        <v>8</v>
      </c>
      <c r="S40" s="1480" t="e">
        <f t="shared" si="10"/>
        <v>#N/A</v>
      </c>
      <c r="T40" s="1479" t="s">
        <v>8</v>
      </c>
      <c r="U40" s="1480" t="e">
        <f t="shared" si="11"/>
        <v>#N/A</v>
      </c>
      <c r="V40" s="1479" t="s">
        <v>8</v>
      </c>
      <c r="W40" s="1480" t="e">
        <f t="shared" si="12"/>
        <v>#N/A</v>
      </c>
      <c r="X40" s="3445"/>
      <c r="Y40" s="3897"/>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7"/>
      <c r="Q41" s="3446" t="str">
        <f t="shared" ref="Q41:Q47" si="14">B41</f>
        <v>宗地形状</v>
      </c>
      <c r="R41" s="1479" t="s">
        <v>8</v>
      </c>
      <c r="S41" s="1480">
        <f t="shared" si="10"/>
        <v>100</v>
      </c>
      <c r="T41" s="1479" t="s">
        <v>8</v>
      </c>
      <c r="U41" s="1480">
        <f t="shared" si="11"/>
        <v>100</v>
      </c>
      <c r="V41" s="1479" t="s">
        <v>8</v>
      </c>
      <c r="W41" s="1480">
        <f t="shared" si="12"/>
        <v>100</v>
      </c>
      <c r="X41" s="3445"/>
      <c r="Y41" s="3897"/>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7"/>
      <c r="Q42" s="3446" t="str">
        <f t="shared" si="14"/>
        <v>临街宽度及深度</v>
      </c>
      <c r="R42" s="1479" t="s">
        <v>8</v>
      </c>
      <c r="S42" s="1480">
        <f t="shared" si="10"/>
        <v>100</v>
      </c>
      <c r="T42" s="1479" t="s">
        <v>8</v>
      </c>
      <c r="U42" s="1480">
        <f t="shared" si="11"/>
        <v>100</v>
      </c>
      <c r="V42" s="1479" t="s">
        <v>8</v>
      </c>
      <c r="W42" s="1480">
        <f t="shared" si="12"/>
        <v>100</v>
      </c>
      <c r="X42" s="3445"/>
      <c r="Y42" s="3897"/>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7"/>
      <c r="Q43" s="3446" t="str">
        <f t="shared" si="14"/>
        <v>宗地开发程度</v>
      </c>
      <c r="R43" s="1474" t="s">
        <v>8</v>
      </c>
      <c r="S43" s="1475">
        <f t="shared" si="10"/>
        <v>100</v>
      </c>
      <c r="T43" s="1474" t="s">
        <v>8</v>
      </c>
      <c r="U43" s="1475">
        <f t="shared" si="11"/>
        <v>100</v>
      </c>
      <c r="V43" s="1474" t="s">
        <v>8</v>
      </c>
      <c r="W43" s="1475">
        <f t="shared" si="12"/>
        <v>100</v>
      </c>
      <c r="X43" s="1476"/>
      <c r="Y43" s="3897"/>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7" t="s">
        <v>528</v>
      </c>
      <c r="Q44" s="3446" t="str">
        <f t="shared" si="14"/>
        <v>工程地质条件</v>
      </c>
      <c r="R44" s="1479" t="s">
        <v>8</v>
      </c>
      <c r="S44" s="1480">
        <f t="shared" si="10"/>
        <v>100</v>
      </c>
      <c r="T44" s="1479" t="s">
        <v>8</v>
      </c>
      <c r="U44" s="1480">
        <f t="shared" si="11"/>
        <v>100</v>
      </c>
      <c r="V44" s="1479" t="s">
        <v>8</v>
      </c>
      <c r="W44" s="1480">
        <f t="shared" si="12"/>
        <v>100</v>
      </c>
      <c r="X44" s="3445"/>
      <c r="Y44" s="3897"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7"/>
      <c r="Q45" s="3446">
        <f t="shared" si="14"/>
        <v>111</v>
      </c>
      <c r="R45" s="1479" t="s">
        <v>8</v>
      </c>
      <c r="S45" s="1480">
        <f t="shared" si="10"/>
        <v>100</v>
      </c>
      <c r="T45" s="1479" t="s">
        <v>8</v>
      </c>
      <c r="U45" s="1480">
        <f t="shared" si="11"/>
        <v>100</v>
      </c>
      <c r="V45" s="1479" t="s">
        <v>8</v>
      </c>
      <c r="W45" s="1480">
        <f t="shared" si="12"/>
        <v>100</v>
      </c>
      <c r="X45" s="3445"/>
      <c r="Y45" s="3897"/>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7"/>
      <c r="Q46" s="3446">
        <f t="shared" si="14"/>
        <v>111</v>
      </c>
      <c r="R46" s="1479" t="s">
        <v>8</v>
      </c>
      <c r="S46" s="1480">
        <f t="shared" si="10"/>
        <v>100</v>
      </c>
      <c r="T46" s="1479" t="s">
        <v>8</v>
      </c>
      <c r="U46" s="1480">
        <f t="shared" si="11"/>
        <v>100</v>
      </c>
      <c r="V46" s="1479" t="s">
        <v>8</v>
      </c>
      <c r="W46" s="1480">
        <f t="shared" si="12"/>
        <v>100</v>
      </c>
      <c r="X46" s="3445"/>
      <c r="Y46" s="3897"/>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7"/>
      <c r="Q47" s="3446">
        <f t="shared" si="14"/>
        <v>111</v>
      </c>
      <c r="R47" s="1483" t="s">
        <v>8</v>
      </c>
      <c r="S47" s="1484">
        <f t="shared" si="10"/>
        <v>100</v>
      </c>
      <c r="T47" s="1483" t="s">
        <v>8</v>
      </c>
      <c r="U47" s="1484">
        <f t="shared" si="11"/>
        <v>100</v>
      </c>
      <c r="V47" s="1483" t="s">
        <v>8</v>
      </c>
      <c r="W47" s="1484">
        <f t="shared" si="12"/>
        <v>100</v>
      </c>
      <c r="X47" s="1485"/>
      <c r="Y47" s="3897"/>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891" t="str">
        <f>A48</f>
        <v>成交单价</v>
      </c>
      <c r="Q48" s="3891"/>
      <c r="R48" s="3893">
        <f>E48</f>
        <v>0</v>
      </c>
      <c r="S48" s="3893"/>
      <c r="T48" s="3893">
        <f>G48</f>
        <v>0</v>
      </c>
      <c r="U48" s="3893"/>
      <c r="V48" s="3893">
        <f>I48</f>
        <v>0</v>
      </c>
      <c r="W48" s="3893"/>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91" t="str">
        <f>A49</f>
        <v>比较价格（元/平方米）</v>
      </c>
      <c r="Q49" s="3891"/>
      <c r="R49" s="3892" t="e">
        <f>ROUND(PRODUCT(R48,AA9:AA47),0)</f>
        <v>#DIV/0!</v>
      </c>
      <c r="S49" s="3892"/>
      <c r="T49" s="3892" t="e">
        <f>ROUND(PRODUCT(T48,AB9:AB47),0)</f>
        <v>#DIV/0!</v>
      </c>
      <c r="U49" s="3892"/>
      <c r="V49" s="3892" t="e">
        <f>ROUND(PRODUCT(V48,AC9:AC47),0)</f>
        <v>#DIV/0!</v>
      </c>
      <c r="W49" s="3892"/>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8" t="str">
        <f>A50</f>
        <v>估价对象XX用房的比较价格（楼面单价，元/平方米）</v>
      </c>
      <c r="Q50" s="3889"/>
      <c r="R50" s="4007" t="e">
        <f>ROUND(IF(D49="简单平均",AVERAGE(R49:W49),R49*F49+T49*H49+V49*J49),0)</f>
        <v>#DIV/0!</v>
      </c>
      <c r="S50" s="4007"/>
      <c r="T50" s="4007"/>
      <c r="U50" s="4007"/>
      <c r="V50" s="4007"/>
      <c r="W50" s="4007"/>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02" t="s">
        <v>2247</v>
      </c>
      <c r="H57" s="4003"/>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4"/>
      <c r="H58" s="4005"/>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6"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6"/>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6"/>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6"/>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14" t="s">
        <v>2337</v>
      </c>
      <c r="B1" s="4009" t="s">
        <v>3167</v>
      </c>
      <c r="C1" s="4009" t="s">
        <v>3168</v>
      </c>
      <c r="D1" s="4009" t="s">
        <v>3169</v>
      </c>
      <c r="E1" s="4009" t="s">
        <v>3170</v>
      </c>
      <c r="F1" s="4009" t="s">
        <v>3171</v>
      </c>
      <c r="G1" s="4009" t="s">
        <v>3151</v>
      </c>
      <c r="H1" s="4009" t="s">
        <v>3172</v>
      </c>
      <c r="I1" s="4009" t="s">
        <v>3173</v>
      </c>
      <c r="J1" s="4011" t="s">
        <v>3174</v>
      </c>
      <c r="K1" s="4009" t="s">
        <v>3175</v>
      </c>
      <c r="L1" s="4009"/>
      <c r="M1" s="4009"/>
      <c r="N1" s="4009"/>
      <c r="O1" s="4009" t="s">
        <v>3176</v>
      </c>
      <c r="P1" s="4009"/>
      <c r="Q1" s="4012" t="s">
        <v>3177</v>
      </c>
      <c r="R1" s="4012"/>
      <c r="S1" s="4009" t="s">
        <v>3178</v>
      </c>
      <c r="T1" s="4009"/>
      <c r="U1" s="4009" t="s">
        <v>3179</v>
      </c>
      <c r="V1" s="4013" t="s">
        <v>3180</v>
      </c>
      <c r="W1" s="4009" t="s">
        <v>3181</v>
      </c>
      <c r="X1" s="4009" t="s">
        <v>3182</v>
      </c>
      <c r="Y1" s="4009" t="s">
        <v>3183</v>
      </c>
      <c r="Z1" s="3463" t="s">
        <v>3184</v>
      </c>
      <c r="AA1" s="3464"/>
      <c r="AB1" s="3464"/>
      <c r="AC1" s="4009"/>
      <c r="AD1" s="3463"/>
      <c r="AE1" s="3463"/>
      <c r="AF1" s="3463"/>
      <c r="AG1" s="3463"/>
      <c r="AH1" s="4008"/>
      <c r="AI1" s="4008"/>
      <c r="AJ1" s="4008"/>
      <c r="AK1" s="4008"/>
      <c r="AL1" s="4008"/>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14"/>
      <c r="B2" s="4009"/>
      <c r="C2" s="4009"/>
      <c r="D2" s="4009"/>
      <c r="E2" s="4009"/>
      <c r="F2" s="4009"/>
      <c r="G2" s="4009"/>
      <c r="H2" s="4009"/>
      <c r="I2" s="4009"/>
      <c r="J2" s="4011"/>
      <c r="K2" s="3463" t="s">
        <v>3185</v>
      </c>
      <c r="L2" s="3463" t="s">
        <v>3186</v>
      </c>
      <c r="M2" s="3463" t="s">
        <v>3187</v>
      </c>
      <c r="N2" s="3463" t="s">
        <v>3188</v>
      </c>
      <c r="O2" s="3463" t="s">
        <v>3189</v>
      </c>
      <c r="P2" s="3463" t="s">
        <v>3156</v>
      </c>
      <c r="Q2" s="3463" t="s">
        <v>3189</v>
      </c>
      <c r="R2" s="3463" t="s">
        <v>3156</v>
      </c>
      <c r="S2" s="3463" t="s">
        <v>3189</v>
      </c>
      <c r="T2" s="3463" t="s">
        <v>3156</v>
      </c>
      <c r="U2" s="4009"/>
      <c r="V2" s="4013"/>
      <c r="W2" s="4009"/>
      <c r="X2" s="4009"/>
      <c r="Y2" s="4009"/>
      <c r="Z2" s="3463"/>
      <c r="AA2" s="3463"/>
      <c r="AB2" s="3463"/>
      <c r="AC2" s="4010"/>
      <c r="AD2" s="3463"/>
      <c r="AE2" s="3463"/>
      <c r="AF2" s="3463"/>
      <c r="AG2" s="3463"/>
      <c r="AH2" s="4008"/>
      <c r="AI2" s="4008"/>
      <c r="AJ2" s="4008"/>
      <c r="AK2" s="4008"/>
      <c r="AL2" s="4008"/>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3190</v>
      </c>
      <c r="C3" s="3467" t="s">
        <v>3191</v>
      </c>
      <c r="D3" s="3467" t="s">
        <v>3192</v>
      </c>
      <c r="E3" s="3467" t="s">
        <v>3193</v>
      </c>
      <c r="F3" s="3467" t="s">
        <v>3194</v>
      </c>
      <c r="G3" s="3467" t="s">
        <v>3195</v>
      </c>
      <c r="H3" s="3467">
        <v>44.2</v>
      </c>
      <c r="I3" s="3467" t="s">
        <v>3206</v>
      </c>
      <c r="J3" s="3468">
        <v>1</v>
      </c>
      <c r="K3" s="3467">
        <v>3.5</v>
      </c>
      <c r="L3" s="3469" t="s">
        <v>3207</v>
      </c>
      <c r="M3" s="3467">
        <v>27450</v>
      </c>
      <c r="N3" s="3467" t="s">
        <v>3208</v>
      </c>
      <c r="O3" s="3467" t="s">
        <v>3209</v>
      </c>
      <c r="P3" s="3467" t="s">
        <v>3210</v>
      </c>
      <c r="Q3" s="3467" t="s">
        <v>3211</v>
      </c>
      <c r="R3" s="3467" t="s">
        <v>3212</v>
      </c>
      <c r="S3" s="3467" t="s">
        <v>3213</v>
      </c>
      <c r="T3" s="3467" t="s">
        <v>3214</v>
      </c>
      <c r="U3" s="3467"/>
      <c r="V3" s="3470" t="s">
        <v>3215</v>
      </c>
      <c r="W3" s="3467" t="s">
        <v>3216</v>
      </c>
      <c r="X3" s="3467" t="s">
        <v>3216</v>
      </c>
      <c r="Y3" s="3467" t="s">
        <v>3216</v>
      </c>
      <c r="Z3" s="3467" t="s">
        <v>3217</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3196</v>
      </c>
      <c r="C4" s="3467" t="s">
        <v>3197</v>
      </c>
      <c r="D4" s="3467" t="s">
        <v>3198</v>
      </c>
      <c r="E4" s="3467" t="s">
        <v>3199</v>
      </c>
      <c r="F4" s="3467" t="s">
        <v>3194</v>
      </c>
      <c r="G4" s="3467" t="s">
        <v>3200</v>
      </c>
      <c r="H4" s="3467">
        <v>201.38</v>
      </c>
      <c r="I4" s="3467">
        <v>362.6</v>
      </c>
      <c r="J4" s="3468">
        <v>1.8</v>
      </c>
      <c r="K4" s="3467">
        <v>3.5</v>
      </c>
      <c r="L4" s="3469" t="s">
        <v>3218</v>
      </c>
      <c r="M4" s="3467">
        <v>24760</v>
      </c>
      <c r="N4" s="3467" t="s">
        <v>3208</v>
      </c>
      <c r="O4" s="3467" t="s">
        <v>3219</v>
      </c>
      <c r="P4" s="3467" t="s">
        <v>3220</v>
      </c>
      <c r="Q4" s="3467" t="s">
        <v>3221</v>
      </c>
      <c r="R4" s="3467" t="s">
        <v>3222</v>
      </c>
      <c r="S4" s="3467" t="s">
        <v>3223</v>
      </c>
      <c r="T4" s="3467" t="s">
        <v>3224</v>
      </c>
      <c r="U4" s="3467"/>
      <c r="V4" s="3470" t="s">
        <v>3225</v>
      </c>
      <c r="W4" s="3467" t="s">
        <v>3226</v>
      </c>
      <c r="X4" s="3467" t="s">
        <v>3226</v>
      </c>
      <c r="Y4" s="3467" t="s">
        <v>3226</v>
      </c>
      <c r="Z4" s="3467" t="s">
        <v>3217</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3201</v>
      </c>
      <c r="C5" s="3467" t="s">
        <v>3202</v>
      </c>
      <c r="D5" s="3467" t="s">
        <v>3203</v>
      </c>
      <c r="E5" s="3467" t="s">
        <v>3204</v>
      </c>
      <c r="F5" s="3467" t="s">
        <v>3194</v>
      </c>
      <c r="G5" s="3484" t="s">
        <v>3205</v>
      </c>
      <c r="H5" s="3467">
        <v>1396.03</v>
      </c>
      <c r="I5" s="3467" t="s">
        <v>3227</v>
      </c>
      <c r="J5" s="3468">
        <v>0.88</v>
      </c>
      <c r="K5" s="3467">
        <v>3.5</v>
      </c>
      <c r="L5" s="3469" t="s">
        <v>3228</v>
      </c>
      <c r="M5" s="3467">
        <v>28130</v>
      </c>
      <c r="N5" s="3467" t="s">
        <v>3229</v>
      </c>
      <c r="O5" s="3467" t="s">
        <v>3230</v>
      </c>
      <c r="P5" s="3467" t="s">
        <v>3231</v>
      </c>
      <c r="Q5" s="3467" t="s">
        <v>3237</v>
      </c>
      <c r="R5" s="3467" t="s">
        <v>3232</v>
      </c>
      <c r="S5" s="3467" t="s">
        <v>3233</v>
      </c>
      <c r="T5" s="3467" t="s">
        <v>3234</v>
      </c>
      <c r="U5" s="3467"/>
      <c r="V5" s="3470" t="s">
        <v>3235</v>
      </c>
      <c r="W5" s="3467" t="s">
        <v>3236</v>
      </c>
      <c r="X5" s="3467" t="s">
        <v>3236</v>
      </c>
      <c r="Y5" s="3467" t="s">
        <v>3236</v>
      </c>
      <c r="Z5" s="3467" t="s">
        <v>3217</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3238</v>
      </c>
      <c r="C6" s="3461" t="s">
        <v>3239</v>
      </c>
      <c r="D6" s="3461" t="s">
        <v>3240</v>
      </c>
      <c r="E6" s="3461" t="s">
        <v>3241</v>
      </c>
      <c r="F6" s="3461" t="s">
        <v>3194</v>
      </c>
      <c r="G6" s="3461" t="s">
        <v>3242</v>
      </c>
      <c r="H6" s="3461" t="s">
        <v>3243</v>
      </c>
      <c r="J6" s="3461" t="s">
        <v>3244</v>
      </c>
      <c r="K6" s="3462" t="s">
        <v>3245</v>
      </c>
      <c r="L6" s="3472" t="s">
        <v>3246</v>
      </c>
      <c r="M6" s="3472" t="s">
        <v>3247</v>
      </c>
      <c r="N6" s="3472" t="s">
        <v>3248</v>
      </c>
      <c r="O6" s="3472" t="s">
        <v>3249</v>
      </c>
      <c r="P6" s="3461" t="s">
        <v>3250</v>
      </c>
      <c r="Q6" s="3461" t="s">
        <v>3251</v>
      </c>
      <c r="R6" s="3461" t="s">
        <v>3252</v>
      </c>
      <c r="S6" s="3461" t="s">
        <v>3253</v>
      </c>
      <c r="T6" s="3461" t="s">
        <v>3254</v>
      </c>
      <c r="U6" s="3461" t="s">
        <v>3255</v>
      </c>
      <c r="V6" s="3472"/>
      <c r="W6" s="3473" t="s">
        <v>3256</v>
      </c>
      <c r="X6" s="3461" t="s">
        <v>3257</v>
      </c>
      <c r="Y6" s="3461" t="s">
        <v>3258</v>
      </c>
      <c r="Z6" s="3461" t="s">
        <v>3258</v>
      </c>
      <c r="AA6" s="3474">
        <v>44284</v>
      </c>
    </row>
    <row r="7" spans="1:16372" s="3476" customFormat="1" ht="102" customHeight="1">
      <c r="A7" s="3475">
        <v>2021</v>
      </c>
      <c r="B7" s="3476" t="s">
        <v>3259</v>
      </c>
      <c r="C7" s="3476" t="s">
        <v>3260</v>
      </c>
      <c r="D7" s="3476" t="s">
        <v>3261</v>
      </c>
      <c r="E7" s="3476" t="s">
        <v>3204</v>
      </c>
      <c r="F7" s="3476" t="s">
        <v>3262</v>
      </c>
      <c r="G7" s="3485" t="s">
        <v>3263</v>
      </c>
      <c r="H7" s="3476" t="s">
        <v>3264</v>
      </c>
      <c r="I7" s="3476">
        <v>40447.589999999997</v>
      </c>
      <c r="J7" s="3476" t="s">
        <v>3265</v>
      </c>
      <c r="K7" s="3477">
        <v>2.17</v>
      </c>
      <c r="L7" s="3476">
        <v>3.5</v>
      </c>
      <c r="M7" s="3476" t="s">
        <v>3266</v>
      </c>
      <c r="N7" s="3476" t="s">
        <v>3267</v>
      </c>
      <c r="O7" s="3476" t="s">
        <v>3268</v>
      </c>
      <c r="P7" s="3476" t="s">
        <v>3269</v>
      </c>
      <c r="Q7" s="3476" t="s">
        <v>3270</v>
      </c>
      <c r="R7" s="3476" t="s">
        <v>3271</v>
      </c>
      <c r="S7" s="3476" t="s">
        <v>3272</v>
      </c>
      <c r="T7" s="3476" t="s">
        <v>3273</v>
      </c>
      <c r="U7" s="3476" t="s">
        <v>3274</v>
      </c>
      <c r="V7" s="3478"/>
      <c r="W7" s="3476" t="s">
        <v>3275</v>
      </c>
      <c r="X7" s="3479" t="s">
        <v>3276</v>
      </c>
      <c r="Y7" s="3479" t="s">
        <v>3276</v>
      </c>
      <c r="Z7" s="3479" t="s">
        <v>3276</v>
      </c>
      <c r="AA7" s="3480">
        <v>44214</v>
      </c>
      <c r="AE7" s="3476" t="s">
        <v>3277</v>
      </c>
      <c r="AF7" s="3476" t="s">
        <v>3278</v>
      </c>
      <c r="AG7" s="3476" t="s">
        <v>3279</v>
      </c>
      <c r="AH7" s="3476">
        <v>20191204</v>
      </c>
      <c r="AI7" s="3480"/>
      <c r="AJ7" s="3481"/>
      <c r="AK7" s="3481"/>
      <c r="AL7" s="3481"/>
      <c r="AM7" s="3476" t="s">
        <v>3280</v>
      </c>
      <c r="AN7" s="3482" t="s">
        <v>3281</v>
      </c>
    </row>
    <row r="8" spans="1:16372" ht="36">
      <c r="A8" s="3483">
        <v>2019</v>
      </c>
      <c r="B8" s="3476" t="s">
        <v>3282</v>
      </c>
      <c r="C8" s="3476" t="s">
        <v>3283</v>
      </c>
      <c r="D8" s="3476" t="s">
        <v>3204</v>
      </c>
      <c r="E8" s="3476" t="s">
        <v>3284</v>
      </c>
      <c r="F8" s="3476">
        <v>217.33</v>
      </c>
      <c r="G8" s="3476">
        <v>117.9</v>
      </c>
      <c r="H8" s="3476">
        <v>117.9</v>
      </c>
      <c r="I8" s="3477">
        <v>0.54</v>
      </c>
      <c r="J8" s="3476">
        <v>2.5</v>
      </c>
      <c r="K8" s="3476" t="s">
        <v>3285</v>
      </c>
      <c r="L8" s="3476">
        <v>26180</v>
      </c>
      <c r="M8" s="3476" t="s">
        <v>3286</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3320</v>
      </c>
      <c r="C11" s="3475" t="s">
        <v>3321</v>
      </c>
      <c r="D11" s="3461" t="s">
        <v>3199</v>
      </c>
      <c r="E11" s="3475" t="s">
        <v>3322</v>
      </c>
      <c r="F11" s="3475">
        <v>4854.5</v>
      </c>
      <c r="G11" s="3461">
        <v>10921.6</v>
      </c>
      <c r="H11" s="3461" t="s">
        <v>3323</v>
      </c>
      <c r="I11" s="3475">
        <v>2.25</v>
      </c>
      <c r="J11" s="3475">
        <v>2.5</v>
      </c>
      <c r="K11" s="3475" t="s">
        <v>3324</v>
      </c>
      <c r="L11" s="3475">
        <v>19190</v>
      </c>
      <c r="M11" s="3475" t="s">
        <v>3325</v>
      </c>
      <c r="N11" s="3475" t="s">
        <v>3326</v>
      </c>
      <c r="O11" s="3475" t="s">
        <v>3327</v>
      </c>
      <c r="P11" s="3475" t="s">
        <v>3328</v>
      </c>
      <c r="Q11" s="3475" t="s">
        <v>3329</v>
      </c>
      <c r="R11" s="3475" t="s">
        <v>3330</v>
      </c>
      <c r="S11" s="3475" t="s">
        <v>3331</v>
      </c>
      <c r="U11" s="3461" t="s">
        <v>3332</v>
      </c>
      <c r="V11" s="3474">
        <v>43833</v>
      </c>
    </row>
    <row r="12" spans="1:16372" ht="58.5" customHeight="1">
      <c r="A12" s="3483">
        <v>2019</v>
      </c>
      <c r="B12" s="3501" t="s">
        <v>3333</v>
      </c>
      <c r="C12" s="3501" t="s">
        <v>3334</v>
      </c>
      <c r="D12" s="3501" t="s">
        <v>3335</v>
      </c>
      <c r="E12" s="3501" t="s">
        <v>3336</v>
      </c>
      <c r="F12" s="3501" t="s">
        <v>3352</v>
      </c>
      <c r="G12" s="3501" t="s">
        <v>3353</v>
      </c>
      <c r="H12" s="3501" t="s">
        <v>3354</v>
      </c>
      <c r="I12" s="3502">
        <v>2.4</v>
      </c>
      <c r="J12" s="3501" t="s">
        <v>3337</v>
      </c>
      <c r="K12" s="3501">
        <v>2.5</v>
      </c>
      <c r="L12" s="3501" t="s">
        <v>3338</v>
      </c>
      <c r="M12" s="3501" t="s">
        <v>3339</v>
      </c>
      <c r="N12" s="3501"/>
      <c r="O12" s="3501" t="s">
        <v>3340</v>
      </c>
      <c r="P12" s="3501"/>
      <c r="Q12" s="3501"/>
      <c r="R12" s="3501"/>
      <c r="S12" s="3501"/>
      <c r="T12" s="3501" t="s">
        <v>3341</v>
      </c>
      <c r="U12" s="3501">
        <v>20190115</v>
      </c>
      <c r="V12" s="3501" t="s">
        <v>3342</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3343</v>
      </c>
      <c r="C13" s="3478" t="s">
        <v>3344</v>
      </c>
      <c r="D13" s="3478" t="s">
        <v>3204</v>
      </c>
      <c r="E13" s="3478" t="s">
        <v>3345</v>
      </c>
      <c r="F13" s="3478">
        <v>3051.19</v>
      </c>
      <c r="G13" s="3478" t="s">
        <v>3346</v>
      </c>
      <c r="H13" s="3478" t="s">
        <v>3347</v>
      </c>
      <c r="I13" s="3504">
        <v>6.7</v>
      </c>
      <c r="J13" s="3478" t="s">
        <v>3348</v>
      </c>
      <c r="K13" s="3478">
        <v>2.5</v>
      </c>
      <c r="L13" s="3478" t="s">
        <v>3349</v>
      </c>
      <c r="M13" s="3478" t="s">
        <v>3350</v>
      </c>
      <c r="N13" s="3478"/>
      <c r="O13" s="3478" t="s">
        <v>3351</v>
      </c>
      <c r="P13" s="3478"/>
      <c r="Q13" s="3478"/>
      <c r="R13" s="3478"/>
      <c r="S13" s="3478"/>
      <c r="T13" s="3478"/>
      <c r="U13" s="3478"/>
      <c r="V13" s="3478"/>
      <c r="W13" s="3478"/>
      <c r="X13" s="3505"/>
      <c r="Y13" s="3506"/>
      <c r="Z13" s="3506"/>
      <c r="AA13" s="3506"/>
      <c r="AB13" s="3507" t="s">
        <v>3280</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1613.093525179856</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19803.110400000001</v>
      </c>
      <c r="C5" s="3146">
        <f ca="1">ROUND(B5*10000/$B$1,0)</f>
        <v>22080</v>
      </c>
      <c r="D5" s="3146">
        <f ca="1">ROUND(B5*10000/$B$2,0)</f>
        <v>122765</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面积!C6</f>
        <v>8968.7999999999993</v>
      </c>
      <c r="C14" s="3152">
        <f>'数据-基础表'!A3</f>
        <v>1613.093525179856</v>
      </c>
      <c r="D14" s="3152">
        <f ca="1">结果!F4</f>
        <v>19803.110400000001</v>
      </c>
      <c r="E14" s="3152">
        <f ca="1">ROUND(D14*10000/B14,0)</f>
        <v>22080</v>
      </c>
      <c r="F14" s="3152">
        <f ca="1">ROUND(D14*10000/C14,0)</f>
        <v>122765</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17" t="s">
        <v>2032</v>
      </c>
      <c r="B1" s="3617"/>
      <c r="C1" s="3617"/>
      <c r="D1" s="3617"/>
    </row>
    <row r="2" spans="1:4" ht="47.25" customHeight="1">
      <c r="A2" s="3621" t="str">
        <f>"1.权利限制："&amp;项目基本情况!L24&amp;"未设定租赁等其他他项权利。"</f>
        <v>1.权利限制：根据估价对象《不动产权证书》原件、《国有土地使用权》复印件，截至估价期日，估价对象抵押权未见登记。未设定租赁等其他他项权利。</v>
      </c>
      <c r="B2" s="3621"/>
      <c r="C2" s="3621"/>
      <c r="D2" s="3621"/>
    </row>
    <row r="3" spans="1:4" ht="48" customHeight="1">
      <c r="A3" s="36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7"/>
      <c r="C3" s="3617"/>
      <c r="D3" s="3617"/>
    </row>
    <row r="4" spans="1:4" ht="36.75" customHeight="1">
      <c r="A4" s="3617" t="str">
        <f>"3.估价规划限制条件：详见"&amp;项目基本情况!E21&amp;"。"</f>
        <v>3.估价规划限制条件：详见《建设工程规划许可证》[]、《出让合同》[]。</v>
      </c>
      <c r="B4" s="3617"/>
      <c r="C4" s="3617"/>
      <c r="D4" s="3617"/>
    </row>
    <row r="5" spans="1:4">
      <c r="A5" s="3620" t="s">
        <v>2033</v>
      </c>
      <c r="B5" s="3620"/>
      <c r="C5" s="3620"/>
      <c r="D5" s="3620"/>
    </row>
    <row r="6" spans="1:4">
      <c r="A6" s="3617" t="s">
        <v>2011</v>
      </c>
      <c r="B6" s="3617"/>
      <c r="C6" s="3617"/>
      <c r="D6" s="3617"/>
    </row>
    <row r="7" spans="1:4" ht="33" customHeight="1">
      <c r="A7" s="3617" t="s">
        <v>2528</v>
      </c>
      <c r="B7" s="3617"/>
      <c r="C7" s="3617"/>
      <c r="D7" s="3617"/>
    </row>
    <row r="8" spans="1:4" ht="32.25" customHeight="1">
      <c r="A8" s="36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7"/>
      <c r="C8" s="3617"/>
      <c r="D8" s="3617"/>
    </row>
    <row r="9" spans="1:4" ht="33.75" customHeight="1">
      <c r="A9" s="3617" t="str">
        <f>IF(项目基本情况!B8="抵押","3.抵押双方在办理抵押登记手续时，应使用本公司出具的正式《土地估价报告》，特提请报告使用者注意。","——")</f>
        <v>——</v>
      </c>
      <c r="B9" s="3617"/>
      <c r="C9" s="3617"/>
      <c r="D9" s="3617"/>
    </row>
    <row r="10" spans="1:4">
      <c r="A10" s="3617" t="str">
        <f>IF(项目基本情况!B8="抵押","4.估价师所知悉的法定优先受偿款情况为：","——")</f>
        <v>——</v>
      </c>
      <c r="B10" s="3617"/>
      <c r="C10" s="3617"/>
      <c r="D10" s="3617"/>
    </row>
    <row r="11" spans="1:4" ht="37.5" customHeight="1">
      <c r="A11" s="3619" t="str">
        <f>IF(项目基本情况!B8="抵押","（1）"&amp;CONCATENATE(项目基本情况!L24,项目基本情况!L25,项目基本情况!L26),"——")</f>
        <v>——</v>
      </c>
      <c r="B11" s="3619"/>
      <c r="C11" s="3619"/>
      <c r="D11" s="3619"/>
    </row>
    <row r="12" spans="1:4" ht="168" customHeight="1">
      <c r="A12" s="3620" t="s">
        <v>2035</v>
      </c>
      <c r="B12" s="3620"/>
      <c r="C12" s="3620"/>
      <c r="D12" s="3620"/>
    </row>
    <row r="13" spans="1:4">
      <c r="A13" s="3618" t="s">
        <v>2699</v>
      </c>
      <c r="B13" s="3618"/>
      <c r="C13" s="3618"/>
      <c r="D13" s="3618"/>
    </row>
    <row r="14" spans="1:4">
      <c r="A14" s="3619" t="str">
        <f>IF(项目基本情况!B8="抵押","综上，"&amp;结果表!K47,"——")</f>
        <v>——</v>
      </c>
      <c r="B14" s="3619"/>
      <c r="C14" s="3619"/>
      <c r="D14" s="3619"/>
    </row>
    <row r="15" spans="1:4" ht="58.5" customHeight="1">
      <c r="A15" s="36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7"/>
      <c r="C15" s="3617"/>
      <c r="D15" s="3617"/>
    </row>
    <row r="16" spans="1:4" ht="70.5" customHeight="1">
      <c r="A16" s="36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7"/>
      <c r="C16" s="3617"/>
      <c r="D16" s="3617"/>
    </row>
    <row r="17" spans="1:4">
      <c r="A17" s="3617" t="s">
        <v>2655</v>
      </c>
      <c r="B17" s="3617"/>
      <c r="C17" s="3617"/>
      <c r="D17" s="3617"/>
    </row>
    <row r="18" spans="1:4">
      <c r="A18" s="3617" t="s">
        <v>2647</v>
      </c>
      <c r="B18" s="3617"/>
      <c r="C18" s="3617"/>
      <c r="D18" s="3617"/>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17" t="s">
        <v>2652</v>
      </c>
      <c r="B23" s="3617"/>
      <c r="C23" s="3617"/>
      <c r="D23" s="3617"/>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29" t="s">
        <v>53</v>
      </c>
      <c r="B15" s="3630" t="s">
        <v>822</v>
      </c>
      <c r="C15" s="3626"/>
    </row>
    <row r="16" spans="1:7" ht="14.25">
      <c r="A16" s="3629"/>
      <c r="B16" s="3627" t="s">
        <v>54</v>
      </c>
      <c r="C16" s="1136" t="s">
        <v>53</v>
      </c>
    </row>
    <row r="17" spans="1:3" ht="14.25">
      <c r="A17" s="3629"/>
      <c r="B17" s="3627"/>
      <c r="C17" s="1136" t="s">
        <v>55</v>
      </c>
    </row>
    <row r="18" spans="1:3" ht="14.25">
      <c r="A18" s="3629"/>
      <c r="B18" s="3627"/>
      <c r="C18" s="1136" t="s">
        <v>56</v>
      </c>
    </row>
    <row r="19" spans="1:3" ht="14.25">
      <c r="A19" s="3629"/>
      <c r="B19" s="3625" t="s">
        <v>57</v>
      </c>
      <c r="C19" s="3626"/>
    </row>
    <row r="20" spans="1:3" ht="14.25">
      <c r="A20" s="1137" t="s">
        <v>58</v>
      </c>
      <c r="B20" s="1138"/>
      <c r="C20" s="1139"/>
    </row>
    <row r="21" spans="1:3" ht="14.25">
      <c r="A21" s="3628" t="s">
        <v>59</v>
      </c>
      <c r="B21" s="3625" t="s">
        <v>60</v>
      </c>
      <c r="C21" s="3626"/>
    </row>
    <row r="22" spans="1:3" ht="14.25">
      <c r="A22" s="3628"/>
      <c r="B22" s="3625" t="s">
        <v>61</v>
      </c>
      <c r="C22" s="3626"/>
    </row>
    <row r="23" spans="1:3" ht="14.25">
      <c r="A23" s="3628"/>
      <c r="B23" s="3625" t="s">
        <v>62</v>
      </c>
      <c r="C23" s="3626"/>
    </row>
    <row r="24" spans="1:3" ht="14.25">
      <c r="A24" s="3628"/>
      <c r="B24" s="3631" t="s">
        <v>63</v>
      </c>
      <c r="C24" s="1140" t="s">
        <v>813</v>
      </c>
    </row>
    <row r="25" spans="1:3" ht="14.25">
      <c r="A25" s="3628"/>
      <c r="B25" s="3632"/>
      <c r="C25" s="1140" t="s">
        <v>814</v>
      </c>
    </row>
    <row r="26" spans="1:3" ht="14.25">
      <c r="A26" s="3628"/>
      <c r="B26" s="3632"/>
      <c r="C26" s="1140" t="s">
        <v>815</v>
      </c>
    </row>
    <row r="27" spans="1:3" ht="14.25">
      <c r="A27" s="3628"/>
      <c r="B27" s="3632"/>
      <c r="C27" s="1140" t="s">
        <v>816</v>
      </c>
    </row>
    <row r="28" spans="1:3" ht="14.25">
      <c r="A28" s="3628"/>
      <c r="B28" s="3632"/>
      <c r="C28" s="1140" t="s">
        <v>817</v>
      </c>
    </row>
    <row r="29" spans="1:3" ht="14.25">
      <c r="A29" s="3628"/>
      <c r="B29" s="3632"/>
      <c r="C29" s="1140" t="s">
        <v>818</v>
      </c>
    </row>
    <row r="30" spans="1:3" ht="14.25">
      <c r="A30" s="3628"/>
      <c r="B30" s="3632"/>
      <c r="C30" s="1140" t="s">
        <v>819</v>
      </c>
    </row>
    <row r="31" spans="1:3" ht="14.25">
      <c r="A31" s="3628"/>
      <c r="B31" s="3632"/>
      <c r="C31" s="1140" t="s">
        <v>820</v>
      </c>
    </row>
    <row r="32" spans="1:3" ht="14.25">
      <c r="A32" s="3628"/>
      <c r="B32" s="3632"/>
      <c r="C32" s="1140" t="s">
        <v>1621</v>
      </c>
    </row>
    <row r="33" spans="1:3" ht="14.25">
      <c r="A33" s="3628"/>
      <c r="B33" s="3622" t="s">
        <v>1627</v>
      </c>
      <c r="C33" s="1140" t="s">
        <v>1622</v>
      </c>
    </row>
    <row r="34" spans="1:3" ht="14.25">
      <c r="A34" s="3628"/>
      <c r="B34" s="3623"/>
      <c r="C34" s="1145" t="s">
        <v>1623</v>
      </c>
    </row>
    <row r="35" spans="1:3" ht="14.25">
      <c r="A35" s="3628"/>
      <c r="B35" s="3623"/>
      <c r="C35" s="1146" t="s">
        <v>1624</v>
      </c>
    </row>
    <row r="36" spans="1:3" ht="14.25">
      <c r="A36" s="3628"/>
      <c r="B36" s="3623"/>
      <c r="C36" s="1146" t="s">
        <v>1625</v>
      </c>
    </row>
    <row r="37" spans="1:3" ht="14.25">
      <c r="A37" s="3628"/>
      <c r="B37" s="3624"/>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44669</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36" t="s">
        <v>1893</v>
      </c>
      <c r="B17" s="3637"/>
      <c r="C17" s="3637"/>
      <c r="D17" s="3637"/>
      <c r="E17" s="3637"/>
      <c r="F17" s="3637"/>
      <c r="G17" s="2995"/>
    </row>
    <row r="18" spans="1:7" ht="20.25" customHeight="1">
      <c r="A18" s="3633" t="s">
        <v>1894</v>
      </c>
      <c r="B18" s="3633"/>
      <c r="C18" s="3634"/>
      <c r="D18" s="3635" t="s">
        <v>1895</v>
      </c>
      <c r="E18" s="3633"/>
      <c r="F18" s="3633"/>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3144</v>
      </c>
      <c r="C22" s="1464"/>
    </row>
    <row r="23" spans="1:3">
      <c r="A23" s="8" t="s">
        <v>124</v>
      </c>
      <c r="B23" s="3456" t="s">
        <v>3145</v>
      </c>
      <c r="C23" s="1464"/>
    </row>
    <row r="24" spans="1:3">
      <c r="A24" s="8" t="s">
        <v>12</v>
      </c>
      <c r="B24" s="3456" t="s">
        <v>3162</v>
      </c>
      <c r="C24" s="1464"/>
    </row>
    <row r="25" spans="1:3">
      <c r="A25" s="8" t="s">
        <v>125</v>
      </c>
      <c r="B25" s="3456" t="s">
        <v>3163</v>
      </c>
      <c r="C25" s="1464"/>
    </row>
    <row r="26" spans="1:3">
      <c r="A26" s="8" t="s">
        <v>126</v>
      </c>
      <c r="B26" s="3456" t="s">
        <v>3164</v>
      </c>
      <c r="C26" s="1464"/>
    </row>
    <row r="27" spans="1:3">
      <c r="A27" s="8" t="s">
        <v>1616</v>
      </c>
      <c r="B27" s="3456" t="s">
        <v>3165</v>
      </c>
      <c r="C27" s="1464"/>
    </row>
    <row r="28" spans="1:3">
      <c r="A28" s="8" t="s">
        <v>1616</v>
      </c>
      <c r="B28" s="2753" t="s">
        <v>3355</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38"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38"/>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38"/>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38"/>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38"/>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2022-04-18T09:27:07Z</dcterms:modified>
</cp:coreProperties>
</file>