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2024-1-0875-中行海淀-海淀区东升科技园6号院10号楼1层101，面积468.48平米，12、含税不含物业费（1.3）\"/>
    </mc:Choice>
  </mc:AlternateContent>
  <bookViews>
    <workbookView xWindow="0" yWindow="0" windowWidth="17205" windowHeight="12150" tabRatio="899" firstSheet="11"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西三旗万象" sheetId="87" r:id="rId35"/>
    <sheet name="林奥" sheetId="86" r:id="rId36"/>
    <sheet name="租金表" sheetId="84" state="hidden" r:id="rId37"/>
    <sheet name="收益法倒推-商业"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成本法 (元)" sheetId="69" state="hidden" r:id="rId48"/>
    <sheet name="基准地价修正" sheetId="43" state="hidden" r:id="rId49"/>
    <sheet name="比较法-商业售价" sheetId="85" r:id="rId50"/>
    <sheet name="售价" sheetId="88"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2" localSheetId="34">#REF!</definedName>
    <definedName name="_2">#REF!</definedName>
    <definedName name="_DAT12" localSheetId="34">#REF!</definedName>
    <definedName name="_DAT12">#REF!</definedName>
    <definedName name="_DPU2003" localSheetId="34">#REF!</definedName>
    <definedName name="_DPU2003">#REF!</definedName>
    <definedName name="_DPU2004" localSheetId="34">#REF!</definedName>
    <definedName name="_DPU2004">#REF!</definedName>
    <definedName name="_DPU2005" localSheetId="34">#REF!</definedName>
    <definedName name="_DPU2005">#REF!</definedName>
    <definedName name="_DPU2006" localSheetId="34">#REF!</definedName>
    <definedName name="_DPU2006">#REF!</definedName>
    <definedName name="_DPU2007" localSheetId="34">#REF!</definedName>
    <definedName name="_DPU2007">#REF!</definedName>
    <definedName name="_Fill" localSheetId="34" hidden="1">[1]CP!#REF!</definedName>
    <definedName name="_Fill" hidden="1">[1]CP!#REF!</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9" hidden="1">'比较法-商业售价'!$A$1:$L$49</definedName>
    <definedName name="_xlnm._FilterDatabase" localSheetId="25" hidden="1">'比较法-住宅'!$A$1:$L$49</definedName>
    <definedName name="_xlnm._FilterDatabase" localSheetId="35" hidden="1">林奥!$A$2:$AK$135</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34" hidden="1">西三旗万象!$A$1:$Z$243</definedName>
    <definedName name="_xlnm._FilterDatabase" localSheetId="11" hidden="1">项目基本情况!$A$42:$N$42</definedName>
    <definedName name="_Key1" localSheetId="34" hidden="1">#REF!</definedName>
    <definedName name="_Key1" hidden="1">#REF!</definedName>
    <definedName name="_LP1">[2]Assumptions!$C$31</definedName>
    <definedName name="_Order1" hidden="1">255</definedName>
    <definedName name="_qw1">'[3]Cashflow(Scenario)'!$C$30</definedName>
    <definedName name="_Sort" localSheetId="34" hidden="1">#REF!</definedName>
    <definedName name="_Sort" hidden="1">#REF!</definedName>
    <definedName name="_Table2_In2" localSheetId="34" hidden="1">#REF!</definedName>
    <definedName name="_Table2_In2" hidden="1">#REF!</definedName>
    <definedName name="A" localSheetId="34">#REF!</definedName>
    <definedName name="A">#REF!</definedName>
    <definedName name="aa" localSheetId="34">#REF!</definedName>
    <definedName name="aa">#REF!</definedName>
    <definedName name="AdjustedITSD" localSheetId="34">#REF!</definedName>
    <definedName name="AdjustedITSD">#REF!</definedName>
    <definedName name="akak">'[4]Cashflow(Scenario)'!$C$30</definedName>
    <definedName name="ALBERT_COMPLEX" localSheetId="34">#REF!</definedName>
    <definedName name="ALBERT_COMPLEX">#REF!</definedName>
    <definedName name="as" localSheetId="34">#REF!</definedName>
    <definedName name="as">#REF!</definedName>
    <definedName name="asset_value" localSheetId="34">#REF!</definedName>
    <definedName name="asset_value">#REF!</definedName>
    <definedName name="B" localSheetId="34">#REF!</definedName>
    <definedName name="B">#REF!</definedName>
    <definedName name="BS" localSheetId="34">#REF!</definedName>
    <definedName name="BS">#REF!</definedName>
    <definedName name="budget" hidden="1">{#N/A,#N/A,FALSE,"SOO";#N/A,#N/A,FALSE,"NOTES"}</definedName>
    <definedName name="BUGIS_VILLAGE" localSheetId="34">#REF!</definedName>
    <definedName name="BUGIS_VILLAGE">#REF!</definedName>
    <definedName name="CAIRNHILL_PLACE" localSheetId="34">#REF!</definedName>
    <definedName name="CAIRNHILL_PLACE">#REF!</definedName>
    <definedName name="ChAC" localSheetId="34">#REF!</definedName>
    <definedName name="ChAC">#REF!</definedName>
    <definedName name="CHANGSHA" localSheetId="34">#REF!</definedName>
    <definedName name="CHANGSHA">#REF!</definedName>
    <definedName name="ChBV" localSheetId="34">#REF!</definedName>
    <definedName name="ChBV">#REF!</definedName>
    <definedName name="CMTGearing2003" localSheetId="34">#REF!</definedName>
    <definedName name="CMTGearing2003">#REF!</definedName>
    <definedName name="cnfa" localSheetId="34">[2]Assumptions!#REF!</definedName>
    <definedName name="cnfa">[2]Assumptions!#REF!</definedName>
    <definedName name="Credcard_Income_Growth" localSheetId="34">#REF!</definedName>
    <definedName name="Credcard_Income_Growth">#REF!</definedName>
    <definedName name="CUPPAGE_TERRACE" localSheetId="34">#REF!</definedName>
    <definedName name="CUPPAGE_TERRACE">#REF!</definedName>
    <definedName name="D" localSheetId="34">#REF!</definedName>
    <definedName name="D">#REF!</definedName>
    <definedName name="DATA1" localSheetId="34">#REF!</definedName>
    <definedName name="DATA1">#REF!</definedName>
    <definedName name="DATA10" localSheetId="34">#REF!</definedName>
    <definedName name="DATA10">#REF!</definedName>
    <definedName name="DATA11" localSheetId="34">#REF!</definedName>
    <definedName name="DATA11">#REF!</definedName>
    <definedName name="DATA12" localSheetId="34">#REF!</definedName>
    <definedName name="DATA12">#REF!</definedName>
    <definedName name="DATA13" localSheetId="34">#REF!</definedName>
    <definedName name="DATA13">#REF!</definedName>
    <definedName name="DATA14" localSheetId="34">#REF!</definedName>
    <definedName name="DATA14">#REF!</definedName>
    <definedName name="DATA2" localSheetId="34">#REF!</definedName>
    <definedName name="DATA2">#REF!</definedName>
    <definedName name="DATA3" localSheetId="34">#REF!</definedName>
    <definedName name="DATA3">#REF!</definedName>
    <definedName name="DATA4" localSheetId="34">#REF!</definedName>
    <definedName name="DATA4">#REF!</definedName>
    <definedName name="DATA5" localSheetId="34">#REF!</definedName>
    <definedName name="DATA5">#REF!</definedName>
    <definedName name="DATA6" localSheetId="34">#REF!</definedName>
    <definedName name="DATA6">#REF!</definedName>
    <definedName name="DATA7" localSheetId="34">#REF!</definedName>
    <definedName name="DATA7">#REF!</definedName>
    <definedName name="DATA8" localSheetId="34">#REF!</definedName>
    <definedName name="DATA8">#REF!</definedName>
    <definedName name="DATA9" localSheetId="34">#REF!</definedName>
    <definedName name="DATA9">#REF!</definedName>
    <definedName name="DC" localSheetId="34">[2]Assumptions!#REF!</definedName>
    <definedName name="DC">[2]Assumptions!#REF!</definedName>
    <definedName name="ddd" localSheetId="34">'[5]P&amp;L'!#REF!</definedName>
    <definedName name="ddd">'[5]P&amp;L'!#REF!</definedName>
    <definedName name="DDDDD" localSheetId="34">#REF!</definedName>
    <definedName name="DDDDD">#REF!</definedName>
    <definedName name="DE" localSheetId="34" hidden="1">[6]CP!#REF!</definedName>
    <definedName name="DE" hidden="1">[6]CP!#REF!</definedName>
    <definedName name="delete" hidden="1">{#N/A,#N/A,FALSE,"SOO";#N/A,#N/A,FALSE,"NOTES"}</definedName>
    <definedName name="delete1" hidden="1">{#N/A,#N/A,FALSE,"SOO";#N/A,#N/A,FALSE,"NOTES"}</definedName>
    <definedName name="DistPU2003" localSheetId="34">#REF!</definedName>
    <definedName name="DistPU2003">#REF!</definedName>
    <definedName name="DistPU2004" localSheetId="34">#REF!</definedName>
    <definedName name="DistPU2004">#REF!</definedName>
    <definedName name="DistPU2005" localSheetId="34">#REF!</definedName>
    <definedName name="DistPU2005">#REF!</definedName>
    <definedName name="DistPU2006" localSheetId="34">#REF!</definedName>
    <definedName name="DistPU2006">#REF!</definedName>
    <definedName name="Div_Yield2003" localSheetId="34">#REF!</definedName>
    <definedName name="Div_Yield2003">#REF!</definedName>
    <definedName name="Div_Yield2004" localSheetId="34">#REF!</definedName>
    <definedName name="Div_Yield2004">#REF!</definedName>
    <definedName name="Div_Yield2005" localSheetId="34">#REF!</definedName>
    <definedName name="Div_Yield2005">#REF!</definedName>
    <definedName name="Div_Yield2006" localSheetId="34">#REF!</definedName>
    <definedName name="Div_Yield2006">#REF!</definedName>
    <definedName name="Div_Yield2007" localSheetId="34">#REF!</definedName>
    <definedName name="Div_Yield2007">#REF!</definedName>
    <definedName name="Div_Yield2008" localSheetId="34">#REF!</definedName>
    <definedName name="Div_Yield2008">#REF!</definedName>
    <definedName name="Div_Yield2009" localSheetId="34">#REF!</definedName>
    <definedName name="Div_Yield2009">#REF!</definedName>
    <definedName name="Div_Yield2010" localSheetId="34">#REF!</definedName>
    <definedName name="Div_Yield2010">#REF!</definedName>
    <definedName name="Div_Yield2011" localSheetId="34">#REF!</definedName>
    <definedName name="Div_Yield2011">#REF!</definedName>
    <definedName name="Dividend_2003" localSheetId="34">#REF!</definedName>
    <definedName name="Dividend_2003">#REF!</definedName>
    <definedName name="Dividend_2004" localSheetId="34">#REF!</definedName>
    <definedName name="Dividend_2004">#REF!</definedName>
    <definedName name="Dividend_2005" localSheetId="34">#REF!</definedName>
    <definedName name="Dividend_2005">#REF!</definedName>
    <definedName name="Dividend_2006" localSheetId="34">#REF!</definedName>
    <definedName name="Dividend_2006">#REF!</definedName>
    <definedName name="Dividend_2007" localSheetId="34">#REF!</definedName>
    <definedName name="Dividend_2007">#REF!</definedName>
    <definedName name="Dividend_2008" localSheetId="34">#REF!</definedName>
    <definedName name="Dividend_2008">#REF!</definedName>
    <definedName name="Dividend_2009" localSheetId="34">#REF!</definedName>
    <definedName name="Dividend_2009">#REF!</definedName>
    <definedName name="Dividend_2010" localSheetId="34">#REF!</definedName>
    <definedName name="Dividend_2010">#REF!</definedName>
    <definedName name="Dividend_2011" localSheetId="34">#REF!</definedName>
    <definedName name="Dividend_2011">#REF!</definedName>
    <definedName name="Dividend2003" localSheetId="34">#REF!</definedName>
    <definedName name="Dividend2003">#REF!</definedName>
    <definedName name="Dividend2004" localSheetId="34">#REF!</definedName>
    <definedName name="Dividend2004">#REF!</definedName>
    <definedName name="Dividend2005" localSheetId="34">#REF!</definedName>
    <definedName name="Dividend2005">#REF!</definedName>
    <definedName name="Dividend2006" localSheetId="34">#REF!</definedName>
    <definedName name="Dividend2006">#REF!</definedName>
    <definedName name="Dividend2007" localSheetId="34">#REF!</definedName>
    <definedName name="Dividend2007">#REF!</definedName>
    <definedName name="Dividend2008" localSheetId="34">#REF!</definedName>
    <definedName name="Dividend2008">#REF!</definedName>
    <definedName name="Dividend2009" localSheetId="34">#REF!</definedName>
    <definedName name="Dividend2009">#REF!</definedName>
    <definedName name="Dividend2010" localSheetId="34">#REF!</definedName>
    <definedName name="Dividend2010">#REF!</definedName>
    <definedName name="Dividend2011" localSheetId="34">#REF!</definedName>
    <definedName name="Dividend2011">#REF!</definedName>
    <definedName name="DividYld2003" localSheetId="34">#REF!</definedName>
    <definedName name="DividYld2003">#REF!</definedName>
    <definedName name="DividYld2004" localSheetId="34">#REF!</definedName>
    <definedName name="DividYld2004">#REF!</definedName>
    <definedName name="DividYld2005" localSheetId="34">#REF!</definedName>
    <definedName name="DividYld2005">#REF!</definedName>
    <definedName name="DividYld2006" localSheetId="34">#REF!</definedName>
    <definedName name="DividYld2006">#REF!</definedName>
    <definedName name="DividYld2007" localSheetId="34">#REF!</definedName>
    <definedName name="DividYld2007">#REF!</definedName>
    <definedName name="DivYield2003" localSheetId="34">#REF!</definedName>
    <definedName name="DivYield2003">#REF!</definedName>
    <definedName name="DivYield2004" localSheetId="34">#REF!</definedName>
    <definedName name="DivYield2004">#REF!</definedName>
    <definedName name="DivYield2005" localSheetId="34">#REF!</definedName>
    <definedName name="DivYield2005">#REF!</definedName>
    <definedName name="DivYield2006" localSheetId="34">#REF!</definedName>
    <definedName name="DivYield2006">#REF!</definedName>
    <definedName name="DivYield2007" localSheetId="34">#REF!</definedName>
    <definedName name="DivYield2007">#REF!</definedName>
    <definedName name="DivYield2008" localSheetId="34">#REF!</definedName>
    <definedName name="DivYield2008">#REF!</definedName>
    <definedName name="DivYield2009" localSheetId="34">#REF!</definedName>
    <definedName name="DivYield2009">#REF!</definedName>
    <definedName name="DivYield2010" localSheetId="34">#REF!</definedName>
    <definedName name="DivYield2010">#REF!</definedName>
    <definedName name="DivYield2011" localSheetId="34">#REF!</definedName>
    <definedName name="DivYield2011">#REF!</definedName>
    <definedName name="DivYld2003" localSheetId="34">#REF!</definedName>
    <definedName name="DivYld2003">#REF!</definedName>
    <definedName name="DivYld2004" localSheetId="34">#REF!</definedName>
    <definedName name="DivYld2004">#REF!</definedName>
    <definedName name="DivYld2005" localSheetId="34">#REF!</definedName>
    <definedName name="DivYld2005">#REF!</definedName>
    <definedName name="DivYld2006" localSheetId="34">#REF!</definedName>
    <definedName name="DivYld2006">#REF!</definedName>
    <definedName name="DivYld2007" localSheetId="34">#REF!</definedName>
    <definedName name="DivYld2007">#REF!</definedName>
    <definedName name="DivYld2008" localSheetId="34">#REF!</definedName>
    <definedName name="DivYld2008">#REF!</definedName>
    <definedName name="DivYld2009" localSheetId="34">#REF!</definedName>
    <definedName name="DivYld2009">#REF!</definedName>
    <definedName name="DivYld2010" localSheetId="34">#REF!</definedName>
    <definedName name="DivYld2010">#REF!</definedName>
    <definedName name="DivYld2011" localSheetId="34">#REF!</definedName>
    <definedName name="DivYld2011">#REF!</definedName>
    <definedName name="DPUnit2003" localSheetId="34">#REF!</definedName>
    <definedName name="DPUnit2003">#REF!</definedName>
    <definedName name="DPUnit2004" localSheetId="34">#REF!</definedName>
    <definedName name="DPUnit2004">#REF!</definedName>
    <definedName name="DPUnit2005" localSheetId="34">#REF!</definedName>
    <definedName name="DPUnit2005">#REF!</definedName>
    <definedName name="DPUnit2006" localSheetId="34">#REF!</definedName>
    <definedName name="DPUnit2006">#REF!</definedName>
    <definedName name="DYield2003" localSheetId="34">#REF!</definedName>
    <definedName name="DYield2003">#REF!</definedName>
    <definedName name="DYield2004" localSheetId="34">#REF!</definedName>
    <definedName name="DYield2004">#REF!</definedName>
    <definedName name="DYield2005" localSheetId="34">#REF!</definedName>
    <definedName name="DYield2005">#REF!</definedName>
    <definedName name="DYield2006" localSheetId="34">#REF!</definedName>
    <definedName name="DYield2006">#REF!</definedName>
    <definedName name="DYield2007" localSheetId="34">#REF!</definedName>
    <definedName name="DYield2007">#REF!</definedName>
    <definedName name="DYield2008" localSheetId="34">#REF!</definedName>
    <definedName name="DYield2008">#REF!</definedName>
    <definedName name="DYield2009" localSheetId="34">#REF!</definedName>
    <definedName name="DYield2009">#REF!</definedName>
    <definedName name="DYield2010" localSheetId="34">#REF!</definedName>
    <definedName name="DYield2010">#REF!</definedName>
    <definedName name="DYield2011" localSheetId="34">#REF!</definedName>
    <definedName name="DYield2011">#REF!</definedName>
    <definedName name="E" localSheetId="34">#REF!</definedName>
    <definedName name="E">#REF!</definedName>
    <definedName name="ee">'[7]Cashflow(Scenario)'!$C$30</definedName>
    <definedName name="eq">'[4]Cashflow(Scenario)'!$C$30</definedName>
    <definedName name="equ">'[3]Cashflow(Scenario)'!$C$30</definedName>
    <definedName name="Equity_IRR">'[3]Cashflow(Scenario)'!$C$30</definedName>
    <definedName name="er">'[8]Cashflow(Scenario)'!$C$30</definedName>
    <definedName name="F" localSheetId="34">#REF!</definedName>
    <definedName name="F">#REF!</definedName>
    <definedName name="Gearing" localSheetId="34">#REF!</definedName>
    <definedName name="Gearing">#REF!</definedName>
    <definedName name="Gearinglevel" localSheetId="34">#REF!</definedName>
    <definedName name="Gearinglevel">#REF!</definedName>
    <definedName name="GFA" localSheetId="34">[2]Assumptions!#REF!</definedName>
    <definedName name="GFA">[2]Assumptions!#REF!</definedName>
    <definedName name="ggg" localSheetId="34">year</definedName>
    <definedName name="ggg">year</definedName>
    <definedName name="Growth" hidden="1">{#N/A,#N/A,FALSE,"COST";#N/A,#N/A,FALSE,"INCOME";#N/A,#N/A,FALSE,"INTEREST";#N/A,#N/A,FALSE,"TAX &amp; CAM"}</definedName>
    <definedName name="GrowthRateRange" localSheetId="34">#REF!</definedName>
    <definedName name="GrowthRateRange">#REF!</definedName>
    <definedName name="H" localSheetId="34">#REF!</definedName>
    <definedName name="H">#REF!</definedName>
    <definedName name="Ha" hidden="1">{#N/A,#N/A,FALSE,"COST";#N/A,#N/A,FALSE,"INCOME";#N/A,#N/A,FALSE,"INTEREST";#N/A,#N/A,FALSE,"LAND SALE"}</definedName>
    <definedName name="I" localSheetId="34">#REF!</definedName>
    <definedName name="I">#REF!</definedName>
    <definedName name="if" localSheetId="34">#REF!</definedName>
    <definedName name="if">#REF!</definedName>
    <definedName name="io" localSheetId="34">#REF!</definedName>
    <definedName name="io">#REF!</definedName>
    <definedName name="IR">[2]Assumptions!$D$21</definedName>
    <definedName name="IRR">'[4]Cashflow(Scenario)'!$C$30</definedName>
    <definedName name="IRR_20percentdiscount" localSheetId="34">#REF!</definedName>
    <definedName name="IRR_20percentdiscount">#REF!</definedName>
    <definedName name="IRR_30percentdiscount" localSheetId="34">#REF!</definedName>
    <definedName name="IRR_30percentdiscount">#REF!</definedName>
    <definedName name="IRR_30percentiscount" localSheetId="34">#REF!</definedName>
    <definedName name="IRR_30percentiscount">#REF!</definedName>
    <definedName name="IRR_35percentdiscount" localSheetId="34">#REF!</definedName>
    <definedName name="IRR_35percentdiscount">#REF!</definedName>
    <definedName name="IRR_40percentdiscount" localSheetId="34">#REF!</definedName>
    <definedName name="IRR_40percentdiscount">#REF!</definedName>
    <definedName name="IRR_Nodiscount" localSheetId="34">#REF!</definedName>
    <definedName name="IRR_Nodiscount">#REF!</definedName>
    <definedName name="LandRent_fr2019" localSheetId="34">#REF!</definedName>
    <definedName name="LandRent_fr2019">#REF!</definedName>
    <definedName name="LandRent_till2019" localSheetId="34">#REF!</definedName>
    <definedName name="LandRent_till2019">#REF!</definedName>
    <definedName name="MAP">'[9]Cashflow(Scenario)'!$C$30</definedName>
    <definedName name="Marcom">'[9]Cashflow(Scenario)'!$C$30</definedName>
    <definedName name="MD" localSheetId="34">[2]Assumptions!#REF!</definedName>
    <definedName name="MD">[2]Assumptions!#REF!</definedName>
    <definedName name="NAME_OF_PROPERTY_项目__嘉信茂广场·雨花亭" localSheetId="34">#REF!</definedName>
    <definedName name="NAME_OF_PROPERTY_项目__嘉信茂广场·雨花亭">#REF!</definedName>
    <definedName name="NFA" localSheetId="34">[2]Assumptions!#REF!</definedName>
    <definedName name="NFA">[2]Assumptions!#REF!</definedName>
    <definedName name="Note6">'[9]Cashflow(Scenario)'!$C$30</definedName>
    <definedName name="NOTES" localSheetId="34">#REF!</definedName>
    <definedName name="NOTES">#REF!</definedName>
    <definedName name="O_EBITDAP" localSheetId="34">#REF!</definedName>
    <definedName name="O_EBITDAP">#REF!</definedName>
    <definedName name="O_EBITDAT" localSheetId="34">#REF!</definedName>
    <definedName name="O_EBITDAT">#REF!</definedName>
    <definedName name="O_REOEA" localSheetId="34">#REF!</definedName>
    <definedName name="O_REOEA">#REF!</definedName>
    <definedName name="O_REOEA_DEP" localSheetId="34">#REF!</definedName>
    <definedName name="O_REOEA_DEP">#REF!</definedName>
    <definedName name="O_REORA" localSheetId="34">#REF!</definedName>
    <definedName name="O_REORA">#REF!</definedName>
    <definedName name="O_ROERA_NODEP" localSheetId="34">#REF!</definedName>
    <definedName name="O_ROERA_NODEP">#REF!</definedName>
    <definedName name="O_ROERNA" localSheetId="34">#REF!</definedName>
    <definedName name="O_ROERNA">#REF!</definedName>
    <definedName name="O_ROERNA_DEP" localSheetId="34">#REF!</definedName>
    <definedName name="O_ROERNA_DEP">#REF!</definedName>
    <definedName name="O_ROERNA_NODEP" localSheetId="34">#REF!</definedName>
    <definedName name="O_ROERNA_NODEP">#REF!</definedName>
    <definedName name="Occupancy" localSheetId="34">#REF!</definedName>
    <definedName name="Occupancy">#REF!</definedName>
    <definedName name="OfficeRentalGrowth_evy2yr" localSheetId="34">#REF!</definedName>
    <definedName name="OfficeRentalGrowth_evy2yr">#REF!</definedName>
    <definedName name="op" localSheetId="34">#REF!</definedName>
    <definedName name="op">#REF!</definedName>
    <definedName name="Opex_Growth" localSheetId="34">#REF!</definedName>
    <definedName name="Opex_Growth">#REF!</definedName>
    <definedName name="opi" hidden="1">{#N/A,#N/A,FALSE,"Assump";#N/A,#N/A,FALSE,"ROR_Sum";#N/A,#N/A,FALSE,"SF_Financial";#N/A,#N/A,FALSE,"CF_Sales";#N/A,#N/A,FALSE,"Approvals"}</definedName>
    <definedName name="OR" localSheetId="34">[10]Sheet2!#REF!</definedName>
    <definedName name="OR">[10]Sheet2!#REF!</definedName>
    <definedName name="ORCHARD_POINT" localSheetId="34">#REF!</definedName>
    <definedName name="ORCHARD_POINT">#REF!</definedName>
    <definedName name="Other_Income_Growth" localSheetId="34">#REF!</definedName>
    <definedName name="Other_Income_Growth">#REF!</definedName>
    <definedName name="P_EBITDAP" localSheetId="34">#REF!</definedName>
    <definedName name="P_EBITDAP">#REF!</definedName>
    <definedName name="P_EBITDAT" localSheetId="34">#REF!</definedName>
    <definedName name="P_EBITDAT">#REF!</definedName>
    <definedName name="P_L" localSheetId="34">#REF!</definedName>
    <definedName name="P_L">#REF!</definedName>
    <definedName name="P_ROERA" localSheetId="34">#REF!</definedName>
    <definedName name="P_ROERA">#REF!</definedName>
    <definedName name="P_ROERA_DEP" localSheetId="34">#REF!</definedName>
    <definedName name="P_ROERA_DEP">#REF!</definedName>
    <definedName name="P_ROERA_NODEP" localSheetId="34">#REF!</definedName>
    <definedName name="P_ROERA_NODEP">#REF!</definedName>
    <definedName name="P_ROERNA" localSheetId="34">#REF!</definedName>
    <definedName name="P_ROERNA">#REF!</definedName>
    <definedName name="P_ROERNA_DEP" localSheetId="34">#REF!</definedName>
    <definedName name="P_ROERNA_DEP">#REF!</definedName>
    <definedName name="P_ROERNA_NODEP" localSheetId="34">#REF!</definedName>
    <definedName name="P_ROERNA_NODEP">#REF!</definedName>
    <definedName name="pa____________or">"Retail Rental Growth+Sheet1!$F$21"</definedName>
    <definedName name="PERANAKAN_PLACE" localSheetId="34">#REF!</definedName>
    <definedName name="PERANAKAN_PLACE">#REF!</definedName>
    <definedName name="PMISFEE" localSheetId="34">#REF!</definedName>
    <definedName name="PMISFEE">#REF!</definedName>
    <definedName name="PNL" localSheetId="34" hidden="1">#REF!</definedName>
    <definedName name="PNL" hidden="1">#REF!</definedName>
    <definedName name="po" localSheetId="34">#REF!</definedName>
    <definedName name="po">#REF!</definedName>
    <definedName name="ppms" localSheetId="34">#REF!</definedName>
    <definedName name="ppms">#REF!</definedName>
    <definedName name="print" hidden="1">{#N/A,#N/A,FALSE,"COST";#N/A,#N/A,FALSE,"INCOME";#N/A,#N/A,FALSE,"INTEREST";#N/A,#N/A,FALSE,"TAX &amp; CAM"}</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9">'比较法-商业售价'!$A$1:$K$54,'比较法-商业售价'!$A$57:$M$131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4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7">'收益法倒推-商业'!$A$1:$I$42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34">西三旗万象!$A$1:$J$243</definedName>
    <definedName name="_xlnm.Print_Area" localSheetId="16">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Purchase_Price" localSheetId="34">#REF!</definedName>
    <definedName name="Purchase_Price">#REF!</definedName>
    <definedName name="q">'[4]Cashflow(Scenario)'!$C$30</definedName>
    <definedName name="qw">'[8]Cashflow(Scenario)'!$C$30</definedName>
    <definedName name="RetailRentalGrowth_evy3yr" localSheetId="34">#REF!</definedName>
    <definedName name="RetailRentalGrowth_evy3yr">#REF!</definedName>
    <definedName name="Rights_Issue_Price_for_IMM" localSheetId="34">#REF!</definedName>
    <definedName name="Rights_Issue_Price_for_IMM">#REF!</definedName>
    <definedName name="Rights_Issue_Price_Per_Unit_for_IMM" localSheetId="34">#REF!</definedName>
    <definedName name="Rights_Issue_Price_Per_Unit_for_IMM">#REF!</definedName>
    <definedName name="RightsPrice" localSheetId="34">#REF!</definedName>
    <definedName name="RightsPrice">#REF!</definedName>
    <definedName name="RightsPx" localSheetId="34">#REF!</definedName>
    <definedName name="RightsPx">#REF!</definedName>
    <definedName name="rnfa" localSheetId="34">[2]Assumptions!#REF!</definedName>
    <definedName name="rnfa">[2]Assumptions!#REF!</definedName>
    <definedName name="rt">'[8]Cashflow(Scenario)'!$C$30</definedName>
    <definedName name="S" localSheetId="34">#REF!</definedName>
    <definedName name="S">#REF!</definedName>
    <definedName name="SAM" localSheetId="34">#REF!</definedName>
    <definedName name="SAM">#REF!</definedName>
    <definedName name="SAMPLES" localSheetId="34">#REF!</definedName>
    <definedName name="SAMPLES">#REF!</definedName>
    <definedName name="Sc1B" localSheetId="34">[2]Scenarios!#REF!</definedName>
    <definedName name="Sc1B">[2]Scenarios!#REF!</definedName>
    <definedName name="Sc1C" localSheetId="34">[2]Scenarios!#REF!</definedName>
    <definedName name="Sc1C">[2]Scenarios!#REF!</definedName>
    <definedName name="SMA_HOUSE" localSheetId="34">#REF!</definedName>
    <definedName name="SMA_HOUSE">#REF!</definedName>
    <definedName name="soo" hidden="1">{#N/A,#N/A,FALSE,"COST";#N/A,#N/A,FALSE,"INCOME";#N/A,#N/A,FALSE,"INTEREST";#N/A,#N/A,FALSE,"TAX &amp; CAM"}</definedName>
    <definedName name="spec" localSheetId="34">#REF!</definedName>
    <definedName name="spec">#REF!</definedName>
    <definedName name="TB" localSheetId="34">#REF!</definedName>
    <definedName name="TB">#REF!</definedName>
    <definedName name="Tenant_Type" localSheetId="34">#REF!</definedName>
    <definedName name="Tenant_Type">#REF!</definedName>
    <definedName name="TEST0" localSheetId="34">#REF!</definedName>
    <definedName name="TEST0">#REF!</definedName>
    <definedName name="TESTHKEY" localSheetId="34">#REF!</definedName>
    <definedName name="TESTHKEY">#REF!</definedName>
    <definedName name="TESTKEYS" localSheetId="34">#REF!</definedName>
    <definedName name="TESTKEYS">#REF!</definedName>
    <definedName name="TESTVKEY" localSheetId="34">#REF!</definedName>
    <definedName name="TESTVKEY">#REF!</definedName>
    <definedName name="timing" localSheetId="34">#REF!</definedName>
    <definedName name="timing">#REF!</definedName>
    <definedName name="TotalCMTGearing2003" localSheetId="34">#REF!</definedName>
    <definedName name="TotalCMTGearing2003">#REF!</definedName>
    <definedName name="ty">'[8]Cashflow(Scenario)'!$C$30</definedName>
    <definedName name="uy" localSheetId="34">#REF!</definedName>
    <definedName name="uy">#REF!</definedName>
    <definedName name="w">'[7]Cashflow(Scenario)'!$C$30</definedName>
    <definedName name="WarehseRentalGrowth_evy2yr" localSheetId="34">#REF!</definedName>
    <definedName name="WarehseRentalGrowth_evy2yr">#REF!</definedName>
    <definedName name="we">'[8]Cashflow(Scenario)'!$C$30</definedName>
    <definedName name="wq_2" localSheetId="34">year</definedName>
    <definedName name="wq_2">year</definedName>
    <definedName name="wqq_1">'[11]Cashflow(Scenario)'!$C$30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Y" localSheetId="34">year</definedName>
    <definedName name="Y">year</definedName>
    <definedName name="Year_Of__Assessment_2003" localSheetId="34">year</definedName>
    <definedName name="Year_Of__Assessment_2003">year</definedName>
    <definedName name="yy" localSheetId="34">year</definedName>
    <definedName name="yy">year</definedName>
    <definedName name="八级">区片价!$P$1:$P$44</definedName>
    <definedName name="办公层高" localSheetId="37">'[12]比较法-办公'!$B$119:$M$119</definedName>
    <definedName name="办公层高">'比较法-办公'!$B$119:$M$119</definedName>
    <definedName name="办公朝向" localSheetId="37">'[12]比较法-办公'!$B$91:$M$91</definedName>
    <definedName name="办公朝向">'比较法-办公'!$B$91:$M$91</definedName>
    <definedName name="办公道路级别" localSheetId="37">'[12]比较法-办公'!$B$87:$M$87</definedName>
    <definedName name="办公道路级别">'比较法-办公'!$B$87:$M$87</definedName>
    <definedName name="办公公共部分装修" localSheetId="37">'[12]比较法-办公'!$B$108:$M$108</definedName>
    <definedName name="办公公共部分装修">'比较法-办公'!$B$108:$M$108</definedName>
    <definedName name="办公基础设施水平" localSheetId="37">'[12]比较法-办公'!$B$117:$M$117</definedName>
    <definedName name="办公基础设施水平">'比较法-办公'!$B$117:$M$117</definedName>
    <definedName name="办公集聚程度" localSheetId="37">[12]定义!$M$1:$M$6</definedName>
    <definedName name="办公集聚程度">定义!$M$1:$M$6</definedName>
    <definedName name="办公建筑结构" localSheetId="37">'[12]比较法-办公'!$B$106:$M$106</definedName>
    <definedName name="办公建筑结构">'比较法-办公'!$B$106:$M$106</definedName>
    <definedName name="办公建筑类型" localSheetId="37">'[12]比较法-办公'!$B$101:$M$101</definedName>
    <definedName name="办公建筑类型">'比较法-办公'!$B$101:$M$101</definedName>
    <definedName name="办公交易情况" localSheetId="37">'[12]比较法-办公'!$A$62:$M$62</definedName>
    <definedName name="办公交易情况">'比较法-办公'!$A$62:$M$62</definedName>
    <definedName name="办公楼层" localSheetId="37">'[12]比较法-办公'!$B$89:$M$89</definedName>
    <definedName name="办公楼层">'比较法-办公'!$B$89:$M$89</definedName>
    <definedName name="办公内部装修" localSheetId="37">'[12]比较法-办公'!$B$123:$M$123</definedName>
    <definedName name="办公内部装修">'比较法-办公'!$B$123:$M$123</definedName>
    <definedName name="办公物业管理" localSheetId="37">'[12]比较法-办公'!$B$115:$M$115</definedName>
    <definedName name="办公物业管理">'比较法-办公'!$B$115:$M$115</definedName>
    <definedName name="办公用途" localSheetId="37">'[12]比较法-办公'!$B$64:$M$64</definedName>
    <definedName name="办公用途">'比较法-办公'!$B$64:$M$64</definedName>
    <definedName name="标杆" localSheetId="34">#REF!</definedName>
    <definedName name="标杆">#REF!</definedName>
    <definedName name="仓储公共部分装修" localSheetId="37">'[12]比较法-仓储'!$B$77:$M$77</definedName>
    <definedName name="仓储公共部分装修">'比较法-仓储'!$B$77:$M$77</definedName>
    <definedName name="仓储交易情况" localSheetId="37">'[12]比较法-仓储'!$A$49:$M$49</definedName>
    <definedName name="仓储交易情况">'比较法-仓储'!$A$49:$M$49</definedName>
    <definedName name="仓储楼层" localSheetId="37">'[12]比较法-仓储'!$B$69:$M$69</definedName>
    <definedName name="仓储楼层">'比较法-仓储'!$B$69:$M$69</definedName>
    <definedName name="仓储物业等级" localSheetId="37">'[12]比较法-仓储'!$B$82:$M$82</definedName>
    <definedName name="仓储物业等级">'比较法-仓储'!$B$82:$M$82</definedName>
    <definedName name="仓储用途" localSheetId="37">'[12]比较法-仓储'!$B$51:$M$51</definedName>
    <definedName name="仓储用途">'比较法-仓储'!$B$51:$M$51</definedName>
    <definedName name="产业集聚程度" localSheetId="37">[12]定义!$N$1:$N$6</definedName>
    <definedName name="产业集聚程度">定义!$N$1:$N$6</definedName>
    <definedName name="车位公共部分装修" localSheetId="37">'[12]比较法-车位'!$B$83:$M$83</definedName>
    <definedName name="车位公共部分装修">'比较法-车位'!$B$83:$M$83</definedName>
    <definedName name="车位交易情况" localSheetId="37">'[12]比较法-车位'!$A$51:$M$51</definedName>
    <definedName name="车位交易情况">'比较法-车位'!$A$51:$M$51</definedName>
    <definedName name="车位类型" localSheetId="37">'[12]比较法-车位'!$B$93:$M$93</definedName>
    <definedName name="车位类型">'比较法-车位'!$B$93:$M$93</definedName>
    <definedName name="车位楼层" localSheetId="37">'[12]比较法-车位'!$B$71:$M$71</definedName>
    <definedName name="车位楼层">'比较法-车位'!$B$71:$M$71</definedName>
    <definedName name="车位配套类型" localSheetId="37">'[12]比较法-车位'!$B$79:$M$79</definedName>
    <definedName name="车位配套类型">'比较法-车位'!$B$79:$M$79</definedName>
    <definedName name="车位物业等级" localSheetId="37">'[12]比较法-车位'!$B$88:$M$88</definedName>
    <definedName name="车位物业等级">'比较法-车位'!$B$88:$M$88</definedName>
    <definedName name="车位用途" localSheetId="37">'[12]比较法-车位'!$B$53:$M$53</definedName>
    <definedName name="车位用途">'比较法-车位'!$B$53:$M$53</definedName>
    <definedName name="城镇土地纳税等级分级范围" localSheetId="37">'[12]数据-取费表'!$A$53:$A$63</definedName>
    <definedName name="城镇土地纳税等级分级范围">'数据-取费表'!$A$53:$A$63</definedName>
    <definedName name="单价内涵" localSheetId="37">[12]定义!$V$1:$V$3</definedName>
    <definedName name="单价内涵">定义!$V$1:$V$3</definedName>
    <definedName name="地类判定" localSheetId="37">[12]定义!$H$1:$H$9</definedName>
    <definedName name="地类判定">定义!$H$1:$H$9</definedName>
    <definedName name="二级">区片价!$J$1:$J$21</definedName>
    <definedName name="二级分类" localSheetId="37">[12]修正!$C$17:$C$39</definedName>
    <definedName name="二级分类">修正!$C$19:$C$51</definedName>
    <definedName name="发票">'[5]P&amp;L'!$A$1:$EC$1</definedName>
    <definedName name="法定最高年限" localSheetId="37">[12]定义!$G$1:$G$4</definedName>
    <definedName name="法定最高年限">定义!$G$1:$G$6</definedName>
    <definedName name="工业公共部分装修" localSheetId="37">'[12]比较法-工业'!$B$95:$M$95</definedName>
    <definedName name="工业公共部分装修">'比较法-工业'!$B$95:$M$95</definedName>
    <definedName name="工业基础设施水平" localSheetId="37">'[12]比较法-工业'!$B$102:$M$102</definedName>
    <definedName name="工业基础设施水平">'比较法-工业'!$B$102:$M$102</definedName>
    <definedName name="工业建筑结构" localSheetId="37">'[12]比较法-工业'!$B$93:$M$93</definedName>
    <definedName name="工业建筑结构">'比较法-工业'!$B$93:$M$93</definedName>
    <definedName name="工业建筑类型" localSheetId="37">'[12]比较法-工业'!$B$88:$M$88</definedName>
    <definedName name="工业建筑类型">'比较法-工业'!$B$88:$M$88</definedName>
    <definedName name="工业交易情况" localSheetId="37">'[12]比较法-工业'!$A$55:$M$55</definedName>
    <definedName name="工业交易情况">'比较法-工业'!$A$55:$M$55</definedName>
    <definedName name="工业内部装修" localSheetId="37">'[12]比较法-工业'!$B$104:$M$104</definedName>
    <definedName name="工业内部装修">'比较法-工业'!$B$104:$M$104</definedName>
    <definedName name="工业物业管理" localSheetId="37">'[12]比较法-工业'!$B$100:$M$100</definedName>
    <definedName name="工业物业管理">'比较法-工业'!$B$100:$M$100</definedName>
    <definedName name="工业用途" localSheetId="37">'[12]比较法-工业'!$B$57:$M$57</definedName>
    <definedName name="工业用途">'比较法-工业'!$B$57:$M$57</definedName>
    <definedName name="公共配套设施" localSheetId="37">[12]定义!$Q$1:$Q$6</definedName>
    <definedName name="公共配套设施">定义!$Q$1:$Q$6</definedName>
    <definedName name="估价范围判定">定义!$D$1:$D$4</definedName>
    <definedName name="估价方法" localSheetId="37">[12]定义!$B$1:$B$50</definedName>
    <definedName name="估价方法">定义!$B$1:$B$50</definedName>
    <definedName name="环境" localSheetId="37">[12]定义!$S$1:$S$6</definedName>
    <definedName name="环境">定义!$S$1:$S$6</definedName>
    <definedName name="基础设施水平" localSheetId="37">[12]定义!$R$1:$R$6</definedName>
    <definedName name="基础设施水平">定义!$R$1:$R$6</definedName>
    <definedName name="季度">基准地价修正!$Q$19:$AD$19</definedName>
    <definedName name="价值类型2" localSheetId="37">[12]定义!$B$54:$B$56</definedName>
    <definedName name="价值类型2">定义!$B$54:$B$56</definedName>
    <definedName name="交通便捷度" localSheetId="37">[12]定义!$O$1:$O$6</definedName>
    <definedName name="交通便捷度">定义!$O$1:$O$6</definedName>
    <definedName name="经济" localSheetId="34">#REF!</definedName>
    <definedName name="经济">#REF!</definedName>
    <definedName name="九级">区片价!$Q$1:$Q$51</definedName>
    <definedName name="居住社区成熟度" localSheetId="37">[12]定义!$K$1:$K$6</definedName>
    <definedName name="居住社区成熟度">定义!$K$1:$K$6</definedName>
    <definedName name="类别" localSheetId="37">[12]定义!$J$1:$J$3</definedName>
    <definedName name="类别">定义!$J$1:$J$3</definedName>
    <definedName name="临街状况" localSheetId="37">[12]定义!$T$1:$T$5</definedName>
    <definedName name="临街状况">定义!$T$1:$T$5</definedName>
    <definedName name="六级">区片价!$N$1:$N$64</definedName>
    <definedName name="内部装修维护情况" localSheetId="37">[12]定义!$U$1:$U$6</definedName>
    <definedName name="内部装修维护情况">定义!$U$1:$U$6</definedName>
    <definedName name="年">'[9]Cashflow(Scenario)'!$C$30</definedName>
    <definedName name="判定" localSheetId="37">[12]定义!$D$1:$D$4</definedName>
    <definedName name="判定">定义!$D$1:$D$4</definedName>
    <definedName name="评估方法">[13]定义!$B$1:$B$50</definedName>
    <definedName name="七级">区片价!$O$1:$O$45</definedName>
    <definedName name="七通一平" localSheetId="37">[12]修正!$A$6:$A$14</definedName>
    <definedName name="七通一平">修正!$A$8:$A$16</definedName>
    <definedName name="区域土地利用方向" localSheetId="37">[12]定义!$P$1:$P$6</definedName>
    <definedName name="区域土地利用方向">定义!$P$1:$P$6</definedName>
    <definedName name="三级">区片价!$K$1:$K$26</definedName>
    <definedName name="商业层高" localSheetId="49">'比较法-商业售价'!$B$116:$M$116</definedName>
    <definedName name="商业层高" localSheetId="37">'[12]比较法-商业'!$B$116:$M$116</definedName>
    <definedName name="商业层高">'比较法-商业'!$B$116:$M$116</definedName>
    <definedName name="商业成新度" localSheetId="49">'比较法-商业售价'!$B$109:$M$109</definedName>
    <definedName name="商业成新度">'比较法-商业'!$B$109:$M$109</definedName>
    <definedName name="商业繁华度" localSheetId="37">[12]定义!$L$1:$L$6</definedName>
    <definedName name="商业繁华度">定义!$L$1:$L$6</definedName>
    <definedName name="商业公共部分装修" localSheetId="49">'比较法-商业售价'!$B$107:$M$107</definedName>
    <definedName name="商业公共部分装修" localSheetId="37">'[12]比较法-商业'!$B$107:$M$107</definedName>
    <definedName name="商业公共部分装修">'比较法-商业'!$B$107:$M$107</definedName>
    <definedName name="商业基础设施水平" localSheetId="49">'比较法-商业售价'!$B$112:$M$112</definedName>
    <definedName name="商业基础设施水平" localSheetId="37">'[12]比较法-商业'!$B$112:$M$112</definedName>
    <definedName name="商业基础设施水平">'比较法-商业'!$B$112:$M$112</definedName>
    <definedName name="商业建筑结构" localSheetId="49">'比较法-商业售价'!$B$105:$M$105</definedName>
    <definedName name="商业建筑结构" localSheetId="37">'[12]比较法-商业'!$B$105:$M$105</definedName>
    <definedName name="商业建筑结构">'比较法-商业'!$B$105:$M$105</definedName>
    <definedName name="商业交易情况" localSheetId="49">'比较法-商业售价'!$A$61:$M$61</definedName>
    <definedName name="商业交易情况" localSheetId="37">'[12]比较法-商业'!$A$61:$M$61</definedName>
    <definedName name="商业交易情况">'比较法-商业'!$A$61:$M$61</definedName>
    <definedName name="商业街名称" localSheetId="37">[12]修正!$C$59:$C$119</definedName>
    <definedName name="商业街名称">修正!$C$71:$C$138</definedName>
    <definedName name="商业进深比" localSheetId="49">'比较法-商业售价'!$B$120:$M$120</definedName>
    <definedName name="商业进深比" localSheetId="37">'[12]比较法-商业'!$B$120:$M$120</definedName>
    <definedName name="商业进深比">'比较法-商业'!$B$120:$M$120</definedName>
    <definedName name="商业类型" localSheetId="49">'比较法-商业售价'!$B$100:$M$100</definedName>
    <definedName name="商业类型" localSheetId="37">'[12]比较法-商业'!$B$100:$M$100</definedName>
    <definedName name="商业类型">'比较法-商业'!$B$100:$M$100</definedName>
    <definedName name="商业临街状况" localSheetId="49">'比较法-商业售价'!$B$86:$M$86</definedName>
    <definedName name="商业临街状况" localSheetId="37">'[12]比较法-商业'!$B$86:$M$86</definedName>
    <definedName name="商业临街状况">'比较法-商业'!$B$86:$M$86</definedName>
    <definedName name="商业楼层" localSheetId="49">'比较法-商业售价'!$B$92:$M$92</definedName>
    <definedName name="商业楼层" localSheetId="37">'[12]比较法-商业'!$B$92:$M$92</definedName>
    <definedName name="商业楼层">'比较法-商业'!$B$92:$M$92</definedName>
    <definedName name="商业内部装修" localSheetId="49">'比较法-商业售价'!$B$122:$M$122</definedName>
    <definedName name="商业内部装修" localSheetId="37">'[12]比较法-商业'!$B$122:$M$122</definedName>
    <definedName name="商业内部装修">'比较法-商业'!$B$122:$M$122</definedName>
    <definedName name="商业人流量" localSheetId="49">'比较法-商业售价'!$B$90:$M$90</definedName>
    <definedName name="商业人流量" localSheetId="37">'[12]比较法-商业'!$B$90:$M$90</definedName>
    <definedName name="商业人流量">'比较法-商业'!$B$90:$M$90</definedName>
    <definedName name="商业业态" localSheetId="49">'比较法-商业售价'!$B$114:$M$114</definedName>
    <definedName name="商业业态" localSheetId="37">'[12]比较法-商业'!$B$114:$M$114</definedName>
    <definedName name="商业业态">'比较法-商业'!$B$114:$M$114</definedName>
    <definedName name="商业用途" localSheetId="49">'比较法-商业售价'!$B$63:$M$63</definedName>
    <definedName name="商业用途" localSheetId="37">'[12]比较法-商业'!$B$63:$M$63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'[12]比较法-仓储'!$B$89:$M$89</definedName>
    <definedName name="是否封闭">'比较法-仓储'!$B$89:$M$89</definedName>
    <definedName name="是否直接入户" localSheetId="37">'[12]比较法-车位'!$B$95:$M$95</definedName>
    <definedName name="是否直接入户">'比较法-车位'!$B$95:$M$95</definedName>
    <definedName name="四级">区片价!$L$1:$L$33</definedName>
    <definedName name="套工道路等级" localSheetId="37">'[12]土地比较法-工业'!$B$97:$M$97</definedName>
    <definedName name="套工道路等级">'土地比较法-工业'!$B$97:$M$97</definedName>
    <definedName name="套工地质条件" localSheetId="37">'[12]土地比较法-工业'!$B$114:$M$114</definedName>
    <definedName name="套工地质条件">'土地比较法-工业'!$B$114:$M$114</definedName>
    <definedName name="套工交易情况" localSheetId="37">'[12]土地比较法-住宅、综合'!$A$73:$M$73</definedName>
    <definedName name="套工交易情况">'土地比较法-住宅、综合'!$A$72:$M$72</definedName>
    <definedName name="套工土地级别" localSheetId="37">'[12]土地比较法-工业'!$B$99:$M$99</definedName>
    <definedName name="套工土地级别">'土地比较法-工业'!$B$99:$M$99</definedName>
    <definedName name="套工用途" localSheetId="37">'[12]土地比较法-工业'!$B$70:$M$70</definedName>
    <definedName name="套工用途">'土地比较法-工业'!$B$70:$M$70</definedName>
    <definedName name="套工宗地开发程度" localSheetId="37">'[12]土地比较法-工业'!$B$112:$M$112</definedName>
    <definedName name="套工宗地开发程度">'土地比较法-工业'!$B$112:$M$112</definedName>
    <definedName name="套工宗地形状" localSheetId="37">'[12]土地比较法-工业'!$B$110:$M$110</definedName>
    <definedName name="套工宗地形状">'土地比较法-工业'!$B$110:$M$110</definedName>
    <definedName name="套综道路等级" localSheetId="37">'[12]土地比较法-住宅、综合'!$B$106:$M$106</definedName>
    <definedName name="套综道路等级">'土地比较法-住宅、综合'!$B$105:$M$105</definedName>
    <definedName name="套综工程地质条件" localSheetId="37">'[12]土地比较法-住宅、综合'!$B$125:$M$125</definedName>
    <definedName name="套综工程地质条件">'土地比较法-住宅、综合'!$B$124:$M$124</definedName>
    <definedName name="套综交易情况" localSheetId="37">'[12]土地比较法-住宅、综合'!$A$73:$M$73</definedName>
    <definedName name="套综交易情况">'土地比较法-住宅、综合'!$A$72:$M$72</definedName>
    <definedName name="套综临街宽度及深度" localSheetId="37">'[12]土地比较法-住宅、综合'!$B$121:$M$121</definedName>
    <definedName name="套综临街宽度及深度">'土地比较法-住宅、综合'!$B$120:$M$120</definedName>
    <definedName name="套综土地级别" localSheetId="37">'[12]土地比较法-住宅、综合'!$B$108:$M$108</definedName>
    <definedName name="套综土地级别">'土地比较法-住宅、综合'!$B$107:$M$107</definedName>
    <definedName name="套综用途" localSheetId="37">'[12]土地比较法-住宅、综合'!$B$75:$M$75</definedName>
    <definedName name="套综用途">'土地比较法-住宅、综合'!$B$74:$M$74</definedName>
    <definedName name="套综宗地内开发程度" localSheetId="37">'[12]土地比较法-住宅、综合'!$B$123:$M$123</definedName>
    <definedName name="套综宗地内开发程度">'土地比较法-住宅、综合'!$B$122:$M$122</definedName>
    <definedName name="套综宗地形状" localSheetId="37">'[12]土地比较法-住宅、综合'!$B$119:$M$119</definedName>
    <definedName name="套综宗地形状">'土地比较法-住宅、综合'!$B$118:$M$118</definedName>
    <definedName name="土地估价师">估价师及机构信息!$D$3:$D$24</definedName>
    <definedName name="土地级别" localSheetId="37">[12]定义!$C$1:$C$14</definedName>
    <definedName name="土地级别">定义!$C$1:$C$14</definedName>
    <definedName name="土地利用方向">定义!$P$1:$P$6</definedName>
    <definedName name="土地年限区间" localSheetId="37">[12]定义!$I$1:$I$8</definedName>
    <definedName name="土地年限区间">定义!$I$1:$I$16</definedName>
    <definedName name="位置" localSheetId="37">[12]定义!$E$2:$E$4</definedName>
    <definedName name="位置">定义!$E$2:$E$4</definedName>
    <definedName name="五等判定" localSheetId="37">[12]定义!$W$1:$W$6</definedName>
    <definedName name="五等判定">定义!$W$1:$W$6</definedName>
    <definedName name="五级">区片价!$M$1:$M$41</definedName>
    <definedName name="项目类型" localSheetId="37">'[12]数据-汇总表'!$C$17:$C$26</definedName>
    <definedName name="项目类型" localSheetId="23">'[14]数据-汇总表'!$C$17:$C$26</definedName>
    <definedName name="项目类型">'数据-汇总表'!$C$17:$C$26</definedName>
    <definedName name="写字楼等级" localSheetId="37">'[12]比较法-办公'!$B$113:$M$113</definedName>
    <definedName name="写字楼等级">'比较法-办公'!$B$113:$M$113</definedName>
    <definedName name="一级">区片价!$I$1:$I$6</definedName>
    <definedName name="一修多修正项2" localSheetId="37">[12]典型户型修正!$5:$5</definedName>
    <definedName name="一修多修正项2">典型户型修正!$5:$5</definedName>
    <definedName name="一修多修正项3" localSheetId="37">[12]典型户型修正!$7:$7</definedName>
    <definedName name="一修多修正项3">典型户型修正!$7:$7</definedName>
    <definedName name="一修多修正项4" localSheetId="37">[12]典型户型修正!$9:$9</definedName>
    <definedName name="一修多修正项4">典型户型修正!$9:$9</definedName>
    <definedName name="一修多修正项5" localSheetId="37">[12]典型户型修正!$11:$11</definedName>
    <definedName name="一修多修正项5">典型户型修正!$11:$11</definedName>
    <definedName name="一修多修正项6" localSheetId="37">[12]典型户型修正!$13:$13</definedName>
    <definedName name="一修多修正项6">典型户型修正!$13:$13</definedName>
    <definedName name="一修多修正项7" localSheetId="37">[12]典型户型修正!$15:$15</definedName>
    <definedName name="一修多修正项7">典型户型修正!$15:$15</definedName>
    <definedName name="一修多修正项8" localSheetId="37">[12]典型户型修正!$17:$17</definedName>
    <definedName name="一修多修正项8">典型户型修正!$17:$17</definedName>
    <definedName name="用途明细" localSheetId="37">[12]定义!$A$1:$A$50</definedName>
    <definedName name="用途明细">定义!$A$1:$A$50</definedName>
    <definedName name="有无电梯" localSheetId="37">'[12]比较法-仓储'!$B$84:$M$84</definedName>
    <definedName name="有无电梯">'比较法-仓储'!$B$84:$M$84</definedName>
    <definedName name="漳州减租每月明细" localSheetId="34" hidden="1">#REF!</definedName>
    <definedName name="漳州减租每月明细" hidden="1">#REF!</definedName>
    <definedName name="主用途" localSheetId="37">[12]定义!$F$1:$F$10</definedName>
    <definedName name="主用途">定义!$F$1:$F$12</definedName>
    <definedName name="住宅朝向" localSheetId="37">'[12]比较法-住宅'!$B$88:$M$88</definedName>
    <definedName name="住宅朝向">'比较法-住宅'!$B$88:$M$88</definedName>
    <definedName name="住宅房型" localSheetId="37">'[12]比较法-住宅'!$B$118:$M$118</definedName>
    <definedName name="住宅房型">'比较法-住宅'!$B$118:$M$118</definedName>
    <definedName name="住宅公共部分装修" localSheetId="37">'[12]比较法-住宅'!$B$109:$M$109</definedName>
    <definedName name="住宅公共部分装修">'比较法-住宅'!$B$109:$M$109</definedName>
    <definedName name="住宅基础设施水平" localSheetId="37">'[12]比较法-住宅'!$B$116:$M$116</definedName>
    <definedName name="住宅基础设施水平">'比较法-住宅'!$B$116:$M$116</definedName>
    <definedName name="住宅建筑结构" localSheetId="37">'[12]比较法-住宅'!$B$105:$M$105</definedName>
    <definedName name="住宅建筑结构">'比较法-住宅'!$B$105:$M$105</definedName>
    <definedName name="住宅建筑类型" localSheetId="37">'[12]比较法-住宅'!$B$100:$M$100</definedName>
    <definedName name="住宅建筑类型">'比较法-住宅'!$B$100:$M$100</definedName>
    <definedName name="住宅建筑品质" localSheetId="37">'[12]比较法-住宅'!$B$107:$M$107</definedName>
    <definedName name="住宅建筑品质">'比较法-住宅'!$B$107:$M$107</definedName>
    <definedName name="住宅交易情况" localSheetId="37">'[12]比较法-住宅'!$A$61:$M$61</definedName>
    <definedName name="住宅交易情况">'比较法-住宅'!$A$61:$M$61</definedName>
    <definedName name="住宅楼层" localSheetId="37">'[12]比较法-住宅'!$B$86:$M$86</definedName>
    <definedName name="住宅楼层">'比较法-住宅'!$B$86:$M$86</definedName>
    <definedName name="住宅内部装修" localSheetId="37">'[12]比较法-住宅'!$B$122:$M$122</definedName>
    <definedName name="住宅内部装修">'比较法-住宅'!$B$122:$M$122</definedName>
    <definedName name="住宅物业管理" localSheetId="37">'[12]比较法-住宅'!$B$114:$M$114</definedName>
    <definedName name="住宅物业管理">'比较法-住宅'!$B$114:$M$114</definedName>
    <definedName name="住宅用途" localSheetId="37">'[12]比较法-住宅'!$B$63:$M$63</definedName>
    <definedName name="住宅用途">'比较法-住宅'!$B$63:$M$63</definedName>
    <definedName name="住宅主力户型面积">'比较法-住宅'!$B$120:$M$120</definedName>
    <definedName name="注册房地产估价师" localSheetId="37">[12]估价师及机构信息!$A$3:$A$24</definedName>
    <definedName name="注册房地产估价师">估价师及机构信息!$A$3:$A$16</definedName>
    <definedName name="注资" hidden="1">{#N/A,#N/A,FALSE,"SOO";#N/A,#N/A,FALSE,"NOTES"}</definedName>
  </definedNames>
  <calcPr calcId="162913" iterate="1"/>
</workbook>
</file>

<file path=xl/calcChain.xml><?xml version="1.0" encoding="utf-8"?>
<calcChain xmlns="http://schemas.openxmlformats.org/spreadsheetml/2006/main">
  <c r="B13" i="3" l="1"/>
  <c r="I7" i="33"/>
  <c r="G7" i="33"/>
  <c r="E7" i="33"/>
  <c r="I33" i="85"/>
  <c r="G33" i="85"/>
  <c r="E33" i="85"/>
  <c r="I47" i="85"/>
  <c r="G47" i="85"/>
  <c r="E47" i="85"/>
  <c r="I7" i="85"/>
  <c r="G7" i="85"/>
  <c r="E7" i="85"/>
  <c r="I5" i="85"/>
  <c r="G5" i="85"/>
  <c r="E5" i="85"/>
  <c r="V6" i="86" l="1"/>
  <c r="V9" i="86"/>
  <c r="V7" i="86"/>
  <c r="E245" i="87"/>
  <c r="I244" i="87"/>
  <c r="I246" i="87" s="1"/>
  <c r="E244" i="87"/>
  <c r="E247" i="87" s="1"/>
  <c r="H243" i="87"/>
  <c r="H242" i="87"/>
  <c r="H241" i="87"/>
  <c r="H240" i="87"/>
  <c r="H239" i="87"/>
  <c r="H238" i="87"/>
  <c r="H237" i="87"/>
  <c r="H236" i="87"/>
  <c r="H235" i="87"/>
  <c r="H234" i="87"/>
  <c r="H233" i="87"/>
  <c r="H232" i="87"/>
  <c r="H231" i="87"/>
  <c r="H230" i="87"/>
  <c r="H229" i="87"/>
  <c r="H228" i="87"/>
  <c r="H227" i="87"/>
  <c r="H226" i="87"/>
  <c r="H225" i="87"/>
  <c r="H224" i="87"/>
  <c r="H223" i="87"/>
  <c r="H222" i="87"/>
  <c r="H221" i="87"/>
  <c r="H220" i="87"/>
  <c r="H219" i="87"/>
  <c r="H218" i="87"/>
  <c r="H217" i="87"/>
  <c r="H216" i="87"/>
  <c r="H215" i="87"/>
  <c r="H214" i="87"/>
  <c r="H213" i="87"/>
  <c r="H212" i="87"/>
  <c r="H211" i="87"/>
  <c r="H210" i="87"/>
  <c r="H209" i="87"/>
  <c r="H208" i="87"/>
  <c r="H207" i="87"/>
  <c r="H206" i="87"/>
  <c r="H205" i="87"/>
  <c r="H204" i="87"/>
  <c r="H203" i="87"/>
  <c r="H202" i="87"/>
  <c r="H201" i="87"/>
  <c r="H200" i="87"/>
  <c r="H199" i="87"/>
  <c r="H198" i="87"/>
  <c r="H197" i="87"/>
  <c r="H196" i="87"/>
  <c r="H195" i="87"/>
  <c r="H194" i="87"/>
  <c r="H193" i="87"/>
  <c r="H192" i="87"/>
  <c r="H191" i="87"/>
  <c r="H190" i="87"/>
  <c r="H189" i="87"/>
  <c r="H188" i="87"/>
  <c r="H187" i="87"/>
  <c r="H186" i="87"/>
  <c r="H185" i="87"/>
  <c r="H184" i="87"/>
  <c r="H183" i="87"/>
  <c r="H182" i="87"/>
  <c r="H181" i="87"/>
  <c r="H180" i="87"/>
  <c r="H179" i="87"/>
  <c r="H178" i="87"/>
  <c r="H177" i="87"/>
  <c r="H176" i="87"/>
  <c r="H175" i="87"/>
  <c r="H174" i="87"/>
  <c r="H173" i="87"/>
  <c r="H172" i="87"/>
  <c r="H171" i="87"/>
  <c r="H170" i="87"/>
  <c r="H169" i="87"/>
  <c r="H168" i="87"/>
  <c r="H167" i="87"/>
  <c r="H166" i="87"/>
  <c r="H165" i="87"/>
  <c r="H164" i="87"/>
  <c r="H163" i="87"/>
  <c r="H162" i="87"/>
  <c r="H161" i="87"/>
  <c r="H160" i="87"/>
  <c r="H159" i="87"/>
  <c r="H158" i="87"/>
  <c r="H157" i="87"/>
  <c r="H156" i="87"/>
  <c r="H155" i="87"/>
  <c r="H154" i="87"/>
  <c r="H153" i="87"/>
  <c r="H152" i="87"/>
  <c r="H151" i="87"/>
  <c r="H150" i="87"/>
  <c r="H149" i="87"/>
  <c r="H148" i="87"/>
  <c r="H147" i="87"/>
  <c r="H146" i="87"/>
  <c r="H145" i="87"/>
  <c r="H144" i="87"/>
  <c r="H143" i="87"/>
  <c r="H142" i="87"/>
  <c r="H141" i="87"/>
  <c r="H140" i="87"/>
  <c r="H139" i="87"/>
  <c r="H138" i="87"/>
  <c r="H137" i="87"/>
  <c r="H136" i="87"/>
  <c r="H135" i="87"/>
  <c r="H134" i="87"/>
  <c r="H133" i="87"/>
  <c r="H132" i="87"/>
  <c r="H131" i="87"/>
  <c r="H130" i="87"/>
  <c r="H129" i="87"/>
  <c r="H128" i="87"/>
  <c r="H127" i="87"/>
  <c r="H126" i="87"/>
  <c r="H125" i="87"/>
  <c r="H124" i="87"/>
  <c r="H123" i="87"/>
  <c r="H122" i="87"/>
  <c r="H121" i="87"/>
  <c r="H120" i="87"/>
  <c r="H119" i="87"/>
  <c r="H118" i="87"/>
  <c r="H117" i="87"/>
  <c r="H116" i="87"/>
  <c r="H115" i="87"/>
  <c r="H114" i="87"/>
  <c r="H113" i="87"/>
  <c r="H112" i="87"/>
  <c r="H111" i="87"/>
  <c r="H110" i="87"/>
  <c r="H109" i="87"/>
  <c r="H108" i="87"/>
  <c r="H107" i="87"/>
  <c r="H106" i="87"/>
  <c r="H105" i="87"/>
  <c r="H104" i="87"/>
  <c r="H103" i="87"/>
  <c r="H102" i="87"/>
  <c r="H101" i="87"/>
  <c r="H100" i="87"/>
  <c r="H99" i="87"/>
  <c r="H98" i="87"/>
  <c r="H97" i="87"/>
  <c r="H96" i="87"/>
  <c r="H95" i="87"/>
  <c r="H94" i="87"/>
  <c r="H93" i="87"/>
  <c r="H92" i="87"/>
  <c r="H91" i="87"/>
  <c r="H90" i="87"/>
  <c r="H89" i="87"/>
  <c r="H88" i="87"/>
  <c r="H87" i="87"/>
  <c r="H86" i="87"/>
  <c r="H85" i="87"/>
  <c r="H84" i="87"/>
  <c r="H83" i="87"/>
  <c r="H82" i="87"/>
  <c r="H81" i="87"/>
  <c r="H80" i="87"/>
  <c r="H79" i="87"/>
  <c r="H78" i="87"/>
  <c r="H77" i="87"/>
  <c r="H76" i="87"/>
  <c r="H75" i="87"/>
  <c r="H74" i="87"/>
  <c r="H73" i="87"/>
  <c r="H72" i="87"/>
  <c r="H71" i="87"/>
  <c r="H70" i="87"/>
  <c r="H69" i="87"/>
  <c r="H68" i="87"/>
  <c r="H67" i="87"/>
  <c r="H66" i="87"/>
  <c r="H65" i="87"/>
  <c r="H64" i="87"/>
  <c r="H63" i="87"/>
  <c r="H62" i="87"/>
  <c r="H61" i="87"/>
  <c r="H60" i="87"/>
  <c r="H59" i="87"/>
  <c r="H58" i="87"/>
  <c r="H57" i="87"/>
  <c r="H56" i="87"/>
  <c r="H55" i="87"/>
  <c r="H54" i="87"/>
  <c r="H53" i="87"/>
  <c r="H52" i="87"/>
  <c r="H51" i="87"/>
  <c r="H50" i="87"/>
  <c r="H49" i="87"/>
  <c r="H48" i="87"/>
  <c r="H47" i="87"/>
  <c r="H46" i="87"/>
  <c r="H45" i="87"/>
  <c r="H44" i="87"/>
  <c r="H43" i="87"/>
  <c r="H42" i="87"/>
  <c r="H41" i="87"/>
  <c r="H40" i="87"/>
  <c r="H39" i="87"/>
  <c r="H38" i="87"/>
  <c r="H37" i="87"/>
  <c r="H36" i="87"/>
  <c r="H35" i="87"/>
  <c r="H34" i="87"/>
  <c r="H33" i="87"/>
  <c r="H32" i="87"/>
  <c r="H31" i="87"/>
  <c r="H30" i="87"/>
  <c r="H29" i="87"/>
  <c r="H28" i="87"/>
  <c r="H27" i="87"/>
  <c r="H26" i="87"/>
  <c r="H25" i="87"/>
  <c r="H24" i="87"/>
  <c r="H23" i="87"/>
  <c r="H22" i="87"/>
  <c r="H21" i="87"/>
  <c r="H20" i="87"/>
  <c r="H19" i="87"/>
  <c r="H18" i="87"/>
  <c r="H17" i="87"/>
  <c r="H16" i="87"/>
  <c r="H15" i="87"/>
  <c r="H14" i="87"/>
  <c r="H13" i="87"/>
  <c r="H12" i="87"/>
  <c r="H11" i="87"/>
  <c r="H10" i="87"/>
  <c r="H9" i="87"/>
  <c r="H8" i="87"/>
  <c r="H7" i="87"/>
  <c r="H6" i="87"/>
  <c r="H5" i="87"/>
  <c r="H4" i="87"/>
  <c r="H3" i="87"/>
  <c r="H2" i="87"/>
  <c r="G153" i="86"/>
  <c r="I135" i="86"/>
  <c r="I134" i="86"/>
  <c r="I133" i="86"/>
  <c r="J132" i="86"/>
  <c r="I132" i="86"/>
  <c r="J131" i="86"/>
  <c r="I131" i="86"/>
  <c r="J129" i="86"/>
  <c r="I129" i="86"/>
  <c r="J128" i="86"/>
  <c r="I128" i="86"/>
  <c r="J127" i="86"/>
  <c r="I127" i="86"/>
  <c r="J126" i="86"/>
  <c r="I126" i="86"/>
  <c r="J125" i="86"/>
  <c r="I125" i="86"/>
  <c r="J123" i="86"/>
  <c r="I123" i="86"/>
  <c r="J122" i="86"/>
  <c r="I122" i="86"/>
  <c r="J121" i="86"/>
  <c r="I121" i="86"/>
  <c r="J120" i="86"/>
  <c r="I120" i="86"/>
  <c r="J119" i="86"/>
  <c r="J118" i="86"/>
  <c r="I118" i="86"/>
  <c r="J117" i="86"/>
  <c r="I117" i="86"/>
  <c r="J116" i="86"/>
  <c r="I116" i="86"/>
  <c r="J115" i="86"/>
  <c r="I115" i="86"/>
  <c r="J114" i="86"/>
  <c r="I114" i="86"/>
  <c r="J112" i="86"/>
  <c r="I112" i="86"/>
  <c r="J111" i="86"/>
  <c r="I111" i="86"/>
  <c r="J110" i="86"/>
  <c r="I110" i="86"/>
  <c r="J109" i="86"/>
  <c r="I109" i="86"/>
  <c r="J108" i="86"/>
  <c r="I108" i="86"/>
  <c r="J107" i="86"/>
  <c r="I107" i="86"/>
  <c r="J106" i="86"/>
  <c r="I106" i="86"/>
  <c r="J105" i="86"/>
  <c r="H105" i="86"/>
  <c r="I105" i="86" s="1"/>
  <c r="J104" i="86"/>
  <c r="I104" i="86"/>
  <c r="J103" i="86"/>
  <c r="I103" i="86"/>
  <c r="J102" i="86"/>
  <c r="I102" i="86"/>
  <c r="J101" i="86"/>
  <c r="I101" i="86"/>
  <c r="J100" i="86"/>
  <c r="I100" i="86"/>
  <c r="J99" i="86"/>
  <c r="J98" i="86"/>
  <c r="I98" i="86"/>
  <c r="H97" i="86"/>
  <c r="I97" i="86" s="1"/>
  <c r="F97" i="86"/>
  <c r="J97" i="86" s="1"/>
  <c r="J96" i="86"/>
  <c r="I96" i="86"/>
  <c r="J95" i="86"/>
  <c r="I95" i="86"/>
  <c r="J94" i="86"/>
  <c r="I94" i="86"/>
  <c r="J93" i="86"/>
  <c r="I93" i="86"/>
  <c r="J92" i="86"/>
  <c r="I92" i="86"/>
  <c r="J91" i="86"/>
  <c r="I91" i="86"/>
  <c r="J90" i="86"/>
  <c r="I90" i="86"/>
  <c r="J89" i="86"/>
  <c r="I89" i="86"/>
  <c r="J88" i="86"/>
  <c r="I88" i="86"/>
  <c r="J87" i="86"/>
  <c r="I87" i="86"/>
  <c r="J86" i="86"/>
  <c r="I86" i="86"/>
  <c r="J85" i="86"/>
  <c r="I85" i="86"/>
  <c r="J84" i="86"/>
  <c r="I84" i="86"/>
  <c r="J83" i="86"/>
  <c r="I83" i="86"/>
  <c r="J82" i="86"/>
  <c r="I82" i="86"/>
  <c r="J81" i="86"/>
  <c r="I81" i="86"/>
  <c r="J80" i="86"/>
  <c r="I80" i="86"/>
  <c r="J79" i="86"/>
  <c r="I79" i="86"/>
  <c r="J78" i="86"/>
  <c r="I78" i="86"/>
  <c r="J77" i="86"/>
  <c r="I77" i="86"/>
  <c r="J76" i="86"/>
  <c r="I76" i="86"/>
  <c r="J75" i="86"/>
  <c r="I75" i="86"/>
  <c r="J74" i="86"/>
  <c r="I74" i="86"/>
  <c r="J73" i="86"/>
  <c r="I73" i="86"/>
  <c r="J72" i="86"/>
  <c r="I72" i="86"/>
  <c r="J71" i="86"/>
  <c r="I71" i="86"/>
  <c r="J70" i="86"/>
  <c r="I70" i="86"/>
  <c r="J69" i="86"/>
  <c r="I69" i="86"/>
  <c r="J68" i="86"/>
  <c r="I68" i="86"/>
  <c r="J67" i="86"/>
  <c r="I67" i="86"/>
  <c r="J66" i="86"/>
  <c r="I66" i="86"/>
  <c r="J65" i="86"/>
  <c r="I65" i="86"/>
  <c r="J64" i="86"/>
  <c r="I64" i="86"/>
  <c r="J63" i="86"/>
  <c r="I63" i="86"/>
  <c r="J62" i="86"/>
  <c r="I62" i="86"/>
  <c r="J61" i="86"/>
  <c r="I61" i="86"/>
  <c r="J60" i="86"/>
  <c r="I60" i="86"/>
  <c r="J59" i="86"/>
  <c r="I59" i="86"/>
  <c r="J58" i="86"/>
  <c r="I58" i="86"/>
  <c r="J57" i="86"/>
  <c r="I57" i="86"/>
  <c r="J56" i="86"/>
  <c r="I56" i="86"/>
  <c r="J55" i="86"/>
  <c r="I55" i="86"/>
  <c r="J54" i="86"/>
  <c r="I54" i="86"/>
  <c r="J53" i="86"/>
  <c r="I53" i="86"/>
  <c r="J52" i="86"/>
  <c r="I52" i="86"/>
  <c r="J51" i="86"/>
  <c r="I51" i="86"/>
  <c r="J50" i="86"/>
  <c r="I50" i="86"/>
  <c r="J49" i="86"/>
  <c r="I49" i="86"/>
  <c r="J48" i="86"/>
  <c r="I48" i="86"/>
  <c r="J47" i="86"/>
  <c r="I47" i="86"/>
  <c r="J46" i="86"/>
  <c r="I46" i="86"/>
  <c r="J45" i="86"/>
  <c r="I45" i="86"/>
  <c r="J44" i="86"/>
  <c r="I44" i="86"/>
  <c r="J43" i="86"/>
  <c r="I43" i="86"/>
  <c r="J42" i="86"/>
  <c r="I42" i="86"/>
  <c r="J41" i="86"/>
  <c r="I41" i="86"/>
  <c r="J40" i="86"/>
  <c r="I40" i="86"/>
  <c r="J39" i="86"/>
  <c r="I39" i="86"/>
  <c r="J38" i="86"/>
  <c r="I38" i="86"/>
  <c r="J37" i="86"/>
  <c r="I37" i="86"/>
  <c r="J36" i="86"/>
  <c r="I36" i="86"/>
  <c r="J35" i="86"/>
  <c r="I35" i="86"/>
  <c r="J34" i="86"/>
  <c r="I34" i="86"/>
  <c r="J33" i="86"/>
  <c r="I33" i="86"/>
  <c r="J32" i="86"/>
  <c r="I32" i="86"/>
  <c r="J31" i="86"/>
  <c r="I31" i="86"/>
  <c r="J30" i="86"/>
  <c r="I30" i="86"/>
  <c r="J29" i="86"/>
  <c r="I29" i="86"/>
  <c r="J28" i="86"/>
  <c r="I28" i="86"/>
  <c r="J27" i="86"/>
  <c r="I27" i="86"/>
  <c r="J26" i="86"/>
  <c r="I26" i="86"/>
  <c r="J25" i="86"/>
  <c r="I25" i="86"/>
  <c r="J24" i="86"/>
  <c r="I24" i="86"/>
  <c r="D24" i="86"/>
  <c r="D153" i="86" s="1"/>
  <c r="E150" i="86" s="1"/>
  <c r="J23" i="86"/>
  <c r="I23" i="86"/>
  <c r="J22" i="86"/>
  <c r="I22" i="86"/>
  <c r="J21" i="86"/>
  <c r="I21" i="86"/>
  <c r="J20" i="86"/>
  <c r="I20" i="86"/>
  <c r="J19" i="86"/>
  <c r="I19" i="86"/>
  <c r="J18" i="86"/>
  <c r="I18" i="86"/>
  <c r="J17" i="86"/>
  <c r="I17" i="86"/>
  <c r="J16" i="86"/>
  <c r="I16" i="86"/>
  <c r="J15" i="86"/>
  <c r="J14" i="86"/>
  <c r="J13" i="86"/>
  <c r="J12" i="86"/>
  <c r="J11" i="86"/>
  <c r="J10" i="86"/>
  <c r="J9" i="86"/>
  <c r="J8" i="86"/>
  <c r="J7" i="86"/>
  <c r="J6" i="86"/>
  <c r="J3" i="86"/>
  <c r="I153" i="86" l="1"/>
  <c r="I245" i="87"/>
  <c r="H153" i="86"/>
  <c r="T22" i="81" l="1"/>
  <c r="S21" i="81"/>
  <c r="N27" i="81"/>
  <c r="M26" i="81"/>
  <c r="M28" i="81" s="1"/>
  <c r="M47" i="85"/>
  <c r="AS33" i="84" l="1"/>
  <c r="D66" i="85" l="1"/>
  <c r="E66" i="85" s="1"/>
  <c r="T47" i="85"/>
  <c r="H9" i="81"/>
  <c r="I8" i="81"/>
  <c r="B130" i="85"/>
  <c r="J46" i="85" s="1"/>
  <c r="AC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H104" i="85" s="1"/>
  <c r="I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J28" i="85" s="1"/>
  <c r="AC28" i="85" s="1"/>
  <c r="E91" i="85"/>
  <c r="F91" i="85" s="1"/>
  <c r="G91" i="85" s="1"/>
  <c r="H91" i="85" s="1"/>
  <c r="I91" i="85" s="1"/>
  <c r="J91" i="85" s="1"/>
  <c r="K91" i="85" s="1"/>
  <c r="L91" i="85" s="1"/>
  <c r="M91" i="85" s="1"/>
  <c r="D91" i="85"/>
  <c r="B90" i="85"/>
  <c r="H27" i="85" s="1"/>
  <c r="AB27" i="85" s="1"/>
  <c r="B88" i="85"/>
  <c r="E87" i="85"/>
  <c r="F87" i="85" s="1"/>
  <c r="G87" i="85" s="1"/>
  <c r="H87" i="85" s="1"/>
  <c r="I87" i="85" s="1"/>
  <c r="J87" i="85" s="1"/>
  <c r="K87" i="85" s="1"/>
  <c r="L87" i="85" s="1"/>
  <c r="M87" i="85" s="1"/>
  <c r="D87" i="85"/>
  <c r="D85" i="85"/>
  <c r="J23" i="85" s="1"/>
  <c r="AC23" i="85" s="1"/>
  <c r="E83" i="85"/>
  <c r="F83" i="85" s="1"/>
  <c r="G83" i="85" s="1"/>
  <c r="D83" i="85"/>
  <c r="E81" i="85"/>
  <c r="F81" i="85" s="1"/>
  <c r="G81" i="85" s="1"/>
  <c r="D81" i="85"/>
  <c r="D79" i="85"/>
  <c r="E79" i="85" s="1"/>
  <c r="F79" i="85" s="1"/>
  <c r="G79" i="85" s="1"/>
  <c r="D77" i="85"/>
  <c r="E77" i="85" s="1"/>
  <c r="F77" i="85" s="1"/>
  <c r="G77" i="85" s="1"/>
  <c r="B74" i="85"/>
  <c r="J14" i="85" s="1"/>
  <c r="AC14" i="85" s="1"/>
  <c r="B72" i="85"/>
  <c r="H13" i="85" s="1"/>
  <c r="AB13" i="85" s="1"/>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Q46" i="85"/>
  <c r="Z46" i="85" s="1"/>
  <c r="Q45" i="85"/>
  <c r="Z45" i="85" s="1"/>
  <c r="Q44" i="85"/>
  <c r="Z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Q28" i="85"/>
  <c r="Z28" i="85" s="1"/>
  <c r="Q27" i="85"/>
  <c r="Z27" i="85" s="1"/>
  <c r="F27" i="85"/>
  <c r="AA27" i="85" s="1"/>
  <c r="Q26" i="85"/>
  <c r="Z26" i="85" s="1"/>
  <c r="J26" i="85"/>
  <c r="AC26" i="85" s="1"/>
  <c r="H26" i="85"/>
  <c r="AB26" i="85" s="1"/>
  <c r="F26" i="85"/>
  <c r="AA26" i="85" s="1"/>
  <c r="Q25" i="85"/>
  <c r="Z25" i="85" s="1"/>
  <c r="J25" i="85"/>
  <c r="AC25" i="85" s="1"/>
  <c r="H25" i="85"/>
  <c r="AB25" i="85" s="1"/>
  <c r="F25" i="85"/>
  <c r="AA25" i="85" s="1"/>
  <c r="Q23" i="85"/>
  <c r="Z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Q12" i="85"/>
  <c r="Z12" i="85" s="1"/>
  <c r="H12" i="85"/>
  <c r="AB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H26" i="81"/>
  <c r="E26" i="81" s="1"/>
  <c r="D2" i="85"/>
  <c r="H44" i="85" l="1"/>
  <c r="AB44" i="85" s="1"/>
  <c r="H45" i="85"/>
  <c r="AB45" i="85" s="1"/>
  <c r="I54" i="85"/>
  <c r="J54" i="85" s="1"/>
  <c r="F28" i="85"/>
  <c r="AA28" i="85" s="1"/>
  <c r="J45" i="85"/>
  <c r="AC45" i="85" s="1"/>
  <c r="E85" i="85"/>
  <c r="F85" i="85" s="1"/>
  <c r="G85" i="85" s="1"/>
  <c r="F13" i="85"/>
  <c r="AA13" i="85" s="1"/>
  <c r="H28" i="85"/>
  <c r="AB28" i="85" s="1"/>
  <c r="F36" i="85"/>
  <c r="AA36" i="85" s="1"/>
  <c r="H46" i="85"/>
  <c r="AB46" i="85" s="1"/>
  <c r="H36" i="85"/>
  <c r="AB36" i="85" s="1"/>
  <c r="J13" i="85"/>
  <c r="AC13" i="85" s="1"/>
  <c r="H23" i="85"/>
  <c r="AB23" i="85" s="1"/>
  <c r="J36" i="85"/>
  <c r="AC36" i="85" s="1"/>
  <c r="F23" i="85"/>
  <c r="AA23" i="85" s="1"/>
  <c r="J29" i="85"/>
  <c r="AC29" i="85" s="1"/>
  <c r="J27" i="85"/>
  <c r="AC27" i="85" s="1"/>
  <c r="F29" i="85"/>
  <c r="AA29" i="85" s="1"/>
  <c r="J31" i="85"/>
  <c r="AC31" i="85" s="1"/>
  <c r="F10" i="85"/>
  <c r="AA10" i="85" s="1"/>
  <c r="F66" i="85"/>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8" i="85"/>
  <c r="U9" i="85"/>
  <c r="U11" i="85"/>
  <c r="W12" i="85"/>
  <c r="U13" i="85"/>
  <c r="S14" i="85"/>
  <c r="W14" i="85"/>
  <c r="S15" i="85"/>
  <c r="W15" i="85"/>
  <c r="AA19" i="85"/>
  <c r="S19" i="85"/>
  <c r="AC19" i="85"/>
  <c r="W19" i="85"/>
  <c r="AA8" i="85"/>
  <c r="AC8" i="85"/>
  <c r="S9" i="85"/>
  <c r="W9" i="85"/>
  <c r="S11" i="85"/>
  <c r="W11" i="85"/>
  <c r="U12" i="85"/>
  <c r="S13" i="85"/>
  <c r="U14" i="85"/>
  <c r="U15" i="85"/>
  <c r="U17" i="85"/>
  <c r="U19" i="85"/>
  <c r="U21" i="85"/>
  <c r="S25" i="85"/>
  <c r="W25" i="85"/>
  <c r="U26" i="85"/>
  <c r="S27" i="85"/>
  <c r="U28" i="85"/>
  <c r="W29" i="85"/>
  <c r="U30" i="85"/>
  <c r="S31" i="85"/>
  <c r="W31" i="85"/>
  <c r="U32" i="85"/>
  <c r="U34" i="85"/>
  <c r="S35" i="85"/>
  <c r="W35" i="85"/>
  <c r="U36" i="85"/>
  <c r="S37" i="85"/>
  <c r="W37" i="85"/>
  <c r="U38" i="85"/>
  <c r="W39" i="85"/>
  <c r="U40" i="85"/>
  <c r="S41" i="85"/>
  <c r="W41" i="85"/>
  <c r="U42" i="85"/>
  <c r="W43" i="85"/>
  <c r="U44" i="85"/>
  <c r="AA45" i="85"/>
  <c r="S45" i="85"/>
  <c r="S21" i="85"/>
  <c r="W21" i="85"/>
  <c r="W23" i="85"/>
  <c r="U25" i="85"/>
  <c r="S26" i="85"/>
  <c r="W26" i="85"/>
  <c r="U27" i="85"/>
  <c r="W28" i="85"/>
  <c r="U29" i="85"/>
  <c r="S30" i="85"/>
  <c r="W30" i="85"/>
  <c r="U31" i="85"/>
  <c r="S32" i="85"/>
  <c r="W32" i="85"/>
  <c r="S34" i="85"/>
  <c r="W34" i="85"/>
  <c r="U35" i="85"/>
  <c r="S36" i="85"/>
  <c r="W36" i="85"/>
  <c r="U37" i="85"/>
  <c r="S38" i="85"/>
  <c r="W38" i="85"/>
  <c r="U39" i="85"/>
  <c r="S40" i="85"/>
  <c r="W40" i="85"/>
  <c r="U41" i="85"/>
  <c r="U43" i="85"/>
  <c r="W44" i="85"/>
  <c r="S46" i="85"/>
  <c r="W46" i="85"/>
  <c r="R47" i="85"/>
  <c r="V47" i="85"/>
  <c r="G54" i="85"/>
  <c r="H54" i="85" s="1"/>
  <c r="AY43" i="84"/>
  <c r="AR43" i="84"/>
  <c r="D43" i="84"/>
  <c r="AY42" i="84"/>
  <c r="AR42" i="84"/>
  <c r="AS42" i="84" s="1"/>
  <c r="D42" i="84"/>
  <c r="AY41" i="84"/>
  <c r="AR41" i="84"/>
  <c r="AS41" i="84" s="1"/>
  <c r="D41" i="84"/>
  <c r="AY40" i="84"/>
  <c r="AR40" i="84"/>
  <c r="AS40" i="84" s="1"/>
  <c r="D40" i="84"/>
  <c r="W45" i="85" l="1"/>
  <c r="U45" i="85"/>
  <c r="U46" i="85"/>
  <c r="W27" i="85"/>
  <c r="W17" i="85"/>
  <c r="U23" i="85"/>
  <c r="S28" i="85"/>
  <c r="U10" i="85"/>
  <c r="S17" i="85"/>
  <c r="W10" i="85"/>
  <c r="W13" i="85"/>
  <c r="S10" i="85"/>
  <c r="W42" i="85"/>
  <c r="S23" i="85"/>
  <c r="S29" i="85"/>
  <c r="S42" i="85"/>
  <c r="AT41" i="84"/>
  <c r="AS43" i="84"/>
  <c r="AT43" i="84" s="1"/>
  <c r="S44" i="85"/>
  <c r="S43" i="85"/>
  <c r="S39" i="85"/>
  <c r="S12" i="85"/>
  <c r="AT40" i="84"/>
  <c r="AT42" i="84"/>
  <c r="AY39" i="84" l="1"/>
  <c r="AT39" i="84"/>
  <c r="AY38" i="84"/>
  <c r="AT38" i="84"/>
  <c r="AY37" i="84" l="1"/>
  <c r="AT37" i="84"/>
  <c r="AY36" i="84"/>
  <c r="AT36" i="84"/>
  <c r="AY35" i="84" l="1"/>
  <c r="AT35" i="84"/>
  <c r="AY34" i="84"/>
  <c r="AT34" i="84"/>
  <c r="AX33" i="84" l="1"/>
  <c r="AT33" i="84"/>
  <c r="D33" i="84"/>
  <c r="AY33" i="84" l="1"/>
  <c r="L27" i="84"/>
  <c r="J27" i="84"/>
  <c r="L26" i="84"/>
  <c r="J26" i="84"/>
  <c r="L25" i="84"/>
  <c r="J25" i="84"/>
  <c r="L24" i="84"/>
  <c r="J24" i="84"/>
  <c r="L23" i="84"/>
  <c r="J23" i="84"/>
  <c r="L22" i="84"/>
  <c r="J22" i="84"/>
  <c r="L21" i="84"/>
  <c r="J21" i="84"/>
  <c r="L20" i="84"/>
  <c r="J20" i="84"/>
  <c r="L19" i="84"/>
  <c r="J19" i="84"/>
  <c r="L18" i="84"/>
  <c r="J18" i="84"/>
  <c r="L17" i="84"/>
  <c r="J17" i="84"/>
  <c r="L16" i="84"/>
  <c r="J16" i="84"/>
  <c r="L15" i="84"/>
  <c r="J15" i="84"/>
  <c r="L14" i="84"/>
  <c r="J14" i="84"/>
  <c r="L13" i="84"/>
  <c r="J13" i="84"/>
  <c r="L12" i="84"/>
  <c r="J12" i="84"/>
  <c r="L11" i="84"/>
  <c r="J11" i="84"/>
  <c r="L10" i="84"/>
  <c r="J10" i="84"/>
  <c r="L9" i="84"/>
  <c r="J9" i="84"/>
  <c r="L8" i="84"/>
  <c r="J8" i="84"/>
  <c r="L7" i="84"/>
  <c r="J7" i="84"/>
  <c r="L6" i="84"/>
  <c r="J6" i="84"/>
  <c r="L5" i="84"/>
  <c r="J5" i="84"/>
  <c r="L4" i="84"/>
  <c r="J4" i="84"/>
  <c r="L3" i="84"/>
  <c r="J3" i="84"/>
  <c r="G13" i="73"/>
  <c r="F13" i="73"/>
  <c r="E13" i="73"/>
  <c r="J38" i="81" l="1"/>
  <c r="D104" i="33" l="1"/>
  <c r="E104" i="33" s="1"/>
  <c r="F104" i="33" s="1"/>
  <c r="G104" i="33" s="1"/>
  <c r="H104" i="33" s="1"/>
  <c r="I104" i="33" s="1"/>
  <c r="B35" i="1"/>
  <c r="B21" i="1"/>
  <c r="I17" i="81" s="1"/>
  <c r="N18" i="1"/>
  <c r="N20" i="1" s="1"/>
  <c r="N6" i="1" s="1"/>
  <c r="D3" i="4"/>
  <c r="H40" i="81"/>
  <c r="C37" i="81"/>
  <c r="E29" i="81"/>
  <c r="F19" i="81"/>
  <c r="F16" i="81"/>
  <c r="E15" i="81"/>
  <c r="C15" i="81"/>
  <c r="H12" i="81"/>
  <c r="I11" i="81"/>
  <c r="M10" i="81"/>
  <c r="P9" i="81"/>
  <c r="O10" i="81" s="1"/>
  <c r="M4" i="81"/>
  <c r="Y6" i="1" l="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4" i="79" l="1"/>
  <c r="W14" i="79" s="1"/>
  <c r="AA3" i="79"/>
  <c r="AD3" i="79" s="1"/>
  <c r="U3" i="79"/>
  <c r="V14" i="79"/>
  <c r="D98" i="43"/>
  <c r="E93" i="43" s="1"/>
  <c r="B91" i="43" s="1"/>
  <c r="AB23" i="79"/>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B3" i="77" s="1"/>
  <c r="R5" i="77"/>
  <c r="U5"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B61" i="72" s="1"/>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Y25" i="71" s="1"/>
  <c r="Z25"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s="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F79" i="71" s="1"/>
  <c r="F78" i="71" s="1"/>
  <c r="E80" i="71"/>
  <c r="U80" i="7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s="1"/>
  <c r="E72" i="71"/>
  <c r="U72" i="71" s="1"/>
  <c r="C72" i="71"/>
  <c r="C71" i="71" s="1"/>
  <c r="D71" i="71" s="1"/>
  <c r="B72" i="71"/>
  <c r="S72" i="71"/>
  <c r="Q71" i="71"/>
  <c r="P71" i="71"/>
  <c r="O71" i="71"/>
  <c r="N71" i="71"/>
  <c r="F71" i="71"/>
  <c r="F70" i="71" s="1"/>
  <c r="B71" i="71"/>
  <c r="B70" i="71"/>
  <c r="Q70" i="71"/>
  <c r="P70" i="71"/>
  <c r="O70" i="71"/>
  <c r="N70" i="71"/>
  <c r="Q69" i="71"/>
  <c r="P69" i="71"/>
  <c r="O69" i="71"/>
  <c r="N69" i="71"/>
  <c r="D69" i="71"/>
  <c r="F68" i="71"/>
  <c r="V68" i="71" s="1"/>
  <c r="E68" i="71"/>
  <c r="P68" i="71" s="1"/>
  <c r="C68" i="71"/>
  <c r="B68" i="71"/>
  <c r="N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P41" i="71"/>
  <c r="E42" i="71" s="1"/>
  <c r="E43" i="71" s="1"/>
  <c r="E44" i="71" s="1"/>
  <c r="U44" i="71" s="1"/>
  <c r="O41" i="71"/>
  <c r="C42" i="71" s="1"/>
  <c r="N41" i="71"/>
  <c r="B42" i="71" s="1"/>
  <c r="D41" i="71"/>
  <c r="Q40" i="71"/>
  <c r="P40" i="71"/>
  <c r="O40" i="71"/>
  <c r="N40" i="71"/>
  <c r="Q39" i="71"/>
  <c r="AB39" i="71" s="1"/>
  <c r="P39" i="71"/>
  <c r="O39" i="71"/>
  <c r="N39" i="71"/>
  <c r="X39" i="71" s="1"/>
  <c r="Q38" i="71"/>
  <c r="P38" i="71"/>
  <c r="O38" i="71"/>
  <c r="Y38" i="71" s="1"/>
  <c r="Z38" i="71" s="1"/>
  <c r="N38" i="71"/>
  <c r="X38" i="71" s="1"/>
  <c r="Q37" i="71"/>
  <c r="F38" i="71" s="1"/>
  <c r="P37" i="71"/>
  <c r="E38" i="71" s="1"/>
  <c r="E39" i="71" s="1"/>
  <c r="E40" i="71" s="1"/>
  <c r="U40" i="71" s="1"/>
  <c r="O37" i="71"/>
  <c r="N37" i="71"/>
  <c r="B38" i="71" s="1"/>
  <c r="B39" i="71" s="1"/>
  <c r="B40" i="71" s="1"/>
  <c r="S40" i="71" s="1"/>
  <c r="D37" i="71"/>
  <c r="Q36" i="71"/>
  <c r="P36" i="71"/>
  <c r="AA36" i="71" s="1"/>
  <c r="O36" i="71"/>
  <c r="N36" i="71"/>
  <c r="Q35" i="71"/>
  <c r="P35" i="71"/>
  <c r="O35" i="71"/>
  <c r="Y35" i="71" s="1"/>
  <c r="Z35" i="71" s="1"/>
  <c r="N35" i="71"/>
  <c r="Q34" i="71"/>
  <c r="P34" i="71"/>
  <c r="AA34" i="71" s="1"/>
  <c r="O34" i="71"/>
  <c r="N34" i="71"/>
  <c r="Q33" i="71"/>
  <c r="F34" i="71" s="1"/>
  <c r="P33" i="71"/>
  <c r="O33" i="71"/>
  <c r="C34" i="71" s="1"/>
  <c r="N33" i="71"/>
  <c r="B34" i="71" s="1"/>
  <c r="D33" i="71"/>
  <c r="Q32" i="71"/>
  <c r="P32" i="71"/>
  <c r="O32" i="71"/>
  <c r="N32" i="71"/>
  <c r="Q31" i="71"/>
  <c r="P31" i="71"/>
  <c r="O31" i="71"/>
  <c r="N31" i="71"/>
  <c r="Q30" i="71"/>
  <c r="P30" i="71"/>
  <c r="O30" i="71"/>
  <c r="N30" i="71"/>
  <c r="Q29" i="71"/>
  <c r="P29" i="71"/>
  <c r="O29" i="71"/>
  <c r="C30" i="71" s="1"/>
  <c r="N29" i="71"/>
  <c r="D29" i="71"/>
  <c r="O28" i="71"/>
  <c r="N28" i="71"/>
  <c r="B28" i="71" s="1"/>
  <c r="B30" i="71"/>
  <c r="B31" i="71" s="1"/>
  <c r="B32" i="71" s="1"/>
  <c r="S32" i="71" s="1"/>
  <c r="E30" i="71"/>
  <c r="E31" i="71" s="1"/>
  <c r="AA35" i="71"/>
  <c r="C28" i="71"/>
  <c r="D28" i="71" s="1"/>
  <c r="U28" i="71" s="1"/>
  <c r="P28" i="71"/>
  <c r="E28" i="71" s="1"/>
  <c r="U68" i="71"/>
  <c r="Q28" i="71"/>
  <c r="D58" i="71"/>
  <c r="D68" i="71"/>
  <c r="E71" i="71"/>
  <c r="E70" i="71" s="1"/>
  <c r="C79" i="71"/>
  <c r="D79" i="71" s="1"/>
  <c r="E79" i="71"/>
  <c r="E78" i="71" s="1"/>
  <c r="D80" i="71"/>
  <c r="C83" i="71"/>
  <c r="D83" i="71" s="1"/>
  <c r="F28" i="71"/>
  <c r="F27" i="71" s="1"/>
  <c r="F26" i="71" s="1"/>
  <c r="AB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18" i="36"/>
  <c r="S21" i="34"/>
  <c r="H25" i="40"/>
  <c r="AB25" i="40" s="1"/>
  <c r="J25" i="40"/>
  <c r="H29" i="39"/>
  <c r="AB29" i="39" s="1"/>
  <c r="J29" i="39"/>
  <c r="J18" i="36"/>
  <c r="AC18" i="36" s="1"/>
  <c r="H18" i="35"/>
  <c r="J18" i="35"/>
  <c r="W18" i="35" s="1"/>
  <c r="H21" i="37"/>
  <c r="F21" i="37"/>
  <c r="H21" i="34"/>
  <c r="AB21" i="34" s="1"/>
  <c r="H21" i="33"/>
  <c r="U21" i="33" s="1"/>
  <c r="F21" i="33"/>
  <c r="AA21" i="33" s="1"/>
  <c r="E83" i="21"/>
  <c r="F83" i="21" s="1"/>
  <c r="G83" i="21" s="1"/>
  <c r="H1" i="69"/>
  <c r="U29" i="39"/>
  <c r="W18" i="36"/>
  <c r="AB21" i="37"/>
  <c r="U21" i="37"/>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BT70" i="3"/>
  <c r="BS70" i="3"/>
  <c r="BR70" i="3"/>
  <c r="BQ70" i="3"/>
  <c r="BP70" i="3"/>
  <c r="BO70" i="3"/>
  <c r="BL70" i="3" s="1"/>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A299" i="3" s="1"/>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L445" i="3" s="1"/>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L443" i="3" s="1"/>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33" i="85"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A493" i="3" s="1"/>
  <c r="BG493" i="3"/>
  <c r="BH493" i="3"/>
  <c r="BI493" i="3"/>
  <c r="BJ493" i="3"/>
  <c r="BK493" i="3"/>
  <c r="BM493" i="3"/>
  <c r="BN493" i="3"/>
  <c r="BO493" i="3"/>
  <c r="BP493" i="3"/>
  <c r="BR493" i="3"/>
  <c r="BS493" i="3"/>
  <c r="BS5" i="3" s="1"/>
  <c r="BT493" i="3"/>
  <c r="H494" i="3"/>
  <c r="AC494" i="3"/>
  <c r="BB494" i="3"/>
  <c r="BC494" i="3"/>
  <c r="BD494" i="3"/>
  <c r="BE494" i="3"/>
  <c r="BF494" i="3"/>
  <c r="BG494" i="3"/>
  <c r="BH494" i="3"/>
  <c r="BI494" i="3"/>
  <c r="BJ494" i="3"/>
  <c r="BK494" i="3"/>
  <c r="BM494" i="3"/>
  <c r="BN494" i="3"/>
  <c r="BO494" i="3"/>
  <c r="BP494" i="3"/>
  <c r="BQ494" i="3"/>
  <c r="BR494" i="3"/>
  <c r="BS494" i="3"/>
  <c r="BT494" i="3"/>
  <c r="BT5" i="3" s="1"/>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A497" i="3" s="1"/>
  <c r="BI497" i="3"/>
  <c r="BJ497" i="3"/>
  <c r="BK497" i="3"/>
  <c r="BM497" i="3"/>
  <c r="BN497" i="3"/>
  <c r="BO497" i="3"/>
  <c r="BP497" i="3"/>
  <c r="BR497" i="3"/>
  <c r="BS497" i="3"/>
  <c r="BT497" i="3"/>
  <c r="H498" i="3"/>
  <c r="AC498" i="3"/>
  <c r="BB498" i="3"/>
  <c r="BC498" i="3"/>
  <c r="BD498" i="3"/>
  <c r="BE498" i="3"/>
  <c r="BE5" i="3" s="1"/>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I5" i="3" s="1"/>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A509" i="3" s="1"/>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A521" i="3" s="1"/>
  <c r="BG521" i="3"/>
  <c r="BH521" i="3"/>
  <c r="BI521" i="3"/>
  <c r="BJ521" i="3"/>
  <c r="BK521" i="3"/>
  <c r="BM521" i="3"/>
  <c r="BN521" i="3"/>
  <c r="BO521" i="3"/>
  <c r="BL521" i="3" s="1"/>
  <c r="AZ521" i="3" s="1"/>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AZ524" i="3" s="1"/>
  <c r="BE524" i="3"/>
  <c r="BF524" i="3"/>
  <c r="BG524" i="3"/>
  <c r="BH524" i="3"/>
  <c r="BI524" i="3"/>
  <c r="BJ524" i="3"/>
  <c r="BK524" i="3"/>
  <c r="BM524" i="3"/>
  <c r="BL524" i="3" s="1"/>
  <c r="BN524" i="3"/>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F528" i="3"/>
  <c r="BA528" i="3" s="1"/>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AZ530" i="3" s="1"/>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A532" i="3" s="1"/>
  <c r="BD532" i="3"/>
  <c r="BE532" i="3"/>
  <c r="BF532" i="3"/>
  <c r="BG532" i="3"/>
  <c r="BH532" i="3"/>
  <c r="BI532" i="3"/>
  <c r="BJ532" i="3"/>
  <c r="BK532" i="3"/>
  <c r="BM532" i="3"/>
  <c r="BN532" i="3"/>
  <c r="BO532" i="3"/>
  <c r="BP532" i="3"/>
  <c r="BQ532" i="3"/>
  <c r="BL532" i="3" s="1"/>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A534" i="3" s="1"/>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A537" i="3" s="1"/>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A540" i="3" s="1"/>
  <c r="AZ540" i="3" s="1"/>
  <c r="BE540" i="3"/>
  <c r="BF540" i="3"/>
  <c r="BG540" i="3"/>
  <c r="BH540" i="3"/>
  <c r="BI540" i="3"/>
  <c r="BJ540" i="3"/>
  <c r="BK540" i="3"/>
  <c r="BM540" i="3"/>
  <c r="BL540" i="3" s="1"/>
  <c r="BN540" i="3"/>
  <c r="BO540" i="3"/>
  <c r="BP540" i="3"/>
  <c r="BQ540" i="3"/>
  <c r="BR540" i="3"/>
  <c r="BS540" i="3"/>
  <c r="BT540" i="3"/>
  <c r="H541" i="3"/>
  <c r="G541" i="3" s="1"/>
  <c r="AC541" i="3"/>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L542" i="3" s="1"/>
  <c r="BO542" i="3"/>
  <c r="BP542" i="3"/>
  <c r="BQ542" i="3"/>
  <c r="BR542" i="3"/>
  <c r="BS542" i="3"/>
  <c r="BT542" i="3"/>
  <c r="H543" i="3"/>
  <c r="AC543" i="3"/>
  <c r="G543" i="3" s="1"/>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E544" i="3"/>
  <c r="BF544" i="3"/>
  <c r="BA544" i="3" s="1"/>
  <c r="AZ544" i="3" s="1"/>
  <c r="BG544" i="3"/>
  <c r="BH544" i="3"/>
  <c r="BI544" i="3"/>
  <c r="BJ544" i="3"/>
  <c r="BK544" i="3"/>
  <c r="BM544" i="3"/>
  <c r="BN544" i="3"/>
  <c r="BO544" i="3"/>
  <c r="BL544" i="3" s="1"/>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AZ552" i="3" s="1"/>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A553" i="3" s="1"/>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L564" i="3" s="1"/>
  <c r="BN564" i="3"/>
  <c r="BO564" i="3"/>
  <c r="BP564" i="3"/>
  <c r="BQ564" i="3"/>
  <c r="BR564" i="3"/>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L567" i="3" s="1"/>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A572" i="3" s="1"/>
  <c r="AZ572" i="3" s="1"/>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F39" i="40" s="1"/>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AA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F14" i="39" s="1"/>
  <c r="S14" i="39" s="1"/>
  <c r="B83" i="39"/>
  <c r="F13" i="39" s="1"/>
  <c r="B81" i="39"/>
  <c r="J12" i="39"/>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D62" i="36"/>
  <c r="E62" i="36" s="1"/>
  <c r="F62" i="36" s="1"/>
  <c r="G62" i="36" s="1"/>
  <c r="B59" i="36"/>
  <c r="J13" i="36" s="1"/>
  <c r="AC13" i="36" s="1"/>
  <c r="B57" i="36"/>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B57" i="35"/>
  <c r="J11" i="35" s="1"/>
  <c r="B61" i="35"/>
  <c r="B59" i="35"/>
  <c r="H12" i="35" s="1"/>
  <c r="U12" i="35" s="1"/>
  <c r="B131" i="34"/>
  <c r="B129" i="34"/>
  <c r="H46" i="34" s="1"/>
  <c r="B127" i="34"/>
  <c r="B99" i="34"/>
  <c r="F32" i="34" s="1"/>
  <c r="B97" i="34"/>
  <c r="B95" i="34"/>
  <c r="H30" i="34" s="1"/>
  <c r="B93" i="34"/>
  <c r="F29" i="34" s="1"/>
  <c r="S29" i="34" s="1"/>
  <c r="B75" i="34"/>
  <c r="B73" i="34"/>
  <c r="B71" i="34"/>
  <c r="B130" i="33"/>
  <c r="J46" i="33" s="1"/>
  <c r="B128" i="33"/>
  <c r="H45" i="33" s="1"/>
  <c r="U45" i="33" s="1"/>
  <c r="B126" i="33"/>
  <c r="J44" i="33" s="1"/>
  <c r="B98" i="33"/>
  <c r="H31" i="33" s="1"/>
  <c r="B96" i="33"/>
  <c r="J30" i="33" s="1"/>
  <c r="B94" i="33"/>
  <c r="J29" i="33" s="1"/>
  <c r="AC29" i="33" s="1"/>
  <c r="B74" i="33"/>
  <c r="F14" i="33" s="1"/>
  <c r="S14" i="33" s="1"/>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H46" i="21" s="1"/>
  <c r="U46" i="21" s="1"/>
  <c r="B128" i="21"/>
  <c r="J45" i="21" s="1"/>
  <c r="B126" i="21"/>
  <c r="H44" i="21" s="1"/>
  <c r="U44" i="21" s="1"/>
  <c r="B98" i="21"/>
  <c r="B96" i="21"/>
  <c r="H30" i="21" s="1"/>
  <c r="U30" i="21" s="1"/>
  <c r="B94" i="21"/>
  <c r="J29" i="21" s="1"/>
  <c r="B92" i="21"/>
  <c r="F28" i="21" s="1"/>
  <c r="AA28" i="21" s="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45" i="39"/>
  <c r="S45" i="39" s="1"/>
  <c r="J35" i="39"/>
  <c r="AC35" i="39" s="1"/>
  <c r="J36" i="39"/>
  <c r="AC36" i="39" s="1"/>
  <c r="U9" i="39"/>
  <c r="W40" i="39"/>
  <c r="E103" i="37"/>
  <c r="F103" i="37" s="1"/>
  <c r="G103" i="37" s="1"/>
  <c r="H103" i="37" s="1"/>
  <c r="I103" i="37" s="1"/>
  <c r="J103" i="37" s="1"/>
  <c r="K103" i="37" s="1"/>
  <c r="L103" i="37" s="1"/>
  <c r="M103" i="37" s="1"/>
  <c r="U14" i="37"/>
  <c r="F29" i="36"/>
  <c r="AA29" i="36" s="1"/>
  <c r="F16" i="36"/>
  <c r="AA16" i="36" s="1"/>
  <c r="W28" i="36"/>
  <c r="J33" i="36"/>
  <c r="AC33" i="36" s="1"/>
  <c r="H22" i="35"/>
  <c r="AB22" i="35" s="1"/>
  <c r="W28" i="35"/>
  <c r="F36" i="34"/>
  <c r="J35" i="34"/>
  <c r="W35" i="34" s="1"/>
  <c r="U34" i="34"/>
  <c r="F26" i="33"/>
  <c r="AA26" i="33" s="1"/>
  <c r="H39" i="37"/>
  <c r="AB39" i="37" s="1"/>
  <c r="F11" i="40"/>
  <c r="AA11" i="40" s="1"/>
  <c r="H11" i="40"/>
  <c r="AB11" i="40" s="1"/>
  <c r="AA9" i="40"/>
  <c r="S40" i="40"/>
  <c r="U34" i="40"/>
  <c r="F42" i="39"/>
  <c r="AA42" i="39" s="1"/>
  <c r="F41" i="39"/>
  <c r="S41" i="39" s="1"/>
  <c r="H40" i="39"/>
  <c r="AB40" i="39" s="1"/>
  <c r="H39" i="39"/>
  <c r="U39" i="39" s="1"/>
  <c r="H34" i="39"/>
  <c r="U34"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AA27" i="39" s="1"/>
  <c r="F11" i="21"/>
  <c r="S11" i="21" s="1"/>
  <c r="S40" i="21"/>
  <c r="C27" i="39"/>
  <c r="H11" i="39"/>
  <c r="AB11" i="39" s="1"/>
  <c r="H11" i="21"/>
  <c r="U11" i="21" s="1"/>
  <c r="J11" i="21"/>
  <c r="W11" i="21" s="1"/>
  <c r="H37" i="40"/>
  <c r="U37" i="40" s="1"/>
  <c r="H36" i="40"/>
  <c r="AB36" i="40" s="1"/>
  <c r="F35" i="40"/>
  <c r="AA35" i="40" s="1"/>
  <c r="H23" i="40"/>
  <c r="AB23" i="40" s="1"/>
  <c r="H17" i="40"/>
  <c r="U17" i="40" s="1"/>
  <c r="J15" i="40"/>
  <c r="W15" i="40" s="1"/>
  <c r="J11" i="40"/>
  <c r="W11" i="40"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AA12"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37" i="34"/>
  <c r="AA37" i="34" s="1"/>
  <c r="S35" i="34"/>
  <c r="F25" i="34"/>
  <c r="S25" i="34" s="1"/>
  <c r="H23" i="34"/>
  <c r="U23" i="34" s="1"/>
  <c r="J23" i="34"/>
  <c r="AC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S12" i="36"/>
  <c r="F29" i="35"/>
  <c r="S29" i="35" s="1"/>
  <c r="H29" i="35"/>
  <c r="AB29" i="35" s="1"/>
  <c r="H33" i="37"/>
  <c r="AB33" i="37" s="1"/>
  <c r="F33" i="37"/>
  <c r="AA33" i="37" s="1"/>
  <c r="U34" i="37"/>
  <c r="S34" i="37"/>
  <c r="AA34" i="37"/>
  <c r="J43" i="34"/>
  <c r="W43" i="34" s="1"/>
  <c r="AB42" i="34"/>
  <c r="J40" i="34"/>
  <c r="W40" i="34" s="1"/>
  <c r="H38" i="34"/>
  <c r="AB38" i="34" s="1"/>
  <c r="J36" i="34"/>
  <c r="W36" i="34" s="1"/>
  <c r="H37" i="34"/>
  <c r="U37" i="34" s="1"/>
  <c r="H25" i="34"/>
  <c r="AB25" i="34" s="1"/>
  <c r="J25" i="34"/>
  <c r="AC25" i="34" s="1"/>
  <c r="AB23" i="34"/>
  <c r="F23" i="34"/>
  <c r="AA23" i="34" s="1"/>
  <c r="J19" i="34"/>
  <c r="AC19" i="34" s="1"/>
  <c r="F17" i="34"/>
  <c r="AA17" i="34" s="1"/>
  <c r="J17" i="34"/>
  <c r="S15" i="34"/>
  <c r="H37" i="33"/>
  <c r="AB37" i="33" s="1"/>
  <c r="H11" i="33"/>
  <c r="AB11" i="33" s="1"/>
  <c r="F28" i="40"/>
  <c r="AA28" i="40" s="1"/>
  <c r="AA42" i="34"/>
  <c r="AC38" i="34"/>
  <c r="AA38" i="34"/>
  <c r="J37" i="34"/>
  <c r="AC37" i="34" s="1"/>
  <c r="J11" i="33"/>
  <c r="W11" i="33" s="1"/>
  <c r="J42" i="21"/>
  <c r="AC42" i="21" s="1"/>
  <c r="H42" i="21"/>
  <c r="U42" i="21" s="1"/>
  <c r="J44" i="34"/>
  <c r="F44" i="34"/>
  <c r="AA44" i="34" s="1"/>
  <c r="J10" i="35"/>
  <c r="AC10" i="35" s="1"/>
  <c r="F14" i="21"/>
  <c r="S14" i="21" s="1"/>
  <c r="H28" i="21"/>
  <c r="AB28" i="21" s="1"/>
  <c r="J28" i="21"/>
  <c r="W28"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H29" i="33"/>
  <c r="U29" i="33" s="1"/>
  <c r="J45" i="33"/>
  <c r="W45" i="33" s="1"/>
  <c r="J14" i="34"/>
  <c r="W14" i="34" s="1"/>
  <c r="H32" i="34"/>
  <c r="AB32" i="34" s="1"/>
  <c r="J32" i="34"/>
  <c r="W32" i="34" s="1"/>
  <c r="J26" i="36"/>
  <c r="W26" i="36" s="1"/>
  <c r="H28" i="36"/>
  <c r="U28" i="36" s="1"/>
  <c r="J32" i="36"/>
  <c r="W32" i="36" s="1"/>
  <c r="J11" i="36"/>
  <c r="AC11" i="36" s="1"/>
  <c r="H11" i="36"/>
  <c r="U11" i="36" s="1"/>
  <c r="F11" i="36"/>
  <c r="AA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J37" i="37"/>
  <c r="H37" i="37"/>
  <c r="U37" i="37" s="1"/>
  <c r="H40" i="37"/>
  <c r="U40" i="37" s="1"/>
  <c r="J40" i="37"/>
  <c r="AC40" i="37" s="1"/>
  <c r="F40" i="37"/>
  <c r="AA40" i="37" s="1"/>
  <c r="AC12" i="40"/>
  <c r="W12" i="40"/>
  <c r="H14" i="33"/>
  <c r="U14" i="33" s="1"/>
  <c r="J14" i="33"/>
  <c r="W14" i="33" s="1"/>
  <c r="H30" i="33"/>
  <c r="AB30" i="33" s="1"/>
  <c r="F30" i="33"/>
  <c r="S30" i="33" s="1"/>
  <c r="H44" i="33"/>
  <c r="AB44" i="33" s="1"/>
  <c r="F44" i="33"/>
  <c r="S44" i="33" s="1"/>
  <c r="F46" i="33"/>
  <c r="AA46" i="33" s="1"/>
  <c r="H13" i="34"/>
  <c r="U13" i="34" s="1"/>
  <c r="J13" i="34"/>
  <c r="W13" i="34" s="1"/>
  <c r="F13" i="34"/>
  <c r="AA13" i="34" s="1"/>
  <c r="J29" i="34"/>
  <c r="W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W13" i="37" s="1"/>
  <c r="J28" i="37"/>
  <c r="AC28" i="37" s="1"/>
  <c r="H38" i="37"/>
  <c r="AB38" i="37" s="1"/>
  <c r="F38" i="37"/>
  <c r="S38" i="37" s="1"/>
  <c r="F43" i="39"/>
  <c r="AA43" i="39" s="1"/>
  <c r="H43" i="39"/>
  <c r="U43" i="39" s="1"/>
  <c r="J14" i="39"/>
  <c r="AC14" i="39" s="1"/>
  <c r="H14" i="39"/>
  <c r="AB14" i="39" s="1"/>
  <c r="F12" i="40"/>
  <c r="H12" i="40"/>
  <c r="AB12" i="40" s="1"/>
  <c r="H30" i="40"/>
  <c r="AB30" i="40" s="1"/>
  <c r="F33" i="40"/>
  <c r="AA33" i="40" s="1"/>
  <c r="H33" i="40"/>
  <c r="U33" i="40" s="1"/>
  <c r="J35" i="40"/>
  <c r="AC35" i="40" s="1"/>
  <c r="J37" i="40"/>
  <c r="AC37" i="40" s="1"/>
  <c r="H13" i="40"/>
  <c r="U13" i="40" s="1"/>
  <c r="J13" i="40"/>
  <c r="F13" i="40"/>
  <c r="AA13" i="40" s="1"/>
  <c r="F27" i="37"/>
  <c r="AA27" i="37" s="1"/>
  <c r="J13" i="39"/>
  <c r="W13" i="39" s="1"/>
  <c r="H14" i="40"/>
  <c r="AB14" i="40" s="1"/>
  <c r="J14" i="40"/>
  <c r="W14" i="40" s="1"/>
  <c r="F14" i="40"/>
  <c r="AA14" i="40" s="1"/>
  <c r="J27" i="37"/>
  <c r="AC27" i="37" s="1"/>
  <c r="J36" i="37"/>
  <c r="AC36" i="37" s="1"/>
  <c r="J10" i="36"/>
  <c r="AC10" i="36" s="1"/>
  <c r="F17" i="21"/>
  <c r="AA17" i="21" s="1"/>
  <c r="H17" i="21"/>
  <c r="AB17" i="21" s="1"/>
  <c r="F15" i="21"/>
  <c r="S15" i="21" s="1"/>
  <c r="J41" i="39"/>
  <c r="W41" i="39" s="1"/>
  <c r="U36" i="39"/>
  <c r="G540" i="3"/>
  <c r="G536" i="3"/>
  <c r="G528" i="3"/>
  <c r="G523" i="3"/>
  <c r="G508" i="3"/>
  <c r="G500" i="3"/>
  <c r="G584" i="3"/>
  <c r="G576" i="3"/>
  <c r="G568" i="3"/>
  <c r="G560" i="3"/>
  <c r="G554" i="3"/>
  <c r="BL572" i="3"/>
  <c r="BL516" i="3"/>
  <c r="BL536" i="3"/>
  <c r="G533" i="3"/>
  <c r="G529" i="3"/>
  <c r="BA584" i="3"/>
  <c r="BA548" i="3"/>
  <c r="BA530" i="3"/>
  <c r="BA500" i="3"/>
  <c r="BA555" i="3"/>
  <c r="BA535" i="3"/>
  <c r="BA511" i="3"/>
  <c r="G579" i="3"/>
  <c r="G575" i="3"/>
  <c r="G571" i="3"/>
  <c r="G563" i="3"/>
  <c r="AC557" i="3"/>
  <c r="BQ557" i="3"/>
  <c r="BQ583" i="3"/>
  <c r="BQ581" i="3"/>
  <c r="BQ579" i="3"/>
  <c r="BL579" i="3" s="1"/>
  <c r="BQ577" i="3"/>
  <c r="BQ575" i="3"/>
  <c r="BQ573" i="3"/>
  <c r="BQ571" i="3"/>
  <c r="BQ569" i="3"/>
  <c r="BQ567" i="3"/>
  <c r="BQ565" i="3"/>
  <c r="BQ563" i="3"/>
  <c r="BQ561" i="3"/>
  <c r="BQ559" i="3"/>
  <c r="G555" i="3"/>
  <c r="G549" i="3"/>
  <c r="G547" i="3"/>
  <c r="G545" i="3"/>
  <c r="G539" i="3"/>
  <c r="BQ555" i="3"/>
  <c r="BQ553" i="3"/>
  <c r="BQ551" i="3"/>
  <c r="BQ549" i="3"/>
  <c r="BL549" i="3" s="1"/>
  <c r="BQ547" i="3"/>
  <c r="BQ545" i="3"/>
  <c r="BQ543" i="3"/>
  <c r="BQ541" i="3"/>
  <c r="BQ539" i="3"/>
  <c r="BQ537" i="3"/>
  <c r="BQ535" i="3"/>
  <c r="BQ533" i="3"/>
  <c r="BL533" i="3" s="1"/>
  <c r="BQ531" i="3"/>
  <c r="BQ529" i="3"/>
  <c r="BQ527" i="3"/>
  <c r="BQ525" i="3"/>
  <c r="BL525" i="3" s="1"/>
  <c r="AZ525" i="3" s="1"/>
  <c r="BQ523" i="3"/>
  <c r="AC521" i="3"/>
  <c r="BQ521" i="3"/>
  <c r="G517" i="3"/>
  <c r="BQ519" i="3"/>
  <c r="BQ517" i="3"/>
  <c r="BQ515" i="3"/>
  <c r="BQ513" i="3"/>
  <c r="BQ511" i="3"/>
  <c r="AC509" i="3"/>
  <c r="BQ509"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J36" i="40"/>
  <c r="W36" i="40" s="1"/>
  <c r="H19" i="37"/>
  <c r="AB19" i="37" s="1"/>
  <c r="J43" i="33"/>
  <c r="AC43" i="33" s="1"/>
  <c r="S28" i="31"/>
  <c r="S27" i="31"/>
  <c r="S26" i="31"/>
  <c r="U33" i="37"/>
  <c r="U26" i="37"/>
  <c r="AB13" i="34"/>
  <c r="U19" i="21"/>
  <c r="W44" i="21"/>
  <c r="U26" i="21"/>
  <c r="AC46" i="21"/>
  <c r="AB38" i="21"/>
  <c r="F43" i="33"/>
  <c r="AA43" i="33" s="1"/>
  <c r="W40" i="37"/>
  <c r="H37" i="21"/>
  <c r="U37" i="21" s="1"/>
  <c r="H19" i="34"/>
  <c r="AB19" i="34" s="1"/>
  <c r="F36" i="35"/>
  <c r="S36" i="35"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W37" i="39"/>
  <c r="H25" i="39"/>
  <c r="AB25" i="39"/>
  <c r="J25" i="39"/>
  <c r="W25" i="39" s="1"/>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H64" i="43" s="1"/>
  <c r="G546"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AZ179" i="3" s="1"/>
  <c r="BL180" i="3"/>
  <c r="G181" i="3"/>
  <c r="BA183" i="3"/>
  <c r="BL184" i="3"/>
  <c r="G185" i="3"/>
  <c r="BA187" i="3"/>
  <c r="BL188" i="3"/>
  <c r="G189" i="3"/>
  <c r="BA191" i="3"/>
  <c r="BL192" i="3"/>
  <c r="G193" i="3"/>
  <c r="BA195" i="3"/>
  <c r="BL196" i="3"/>
  <c r="G197" i="3"/>
  <c r="BA199" i="3"/>
  <c r="BL200" i="3"/>
  <c r="G201" i="3"/>
  <c r="BA203" i="3"/>
  <c r="BL204" i="3"/>
  <c r="G530" i="3"/>
  <c r="G516"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AZ355" i="3" s="1"/>
  <c r="BA356" i="3"/>
  <c r="AZ356" i="3" s="1"/>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BA16" i="3"/>
  <c r="BL303" i="3"/>
  <c r="AZ303" i="3" s="1"/>
  <c r="G304" i="3"/>
  <c r="BA306" i="3"/>
  <c r="AZ306" i="3" s="1"/>
  <c r="BL307" i="3"/>
  <c r="AZ307" i="3" s="1"/>
  <c r="G308" i="3"/>
  <c r="BA310" i="3"/>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AZ369" i="3" s="1"/>
  <c r="BL370" i="3"/>
  <c r="G371" i="3"/>
  <c r="BA373" i="3"/>
  <c r="BL374" i="3"/>
  <c r="G375" i="3"/>
  <c r="BA377" i="3"/>
  <c r="BA379" i="3"/>
  <c r="AZ379" i="3" s="1"/>
  <c r="BL380" i="3"/>
  <c r="G381" i="3"/>
  <c r="BA383" i="3"/>
  <c r="BL384" i="3"/>
  <c r="G385" i="3"/>
  <c r="BA387" i="3"/>
  <c r="BL388" i="3"/>
  <c r="G389" i="3"/>
  <c r="BA391" i="3"/>
  <c r="BL392" i="3"/>
  <c r="G393" i="3"/>
  <c r="G538" i="3"/>
  <c r="G520" i="3"/>
  <c r="G17" i="3"/>
  <c r="BA17" i="3"/>
  <c r="BA15" i="3"/>
  <c r="F83" i="43"/>
  <c r="H85" i="43" s="1"/>
  <c r="F50" i="43"/>
  <c r="H54" i="43" s="1"/>
  <c r="F72" i="43"/>
  <c r="H75" i="43" s="1"/>
  <c r="U43" i="21"/>
  <c r="AC35" i="21"/>
  <c r="G8" i="1"/>
  <c r="G10" i="1"/>
  <c r="W44" i="34"/>
  <c r="AC44" i="34"/>
  <c r="U12" i="40"/>
  <c r="J37" i="33"/>
  <c r="W37"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J39" i="34"/>
  <c r="W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C27" i="34"/>
  <c r="AB34" i="36"/>
  <c r="U34" i="36"/>
  <c r="AB33" i="36"/>
  <c r="U33" i="36"/>
  <c r="BL14" i="3"/>
  <c r="U30" i="33"/>
  <c r="AA47" i="34"/>
  <c r="F12" i="33"/>
  <c r="S12" i="33" s="1"/>
  <c r="H12" i="39"/>
  <c r="AB12" i="39" s="1"/>
  <c r="BA14" i="3"/>
  <c r="B12" i="1"/>
  <c r="E12" i="1" s="1"/>
  <c r="B10" i="1"/>
  <c r="E10" i="1" s="1"/>
  <c r="K12" i="1"/>
  <c r="M12" i="1" s="1"/>
  <c r="S13" i="1"/>
  <c r="AR13" i="1" s="1"/>
  <c r="R13" i="1"/>
  <c r="J51" i="67"/>
  <c r="C42" i="1"/>
  <c r="C24" i="12" s="1"/>
  <c r="AC34" i="33"/>
  <c r="B41" i="1"/>
  <c r="AB37" i="40"/>
  <c r="S35" i="40"/>
  <c r="W38" i="40"/>
  <c r="S17" i="40"/>
  <c r="S23" i="40"/>
  <c r="AC17" i="40"/>
  <c r="S30" i="40"/>
  <c r="S28" i="40"/>
  <c r="AB19" i="40"/>
  <c r="S43" i="39"/>
  <c r="F32" i="39"/>
  <c r="S32" i="39" s="1"/>
  <c r="F106" i="39"/>
  <c r="G106" i="39" s="1"/>
  <c r="H106" i="39" s="1"/>
  <c r="I106" i="39" s="1"/>
  <c r="J106" i="39" s="1"/>
  <c r="K106" i="39" s="1"/>
  <c r="L106" i="39" s="1"/>
  <c r="M106" i="39" s="1"/>
  <c r="U25" i="39"/>
  <c r="AB27" i="39"/>
  <c r="J21" i="39"/>
  <c r="W21" i="39" s="1"/>
  <c r="F21" i="39"/>
  <c r="S21" i="39" s="1"/>
  <c r="G94" i="39"/>
  <c r="H21" i="39"/>
  <c r="U21" i="39" s="1"/>
  <c r="W19" i="39"/>
  <c r="S17" i="39"/>
  <c r="S15" i="39"/>
  <c r="U14" i="39"/>
  <c r="U13" i="36"/>
  <c r="U26" i="36"/>
  <c r="S33" i="36"/>
  <c r="AA22" i="36"/>
  <c r="AB14" i="36"/>
  <c r="S16" i="36"/>
  <c r="S14" i="36"/>
  <c r="S23" i="35"/>
  <c r="W24" i="35"/>
  <c r="U29" i="35"/>
  <c r="U28" i="35"/>
  <c r="AB27" i="35"/>
  <c r="U32" i="35"/>
  <c r="AA33" i="35"/>
  <c r="AC30" i="35"/>
  <c r="AA36" i="35"/>
  <c r="S28" i="35"/>
  <c r="AB16" i="35"/>
  <c r="U22" i="35"/>
  <c r="AC20" i="35"/>
  <c r="S22" i="35"/>
  <c r="U14" i="35"/>
  <c r="AC9" i="35"/>
  <c r="W9" i="35"/>
  <c r="W13" i="35"/>
  <c r="F9" i="35"/>
  <c r="S9" i="35" s="1"/>
  <c r="H9" i="35"/>
  <c r="U9" i="35" s="1"/>
  <c r="AB40" i="37"/>
  <c r="AC29" i="37"/>
  <c r="U29" i="37"/>
  <c r="AB31" i="37"/>
  <c r="S36" i="37"/>
  <c r="AC35" i="37"/>
  <c r="AC15" i="37"/>
  <c r="J17" i="37"/>
  <c r="W17" i="37" s="1"/>
  <c r="G73" i="37"/>
  <c r="F17" i="37"/>
  <c r="AA17" i="37" s="1"/>
  <c r="F75" i="37"/>
  <c r="F19" i="37"/>
  <c r="S19" i="37" s="1"/>
  <c r="F79" i="37"/>
  <c r="G79" i="37" s="1"/>
  <c r="F23" i="37"/>
  <c r="S23" i="37" s="1"/>
  <c r="U23" i="37"/>
  <c r="U15" i="37"/>
  <c r="AC13" i="37"/>
  <c r="AA13" i="37"/>
  <c r="H10" i="37"/>
  <c r="AB10" i="37" s="1"/>
  <c r="F63" i="37"/>
  <c r="G63" i="37" s="1"/>
  <c r="F11" i="37"/>
  <c r="S11" i="37" s="1"/>
  <c r="W25" i="34"/>
  <c r="AB8" i="34"/>
  <c r="AA33" i="34"/>
  <c r="U43" i="34"/>
  <c r="AC39" i="34"/>
  <c r="W41" i="34"/>
  <c r="AC42" i="34"/>
  <c r="AB35" i="34"/>
  <c r="AA45" i="34"/>
  <c r="U28" i="34"/>
  <c r="AA29" i="34"/>
  <c r="S23" i="34"/>
  <c r="U15" i="34"/>
  <c r="S13" i="34"/>
  <c r="H10" i="34"/>
  <c r="AB10" i="34" s="1"/>
  <c r="F11" i="34"/>
  <c r="S11" i="34" s="1"/>
  <c r="W38" i="33"/>
  <c r="H41" i="33"/>
  <c r="U41" i="33" s="1"/>
  <c r="F121" i="33"/>
  <c r="G121" i="33"/>
  <c r="H121" i="33" s="1"/>
  <c r="I121" i="33" s="1"/>
  <c r="J121" i="33" s="1"/>
  <c r="K121" i="33" s="1"/>
  <c r="L121" i="33" s="1"/>
  <c r="M121" i="33" s="1"/>
  <c r="J35" i="33"/>
  <c r="AC35" i="33" s="1"/>
  <c r="S37" i="33"/>
  <c r="AA37" i="33"/>
  <c r="W43" i="33"/>
  <c r="H25" i="33"/>
  <c r="U25" i="33" s="1"/>
  <c r="F25" i="33"/>
  <c r="S25" i="33" s="1"/>
  <c r="J23" i="33"/>
  <c r="AC23" i="33" s="1"/>
  <c r="F19" i="33"/>
  <c r="S19" i="33" s="1"/>
  <c r="J17" i="33"/>
  <c r="W17" i="33" s="1"/>
  <c r="U9" i="33"/>
  <c r="J10" i="33"/>
  <c r="W10" i="33" s="1"/>
  <c r="H10" i="33"/>
  <c r="U10" i="33" s="1"/>
  <c r="W43" i="21"/>
  <c r="W36" i="21"/>
  <c r="W41" i="21"/>
  <c r="AB39" i="21"/>
  <c r="AA43" i="21"/>
  <c r="S39" i="21"/>
  <c r="AC40" i="21"/>
  <c r="J15" i="21"/>
  <c r="W15" i="21" s="1"/>
  <c r="F23" i="21"/>
  <c r="S23" i="21" s="1"/>
  <c r="C18" i="9"/>
  <c r="D18" i="9" s="1"/>
  <c r="F34" i="67"/>
  <c r="F62" i="67" s="1"/>
  <c r="M20" i="67"/>
  <c r="F34" i="15"/>
  <c r="F62" i="15" s="1"/>
  <c r="G13" i="3"/>
  <c r="BL17" i="3"/>
  <c r="AZ17" i="3" s="1"/>
  <c r="BL13" i="3"/>
  <c r="J56" i="9"/>
  <c r="J57" i="9" s="1"/>
  <c r="J59" i="9" s="1"/>
  <c r="J61" i="9" s="1"/>
  <c r="A24" i="51"/>
  <c r="B18" i="72" s="1"/>
  <c r="E5" i="6"/>
  <c r="E32" i="6"/>
  <c r="G1" i="68"/>
  <c r="K1" i="12"/>
  <c r="E19" i="68"/>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E9" i="1" s="1"/>
  <c r="K7" i="1"/>
  <c r="M7" i="1" s="1"/>
  <c r="O7" i="1" s="1"/>
  <c r="P7" i="1" s="1"/>
  <c r="G1" i="15"/>
  <c r="G1" i="69"/>
  <c r="G1" i="67"/>
  <c r="W28" i="40"/>
  <c r="S36" i="40"/>
  <c r="W37" i="40"/>
  <c r="AC14" i="40"/>
  <c r="S13" i="40"/>
  <c r="S33" i="40"/>
  <c r="U11" i="40"/>
  <c r="AB13" i="40"/>
  <c r="U15" i="40"/>
  <c r="AB17" i="40"/>
  <c r="S8" i="40"/>
  <c r="AC41" i="39"/>
  <c r="U42" i="39"/>
  <c r="U41" i="39"/>
  <c r="AC25" i="39"/>
  <c r="AA14" i="39"/>
  <c r="U11" i="39"/>
  <c r="S27" i="39"/>
  <c r="W17" i="39"/>
  <c r="AC17" i="39"/>
  <c r="AA45" i="39"/>
  <c r="AB39" i="39"/>
  <c r="W34" i="39"/>
  <c r="U38" i="39"/>
  <c r="S8" i="39"/>
  <c r="S20" i="36"/>
  <c r="AC25" i="36"/>
  <c r="W29" i="36"/>
  <c r="AB28" i="36"/>
  <c r="AA13" i="36"/>
  <c r="W22" i="36"/>
  <c r="AB20" i="35"/>
  <c r="AC25" i="35"/>
  <c r="U25" i="35"/>
  <c r="U24" i="35"/>
  <c r="S35" i="35"/>
  <c r="W35" i="35"/>
  <c r="AA16" i="35"/>
  <c r="AA35" i="37"/>
  <c r="W32" i="37"/>
  <c r="AB37" i="37"/>
  <c r="AB35" i="37"/>
  <c r="U19" i="37"/>
  <c r="U8" i="37"/>
  <c r="AA40" i="34"/>
  <c r="AB40" i="34"/>
  <c r="W19" i="34"/>
  <c r="AB33" i="34"/>
  <c r="AC45" i="34"/>
  <c r="AA31" i="34"/>
  <c r="AB47" i="34"/>
  <c r="U25" i="34"/>
  <c r="AB36" i="34"/>
  <c r="AC29" i="34"/>
  <c r="S37" i="34"/>
  <c r="AC40" i="34"/>
  <c r="AA19" i="34"/>
  <c r="S19" i="34"/>
  <c r="AA36" i="34"/>
  <c r="S36" i="34"/>
  <c r="AA8" i="34"/>
  <c r="S8" i="34"/>
  <c r="U32" i="34"/>
  <c r="AC43" i="34"/>
  <c r="W23" i="34"/>
  <c r="AC35" i="34"/>
  <c r="AC37" i="33"/>
  <c r="AA30" i="33"/>
  <c r="AC30" i="33"/>
  <c r="W30" i="33"/>
  <c r="U37" i="33"/>
  <c r="S28" i="33"/>
  <c r="AB42" i="21"/>
  <c r="F33" i="21"/>
  <c r="AA33" i="21" s="1"/>
  <c r="J33" i="21"/>
  <c r="AC33" i="21" s="1"/>
  <c r="H33" i="21"/>
  <c r="AB33" i="21" s="1"/>
  <c r="F37" i="21"/>
  <c r="AA37" i="21" s="1"/>
  <c r="AB46" i="21"/>
  <c r="U40" i="21"/>
  <c r="U13" i="21"/>
  <c r="S35" i="21"/>
  <c r="J37" i="21"/>
  <c r="W37" i="21" s="1"/>
  <c r="H15" i="21"/>
  <c r="J17" i="21"/>
  <c r="AC19"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AB25" i="21"/>
  <c r="AB44" i="21"/>
  <c r="W13" i="21"/>
  <c r="W42" i="21"/>
  <c r="F10" i="21"/>
  <c r="AA10" i="21" s="1"/>
  <c r="K145" i="21"/>
  <c r="W25" i="21"/>
  <c r="AA15" i="21"/>
  <c r="AC26" i="21"/>
  <c r="S28" i="21"/>
  <c r="W12" i="21"/>
  <c r="C15" i="40"/>
  <c r="C23" i="40"/>
  <c r="B51" i="43"/>
  <c r="B54" i="43"/>
  <c r="B62" i="43"/>
  <c r="B69" i="43"/>
  <c r="D23" i="15"/>
  <c r="D22" i="15"/>
  <c r="E4" i="4"/>
  <c r="B5" i="62" s="1"/>
  <c r="B73" i="72" s="1"/>
  <c r="C4" i="4"/>
  <c r="F28" i="67"/>
  <c r="F32" i="67"/>
  <c r="F60" i="67" s="1"/>
  <c r="F28" i="15"/>
  <c r="D68" i="9"/>
  <c r="J32" i="39"/>
  <c r="W32" i="39" s="1"/>
  <c r="H32" i="39"/>
  <c r="AB32" i="39" s="1"/>
  <c r="AA32" i="39"/>
  <c r="AA21" i="39"/>
  <c r="S17" i="37"/>
  <c r="J19" i="37"/>
  <c r="W19" i="37" s="1"/>
  <c r="G75" i="37"/>
  <c r="J23" i="37"/>
  <c r="AC23" i="37" s="1"/>
  <c r="J10" i="37"/>
  <c r="W10" i="37" s="1"/>
  <c r="H11" i="37"/>
  <c r="AB11" i="37" s="1"/>
  <c r="H11" i="34"/>
  <c r="U11" i="34" s="1"/>
  <c r="J10" i="34"/>
  <c r="AC10" i="34" s="1"/>
  <c r="J25" i="33"/>
  <c r="AC25" i="33" s="1"/>
  <c r="F23" i="33"/>
  <c r="AA23" i="33" s="1"/>
  <c r="H19" i="33"/>
  <c r="U19" i="33" s="1"/>
  <c r="H17" i="33"/>
  <c r="AB17" i="33" s="1"/>
  <c r="J23" i="21"/>
  <c r="W23" i="21" s="1"/>
  <c r="H23" i="21"/>
  <c r="AB23" i="21" s="1"/>
  <c r="AP7" i="1"/>
  <c r="AA32" i="21"/>
  <c r="W9" i="21"/>
  <c r="A18" i="62"/>
  <c r="B64" i="72" s="1"/>
  <c r="AC32" i="39"/>
  <c r="AC19" i="37"/>
  <c r="H63" i="37"/>
  <c r="I63" i="37" s="1"/>
  <c r="J63" i="37" s="1"/>
  <c r="K63" i="37" s="1"/>
  <c r="L63" i="37" s="1"/>
  <c r="M63" i="37" s="1"/>
  <c r="J11" i="37"/>
  <c r="AC11" i="37" s="1"/>
  <c r="J11" i="34"/>
  <c r="W11" i="34" s="1"/>
  <c r="U23" i="21"/>
  <c r="H109" i="9"/>
  <c r="M49" i="9" s="1"/>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Y20" i="71"/>
  <c r="Z20" i="71" s="1"/>
  <c r="X3" i="71"/>
  <c r="E8" i="76"/>
  <c r="F20" i="31"/>
  <c r="F7" i="73"/>
  <c r="E9" i="76"/>
  <c r="AO13" i="1"/>
  <c r="F6" i="73"/>
  <c r="B10" i="76"/>
  <c r="D20" i="9"/>
  <c r="F5" i="73"/>
  <c r="D5" i="73"/>
  <c r="E13" i="76"/>
  <c r="D3" i="73"/>
  <c r="E10" i="76"/>
  <c r="E12" i="76"/>
  <c r="M23" i="15"/>
  <c r="B12" i="76"/>
  <c r="B9" i="76"/>
  <c r="E2" i="68"/>
  <c r="B7" i="76"/>
  <c r="B13" i="76"/>
  <c r="F3" i="73"/>
  <c r="C19" i="9"/>
  <c r="F4" i="73"/>
  <c r="J15" i="15"/>
  <c r="M6" i="15"/>
  <c r="D19" i="9"/>
  <c r="D35" i="9"/>
  <c r="E2" i="69"/>
  <c r="D34" i="9"/>
  <c r="E7" i="76"/>
  <c r="E11" i="76"/>
  <c r="B11" i="76"/>
  <c r="B8" i="76"/>
  <c r="C20" i="9"/>
  <c r="M29" i="15"/>
  <c r="L48" i="15"/>
  <c r="F36" i="67"/>
  <c r="S46" i="33" l="1"/>
  <c r="AC45" i="33"/>
  <c r="S32" i="33"/>
  <c r="U44" i="33"/>
  <c r="AC17" i="33"/>
  <c r="S21" i="33"/>
  <c r="C15" i="39"/>
  <c r="H50" i="43"/>
  <c r="H67" i="43"/>
  <c r="AA39" i="40"/>
  <c r="S39" i="40"/>
  <c r="AZ580" i="3"/>
  <c r="AZ564" i="3"/>
  <c r="AZ534" i="3"/>
  <c r="AZ532" i="3"/>
  <c r="AZ542" i="3"/>
  <c r="AZ338" i="3"/>
  <c r="BL503" i="3"/>
  <c r="BL539" i="3"/>
  <c r="BL555" i="3"/>
  <c r="AZ555" i="3" s="1"/>
  <c r="BL569" i="3"/>
  <c r="AZ569" i="3" s="1"/>
  <c r="H11" i="35"/>
  <c r="AB11" i="35" s="1"/>
  <c r="J31" i="33"/>
  <c r="W31" i="33" s="1"/>
  <c r="W8" i="34"/>
  <c r="AC8" i="40"/>
  <c r="W8" i="40"/>
  <c r="S27" i="37"/>
  <c r="AA12" i="39"/>
  <c r="W12" i="39"/>
  <c r="BD5" i="3"/>
  <c r="AZ326" i="3"/>
  <c r="U39" i="37"/>
  <c r="H32" i="40"/>
  <c r="BL541" i="3"/>
  <c r="AZ541" i="3" s="1"/>
  <c r="G557" i="3"/>
  <c r="F46" i="34"/>
  <c r="W32" i="40"/>
  <c r="J24" i="36"/>
  <c r="H24" i="36"/>
  <c r="AB24" i="36" s="1"/>
  <c r="BH5" i="3"/>
  <c r="F13" i="33"/>
  <c r="S13" i="33" s="1"/>
  <c r="F30" i="21"/>
  <c r="S30" i="21" s="1"/>
  <c r="BA560" i="3"/>
  <c r="BL554" i="3"/>
  <c r="AZ554" i="3" s="1"/>
  <c r="BA520" i="3"/>
  <c r="BL506" i="3"/>
  <c r="AB33" i="35"/>
  <c r="U33" i="35"/>
  <c r="AA26" i="21"/>
  <c r="AB32" i="21"/>
  <c r="F32" i="40"/>
  <c r="S32" i="40" s="1"/>
  <c r="BL527" i="3"/>
  <c r="AZ527" i="3" s="1"/>
  <c r="BL543" i="3"/>
  <c r="AZ543" i="3" s="1"/>
  <c r="BL559" i="3"/>
  <c r="BL573" i="3"/>
  <c r="AZ573" i="3" s="1"/>
  <c r="S32" i="35"/>
  <c r="S19" i="39"/>
  <c r="BN5" i="3"/>
  <c r="BM5" i="3"/>
  <c r="AZ377" i="3"/>
  <c r="AZ364" i="3"/>
  <c r="AZ305" i="3"/>
  <c r="BL529" i="3"/>
  <c r="BL545" i="3"/>
  <c r="J13" i="33"/>
  <c r="W16" i="36"/>
  <c r="AC16" i="36"/>
  <c r="AB30" i="37"/>
  <c r="U30" i="37"/>
  <c r="J39" i="37"/>
  <c r="F39" i="37"/>
  <c r="AC23" i="21"/>
  <c r="AB21" i="39"/>
  <c r="AC34" i="21"/>
  <c r="B67" i="43"/>
  <c r="S40" i="33"/>
  <c r="AA40" i="33"/>
  <c r="B56" i="43"/>
  <c r="AB43" i="39"/>
  <c r="AA19" i="37"/>
  <c r="U30" i="40"/>
  <c r="AC27" i="21"/>
  <c r="AA31" i="37"/>
  <c r="W19" i="40"/>
  <c r="AA36" i="21"/>
  <c r="AB29" i="33"/>
  <c r="AA25" i="35"/>
  <c r="AA26" i="36"/>
  <c r="U35" i="21"/>
  <c r="AZ387" i="3"/>
  <c r="BL495" i="3"/>
  <c r="BL513" i="3"/>
  <c r="BL531" i="3"/>
  <c r="BL547" i="3"/>
  <c r="BL563" i="3"/>
  <c r="F30" i="34"/>
  <c r="U23" i="40"/>
  <c r="C52" i="71"/>
  <c r="D51" i="71"/>
  <c r="S27" i="21"/>
  <c r="U38" i="33"/>
  <c r="U25" i="36"/>
  <c r="S37" i="40"/>
  <c r="AB41" i="34"/>
  <c r="U16" i="36"/>
  <c r="S15" i="37"/>
  <c r="S14" i="35"/>
  <c r="W35" i="40"/>
  <c r="BL499" i="3"/>
  <c r="BL517" i="3"/>
  <c r="BL535" i="3"/>
  <c r="AZ535" i="3" s="1"/>
  <c r="BL551" i="3"/>
  <c r="H27" i="21"/>
  <c r="F24" i="36"/>
  <c r="H31" i="21"/>
  <c r="F31" i="21"/>
  <c r="S31" i="21" s="1"/>
  <c r="H9" i="36"/>
  <c r="AB9" i="36" s="1"/>
  <c r="F9" i="36"/>
  <c r="F32" i="36"/>
  <c r="H32" i="36"/>
  <c r="AB32" i="36" s="1"/>
  <c r="AC30" i="36"/>
  <c r="W30" i="36"/>
  <c r="BA538" i="3"/>
  <c r="W30" i="40"/>
  <c r="AC14" i="34"/>
  <c r="S40" i="37"/>
  <c r="AA14" i="21"/>
  <c r="S43" i="34"/>
  <c r="S37" i="37"/>
  <c r="AZ14" i="3"/>
  <c r="AZ361" i="3"/>
  <c r="AZ345" i="3"/>
  <c r="AZ320" i="3"/>
  <c r="W16" i="35"/>
  <c r="BL519" i="3"/>
  <c r="AZ519" i="3" s="1"/>
  <c r="BL537" i="3"/>
  <c r="BL553" i="3"/>
  <c r="BL583" i="3"/>
  <c r="F31" i="33"/>
  <c r="F14" i="34"/>
  <c r="H14" i="34"/>
  <c r="AB9" i="40"/>
  <c r="U9" i="40"/>
  <c r="AA31" i="35"/>
  <c r="S31" i="35"/>
  <c r="H35" i="39"/>
  <c r="F35" i="39"/>
  <c r="BA581" i="3"/>
  <c r="BA549" i="3"/>
  <c r="BL504" i="3"/>
  <c r="AZ504" i="3" s="1"/>
  <c r="BA13" i="3"/>
  <c r="AZ13" i="3" s="1"/>
  <c r="BL403" i="3"/>
  <c r="BA417" i="3"/>
  <c r="BA433" i="3"/>
  <c r="BL435" i="3"/>
  <c r="BL446" i="3"/>
  <c r="BL447" i="3"/>
  <c r="BA461" i="3"/>
  <c r="BA485" i="3"/>
  <c r="BA319" i="3"/>
  <c r="AZ319" i="3" s="1"/>
  <c r="BA335" i="3"/>
  <c r="AZ335" i="3" s="1"/>
  <c r="BA385" i="3"/>
  <c r="F34" i="36"/>
  <c r="J45" i="39"/>
  <c r="BA586" i="3"/>
  <c r="J39" i="33"/>
  <c r="AC39" i="33" s="1"/>
  <c r="G580" i="3"/>
  <c r="G573" i="3"/>
  <c r="BL418" i="3"/>
  <c r="BL462" i="3"/>
  <c r="BA468" i="3"/>
  <c r="BL478" i="3"/>
  <c r="BA350" i="3"/>
  <c r="AZ350" i="3" s="1"/>
  <c r="BL353" i="3"/>
  <c r="BA368" i="3"/>
  <c r="BL386" i="3"/>
  <c r="BA210" i="3"/>
  <c r="BA218" i="3"/>
  <c r="BA234" i="3"/>
  <c r="BL236" i="3"/>
  <c r="BA145" i="3"/>
  <c r="BL147" i="3"/>
  <c r="AZ147" i="3" s="1"/>
  <c r="BA161" i="3"/>
  <c r="BL163" i="3"/>
  <c r="AZ163" i="3" s="1"/>
  <c r="BA190" i="3"/>
  <c r="BA206" i="3"/>
  <c r="BA24" i="3"/>
  <c r="BL42" i="3"/>
  <c r="BA48" i="3"/>
  <c r="BA56" i="3"/>
  <c r="BL58" i="3"/>
  <c r="BA78" i="3"/>
  <c r="BA80" i="3"/>
  <c r="BA81" i="3"/>
  <c r="AZ81" i="3" s="1"/>
  <c r="BA82" i="3"/>
  <c r="AZ82" i="3" s="1"/>
  <c r="BA83" i="3"/>
  <c r="AZ83" i="3" s="1"/>
  <c r="BA84" i="3"/>
  <c r="AZ84" i="3" s="1"/>
  <c r="BA85" i="3"/>
  <c r="AZ85" i="3" s="1"/>
  <c r="BA86" i="3"/>
  <c r="AZ86" i="3" s="1"/>
  <c r="BA88" i="3"/>
  <c r="BL92" i="3"/>
  <c r="AC18" i="35"/>
  <c r="B57" i="43"/>
  <c r="E75" i="71"/>
  <c r="E74" i="71" s="1"/>
  <c r="F55" i="71"/>
  <c r="F56" i="71" s="1"/>
  <c r="V56" i="71" s="1"/>
  <c r="E59" i="71"/>
  <c r="E60" i="71" s="1"/>
  <c r="U60" i="71" s="1"/>
  <c r="B67" i="71"/>
  <c r="BA399" i="3"/>
  <c r="BA423" i="3"/>
  <c r="BL441" i="3"/>
  <c r="BL469" i="3"/>
  <c r="BA241" i="3"/>
  <c r="BA249" i="3"/>
  <c r="BL259" i="3"/>
  <c r="BA298" i="3"/>
  <c r="BL302" i="3"/>
  <c r="BA126" i="3"/>
  <c r="BA128" i="3"/>
  <c r="AZ128" i="3" s="1"/>
  <c r="BL33" i="3"/>
  <c r="BL41" i="3"/>
  <c r="BL99" i="3"/>
  <c r="C27" i="71"/>
  <c r="D72" i="71"/>
  <c r="E67" i="71"/>
  <c r="S68" i="71"/>
  <c r="T72" i="71"/>
  <c r="V80" i="71"/>
  <c r="F22" i="71"/>
  <c r="F21" i="71" s="1"/>
  <c r="F20" i="71" s="1"/>
  <c r="F19" i="71" s="1"/>
  <c r="F18" i="71" s="1"/>
  <c r="F17" i="71" s="1"/>
  <c r="AA41" i="21"/>
  <c r="G577" i="3"/>
  <c r="G556" i="3"/>
  <c r="G417" i="3"/>
  <c r="G433" i="3"/>
  <c r="BL460" i="3"/>
  <c r="BL476" i="3"/>
  <c r="BL359" i="3"/>
  <c r="AZ359" i="3" s="1"/>
  <c r="G369" i="3"/>
  <c r="BA374" i="3"/>
  <c r="AZ374" i="3" s="1"/>
  <c r="BA232" i="3"/>
  <c r="G251" i="3"/>
  <c r="G275" i="3"/>
  <c r="G162" i="3"/>
  <c r="BL169" i="3"/>
  <c r="G170" i="3"/>
  <c r="BA178" i="3"/>
  <c r="BA180" i="3"/>
  <c r="AZ180" i="3" s="1"/>
  <c r="BL182" i="3"/>
  <c r="G183" i="3"/>
  <c r="BA188" i="3"/>
  <c r="AZ188" i="3" s="1"/>
  <c r="G191" i="3"/>
  <c r="BL32" i="3"/>
  <c r="BA38" i="3"/>
  <c r="BL40" i="3"/>
  <c r="G57" i="3"/>
  <c r="BA64" i="3"/>
  <c r="BA65" i="3"/>
  <c r="AZ65" i="3" s="1"/>
  <c r="BA66" i="3"/>
  <c r="AZ66" i="3" s="1"/>
  <c r="BA67" i="3"/>
  <c r="AZ67" i="3" s="1"/>
  <c r="BA69" i="3"/>
  <c r="BA70" i="3"/>
  <c r="AZ70" i="3" s="1"/>
  <c r="BA71" i="3"/>
  <c r="AZ71" i="3" s="1"/>
  <c r="BA72" i="3"/>
  <c r="AZ72" i="3" s="1"/>
  <c r="BA74" i="3"/>
  <c r="BL78" i="3"/>
  <c r="BL80" i="3"/>
  <c r="BL88" i="3"/>
  <c r="G99" i="3"/>
  <c r="BL106" i="3"/>
  <c r="D51" i="43"/>
  <c r="D58" i="43"/>
  <c r="T28" i="71"/>
  <c r="Y30" i="71"/>
  <c r="Z30" i="71" s="1"/>
  <c r="X34" i="71"/>
  <c r="X36" i="71"/>
  <c r="BA421" i="3"/>
  <c r="G440" i="3"/>
  <c r="BL451" i="3"/>
  <c r="BA457" i="3"/>
  <c r="G460" i="3"/>
  <c r="BL467" i="3"/>
  <c r="G476" i="3"/>
  <c r="G484" i="3"/>
  <c r="BA489" i="3"/>
  <c r="BA491" i="3"/>
  <c r="BA492" i="3"/>
  <c r="AZ492" i="3" s="1"/>
  <c r="BA323" i="3"/>
  <c r="AZ323" i="3" s="1"/>
  <c r="BA339" i="3"/>
  <c r="AZ339" i="3" s="1"/>
  <c r="BL209" i="3"/>
  <c r="G218" i="3"/>
  <c r="G234" i="3"/>
  <c r="BA239" i="3"/>
  <c r="BA247" i="3"/>
  <c r="G258" i="3"/>
  <c r="G266" i="3"/>
  <c r="BA271" i="3"/>
  <c r="BL298" i="3"/>
  <c r="BL300" i="3"/>
  <c r="G301" i="3"/>
  <c r="BA116" i="3"/>
  <c r="AZ116" i="3" s="1"/>
  <c r="BA124" i="3"/>
  <c r="AZ124" i="3" s="1"/>
  <c r="BL126" i="3"/>
  <c r="BA134" i="3"/>
  <c r="BA142" i="3"/>
  <c r="G206" i="3"/>
  <c r="G24" i="3"/>
  <c r="BL31" i="3"/>
  <c r="G40" i="3"/>
  <c r="BL47" i="3"/>
  <c r="BA95" i="3"/>
  <c r="C78" i="71"/>
  <c r="D78" i="71" s="1"/>
  <c r="C87" i="71"/>
  <c r="C86" i="71" s="1"/>
  <c r="D86" i="71" s="1"/>
  <c r="AA32" i="71"/>
  <c r="Y36" i="71"/>
  <c r="Z36" i="71" s="1"/>
  <c r="F43" i="71"/>
  <c r="F44" i="71" s="1"/>
  <c r="V44" i="71" s="1"/>
  <c r="E47" i="71"/>
  <c r="E48" i="71" s="1"/>
  <c r="U48" i="71" s="1"/>
  <c r="BL224" i="3"/>
  <c r="BA173" i="3"/>
  <c r="BL178" i="3"/>
  <c r="BA28" i="3"/>
  <c r="BL30" i="3"/>
  <c r="BA44" i="3"/>
  <c r="BL46" i="3"/>
  <c r="BL54" i="3"/>
  <c r="BA60" i="3"/>
  <c r="BL64" i="3"/>
  <c r="BL69" i="3"/>
  <c r="BL74" i="3"/>
  <c r="BL76" i="3"/>
  <c r="BA102" i="3"/>
  <c r="BA110" i="3"/>
  <c r="BL112" i="3"/>
  <c r="AB32" i="71"/>
  <c r="B75" i="71"/>
  <c r="B74" i="71" s="1"/>
  <c r="G398" i="3"/>
  <c r="BA411" i="3"/>
  <c r="BL413" i="3"/>
  <c r="BA427" i="3"/>
  <c r="BL429" i="3"/>
  <c r="G438" i="3"/>
  <c r="BA443" i="3"/>
  <c r="AZ443" i="3" s="1"/>
  <c r="BA445" i="3"/>
  <c r="AZ445" i="3" s="1"/>
  <c r="BA446" i="3"/>
  <c r="AZ446" i="3" s="1"/>
  <c r="BA463" i="3"/>
  <c r="BA479" i="3"/>
  <c r="BL489" i="3"/>
  <c r="BL491" i="3"/>
  <c r="G208" i="3"/>
  <c r="G232" i="3"/>
  <c r="G256" i="3"/>
  <c r="BL263" i="3"/>
  <c r="BA277" i="3"/>
  <c r="BA278" i="3"/>
  <c r="AZ278" i="3" s="1"/>
  <c r="BA279" i="3"/>
  <c r="AZ279" i="3" s="1"/>
  <c r="BA280" i="3"/>
  <c r="AZ280" i="3" s="1"/>
  <c r="BA281" i="3"/>
  <c r="AZ281" i="3" s="1"/>
  <c r="BA283" i="3"/>
  <c r="AZ283" i="3" s="1"/>
  <c r="BA284" i="3"/>
  <c r="AZ284" i="3" s="1"/>
  <c r="BA286" i="3"/>
  <c r="AZ286" i="3" s="1"/>
  <c r="BA288" i="3"/>
  <c r="AZ288" i="3" s="1"/>
  <c r="BA289" i="3"/>
  <c r="AZ289" i="3" s="1"/>
  <c r="BA291" i="3"/>
  <c r="AZ291" i="3" s="1"/>
  <c r="BA292" i="3"/>
  <c r="AZ292" i="3" s="1"/>
  <c r="BL296" i="3"/>
  <c r="G297" i="3"/>
  <c r="G135" i="3"/>
  <c r="G30" i="3"/>
  <c r="BL37" i="3"/>
  <c r="G46" i="3"/>
  <c r="C82" i="71"/>
  <c r="D82" i="71" s="1"/>
  <c r="X37" i="71"/>
  <c r="AB36" i="71"/>
  <c r="AA38" i="71"/>
  <c r="B55" i="71"/>
  <c r="B56" i="71" s="1"/>
  <c r="S56" i="71" s="1"/>
  <c r="J34" i="36"/>
  <c r="W34" i="36" s="1"/>
  <c r="G586" i="3"/>
  <c r="G578" i="3"/>
  <c r="BL420" i="3"/>
  <c r="G457" i="3"/>
  <c r="BA470" i="3"/>
  <c r="G473" i="3"/>
  <c r="BL330" i="3"/>
  <c r="AZ330" i="3" s="1"/>
  <c r="G339" i="3"/>
  <c r="G347" i="3"/>
  <c r="BA353" i="3"/>
  <c r="BA370" i="3"/>
  <c r="AZ370" i="3" s="1"/>
  <c r="G215" i="3"/>
  <c r="BL222" i="3"/>
  <c r="BL238" i="3"/>
  <c r="BA244" i="3"/>
  <c r="BL246" i="3"/>
  <c r="G271" i="3"/>
  <c r="G142" i="3"/>
  <c r="G158" i="3"/>
  <c r="BL165" i="3"/>
  <c r="G166" i="3"/>
  <c r="BL173" i="3"/>
  <c r="BL175" i="3"/>
  <c r="AZ175" i="3" s="1"/>
  <c r="G176" i="3"/>
  <c r="BA184" i="3"/>
  <c r="AZ184" i="3" s="1"/>
  <c r="BL186" i="3"/>
  <c r="G187" i="3"/>
  <c r="G195" i="3"/>
  <c r="G21" i="3"/>
  <c r="BA34" i="3"/>
  <c r="BL36" i="3"/>
  <c r="G53" i="3"/>
  <c r="BL60" i="3"/>
  <c r="BL62" i="3"/>
  <c r="G63" i="3"/>
  <c r="BL94" i="3"/>
  <c r="BA100" i="3"/>
  <c r="BA108" i="3"/>
  <c r="G111" i="3"/>
  <c r="U25" i="40"/>
  <c r="X33" i="71"/>
  <c r="B35" i="71"/>
  <c r="B36" i="71" s="1"/>
  <c r="S36" i="71" s="1"/>
  <c r="X35" i="71"/>
  <c r="AB38" i="71"/>
  <c r="E51" i="71"/>
  <c r="E52" i="71" s="1"/>
  <c r="U52" i="71" s="1"/>
  <c r="B59" i="71"/>
  <c r="B60" i="71" s="1"/>
  <c r="S60" i="71" s="1"/>
  <c r="BB5" i="3"/>
  <c r="E15" i="6" s="1"/>
  <c r="E64" i="39" s="1"/>
  <c r="S39" i="34"/>
  <c r="AA39" i="34"/>
  <c r="BQ5" i="3"/>
  <c r="BL493" i="3"/>
  <c r="AZ493" i="3" s="1"/>
  <c r="AB13" i="37"/>
  <c r="U13" i="37"/>
  <c r="AC37" i="37"/>
  <c r="W37" i="37"/>
  <c r="AB9" i="21"/>
  <c r="U44" i="34"/>
  <c r="AA11" i="39"/>
  <c r="S11" i="39"/>
  <c r="J42" i="33"/>
  <c r="AC42" i="33" s="1"/>
  <c r="H42" i="33"/>
  <c r="AB42" i="33" s="1"/>
  <c r="AZ496" i="3"/>
  <c r="AZ538" i="3"/>
  <c r="W13" i="40"/>
  <c r="AC13" i="40"/>
  <c r="S12" i="40"/>
  <c r="AA12" i="40"/>
  <c r="W17" i="34"/>
  <c r="AC17" i="34"/>
  <c r="AZ391" i="3"/>
  <c r="AZ310" i="3"/>
  <c r="AZ351"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BA522" i="3"/>
  <c r="G522" i="3"/>
  <c r="BL520" i="3"/>
  <c r="AZ520" i="3" s="1"/>
  <c r="G519" i="3"/>
  <c r="BL518" i="3"/>
  <c r="BA518" i="3"/>
  <c r="G518" i="3"/>
  <c r="BA517" i="3"/>
  <c r="AZ517" i="3" s="1"/>
  <c r="G515" i="3"/>
  <c r="BA514" i="3"/>
  <c r="AZ514" i="3" s="1"/>
  <c r="BA513" i="3"/>
  <c r="BL512" i="3"/>
  <c r="AZ512" i="3" s="1"/>
  <c r="G512" i="3"/>
  <c r="G511" i="3"/>
  <c r="BL510" i="3"/>
  <c r="BA510" i="3"/>
  <c r="AZ510" i="3" s="1"/>
  <c r="G510" i="3"/>
  <c r="BL509" i="3"/>
  <c r="AZ509" i="3" s="1"/>
  <c r="G509" i="3"/>
  <c r="BA507" i="3"/>
  <c r="BA506" i="3"/>
  <c r="AZ506" i="3" s="1"/>
  <c r="BL505" i="3"/>
  <c r="AZ505" i="3" s="1"/>
  <c r="G505" i="3"/>
  <c r="G504" i="3"/>
  <c r="BA503" i="3"/>
  <c r="AZ503" i="3" s="1"/>
  <c r="BL502" i="3"/>
  <c r="AZ502" i="3" s="1"/>
  <c r="BA502" i="3"/>
  <c r="G502" i="3"/>
  <c r="G501" i="3"/>
  <c r="BL500" i="3"/>
  <c r="AZ500" i="3" s="1"/>
  <c r="BA499" i="3"/>
  <c r="BA498" i="3"/>
  <c r="AZ498" i="3" s="1"/>
  <c r="G498" i="3"/>
  <c r="G497" i="3"/>
  <c r="G496" i="3"/>
  <c r="BA495" i="3"/>
  <c r="AZ495" i="3" s="1"/>
  <c r="BP5" i="3"/>
  <c r="BL494" i="3"/>
  <c r="BK5" i="3"/>
  <c r="BG5" i="3"/>
  <c r="BA494" i="3"/>
  <c r="AC5" i="3"/>
  <c r="BR5" i="3"/>
  <c r="BO5" i="3"/>
  <c r="BJ5" i="3"/>
  <c r="BF5" i="3"/>
  <c r="G493" i="3"/>
  <c r="F6" i="1"/>
  <c r="BA398" i="3"/>
  <c r="AZ398" i="3" s="1"/>
  <c r="BL400" i="3"/>
  <c r="G401" i="3"/>
  <c r="G403" i="3"/>
  <c r="BA404" i="3"/>
  <c r="G405" i="3"/>
  <c r="G407" i="3"/>
  <c r="BL408" i="3"/>
  <c r="G409" i="3"/>
  <c r="BL410" i="3"/>
  <c r="G413" i="3"/>
  <c r="BA414" i="3"/>
  <c r="G415" i="3"/>
  <c r="BA416" i="3"/>
  <c r="BL416" i="3"/>
  <c r="BA418" i="3"/>
  <c r="AZ418" i="3" s="1"/>
  <c r="BA419" i="3"/>
  <c r="BL419" i="3"/>
  <c r="BA420" i="3"/>
  <c r="AZ420" i="3" s="1"/>
  <c r="BA422" i="3"/>
  <c r="AZ422" i="3" s="1"/>
  <c r="BL424" i="3"/>
  <c r="G425" i="3"/>
  <c r="BL426" i="3"/>
  <c r="G429" i="3"/>
  <c r="BA430" i="3"/>
  <c r="G431" i="3"/>
  <c r="BA432" i="3"/>
  <c r="BL432" i="3"/>
  <c r="G435" i="3"/>
  <c r="BA436" i="3"/>
  <c r="G437" i="3"/>
  <c r="BA438" i="3"/>
  <c r="AZ438" i="3" s="1"/>
  <c r="BL438" i="3"/>
  <c r="G439" i="3"/>
  <c r="G449" i="3"/>
  <c r="G451" i="3"/>
  <c r="BA452" i="3"/>
  <c r="G453" i="3"/>
  <c r="G455" i="3"/>
  <c r="BA456" i="3"/>
  <c r="AZ456" i="3" s="1"/>
  <c r="BL456" i="3"/>
  <c r="BA458" i="3"/>
  <c r="AZ458" i="3" s="1"/>
  <c r="BA459" i="3"/>
  <c r="BL459" i="3"/>
  <c r="BA460" i="3"/>
  <c r="AZ460" i="3" s="1"/>
  <c r="BA462" i="3"/>
  <c r="BL464" i="3"/>
  <c r="G465" i="3"/>
  <c r="BA466" i="3"/>
  <c r="BL466" i="3"/>
  <c r="BA467" i="3"/>
  <c r="AZ467" i="3" s="1"/>
  <c r="BA469" i="3"/>
  <c r="AZ469" i="3" s="1"/>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BL575" i="3"/>
  <c r="BA575" i="3"/>
  <c r="BA574" i="3"/>
  <c r="AZ574" i="3" s="1"/>
  <c r="BA571" i="3"/>
  <c r="BL570" i="3"/>
  <c r="BA570" i="3"/>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AZ236" i="3" s="1"/>
  <c r="BA237" i="3"/>
  <c r="AZ237" i="3" s="1"/>
  <c r="BA238" i="3"/>
  <c r="AZ238" i="3" s="1"/>
  <c r="BA240" i="3"/>
  <c r="BL240" i="3"/>
  <c r="BL242" i="3"/>
  <c r="G243" i="3"/>
  <c r="BA245" i="3"/>
  <c r="BL245" i="3"/>
  <c r="BA246" i="3"/>
  <c r="AZ246" i="3" s="1"/>
  <c r="BA248" i="3"/>
  <c r="AZ248" i="3" s="1"/>
  <c r="BL248" i="3"/>
  <c r="BA250" i="3"/>
  <c r="BL250" i="3"/>
  <c r="BL252" i="3"/>
  <c r="G253" i="3"/>
  <c r="BL254" i="3"/>
  <c r="G255" i="3"/>
  <c r="BA256" i="3"/>
  <c r="G257" i="3"/>
  <c r="BL258" i="3"/>
  <c r="BA260" i="3"/>
  <c r="G261" i="3"/>
  <c r="BL262" i="3"/>
  <c r="BA264" i="3"/>
  <c r="G265" i="3"/>
  <c r="BA266" i="3"/>
  <c r="G267" i="3"/>
  <c r="BL268" i="3"/>
  <c r="G269" i="3"/>
  <c r="BA270" i="3"/>
  <c r="BL270" i="3"/>
  <c r="BL272" i="3"/>
  <c r="G273" i="3"/>
  <c r="BA274" i="3"/>
  <c r="AZ274" i="3" s="1"/>
  <c r="BL274" i="3"/>
  <c r="G302" i="3"/>
  <c r="BL113" i="3"/>
  <c r="G116" i="3"/>
  <c r="BA117" i="3"/>
  <c r="G118" i="3"/>
  <c r="G120" i="3"/>
  <c r="BL121" i="3"/>
  <c r="G122" i="3"/>
  <c r="G124" i="3"/>
  <c r="G130" i="3"/>
  <c r="BL133" i="3"/>
  <c r="BA137" i="3"/>
  <c r="G138" i="3"/>
  <c r="BL139" i="3"/>
  <c r="AZ139" i="3" s="1"/>
  <c r="BA141" i="3"/>
  <c r="AZ141" i="3" s="1"/>
  <c r="BL141" i="3"/>
  <c r="BL143" i="3"/>
  <c r="AZ143" i="3" s="1"/>
  <c r="G144" i="3"/>
  <c r="BA146" i="3"/>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AA32" i="34"/>
  <c r="S32" i="34"/>
  <c r="U46" i="34"/>
  <c r="AB46" i="34"/>
  <c r="W11" i="35"/>
  <c r="AC11" i="35"/>
  <c r="AA28" i="37"/>
  <c r="S28" i="37"/>
  <c r="AC38" i="37"/>
  <c r="W38" i="37"/>
  <c r="AC25" i="37"/>
  <c r="W25" i="37"/>
  <c r="AA13" i="39"/>
  <c r="S13" i="39"/>
  <c r="AZ570" i="3"/>
  <c r="G29" i="6"/>
  <c r="AZ499" i="3"/>
  <c r="AZ576" i="3"/>
  <c r="AA34" i="39"/>
  <c r="S34" i="39"/>
  <c r="AA34" i="40"/>
  <c r="S34" i="40"/>
  <c r="F30" i="11"/>
  <c r="C48" i="11" s="1"/>
  <c r="H22" i="81"/>
  <c r="H25" i="81"/>
  <c r="AZ559" i="3"/>
  <c r="J12" i="34"/>
  <c r="W12" i="34" s="1"/>
  <c r="H12" i="34"/>
  <c r="AC31" i="37"/>
  <c r="W31" i="37"/>
  <c r="H44" i="39"/>
  <c r="J44" i="39"/>
  <c r="W9" i="40"/>
  <c r="AC9" i="40"/>
  <c r="C21" i="71"/>
  <c r="D21" i="71" s="1"/>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AZ571" i="3" s="1"/>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BL425" i="3"/>
  <c r="BA426" i="3"/>
  <c r="AZ426" i="3" s="1"/>
  <c r="BA428" i="3"/>
  <c r="BL428" i="3"/>
  <c r="BA429" i="3"/>
  <c r="AZ429" i="3" s="1"/>
  <c r="BL431" i="3"/>
  <c r="G432" i="3"/>
  <c r="G434" i="3"/>
  <c r="BA435" i="3"/>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AZ302" i="3" s="1"/>
  <c r="BA113" i="3"/>
  <c r="BA114" i="3"/>
  <c r="AZ114" i="3" s="1"/>
  <c r="BL115" i="3"/>
  <c r="AZ115" i="3" s="1"/>
  <c r="BL118" i="3"/>
  <c r="G119" i="3"/>
  <c r="BA120" i="3"/>
  <c r="AZ120" i="3" s="1"/>
  <c r="BA122" i="3"/>
  <c r="BL122" i="3"/>
  <c r="BL123" i="3"/>
  <c r="AZ123" i="3" s="1"/>
  <c r="BL125" i="3"/>
  <c r="G126" i="3"/>
  <c r="BA129" i="3"/>
  <c r="BL129" i="3"/>
  <c r="AZ129" i="3" s="1"/>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23" i="3"/>
  <c r="AZ531" i="3"/>
  <c r="AZ539" i="3"/>
  <c r="AZ547" i="3"/>
  <c r="AZ553" i="3"/>
  <c r="AZ581" i="3"/>
  <c r="AZ526" i="3"/>
  <c r="AZ566" i="3"/>
  <c r="AZ582" i="3"/>
  <c r="AZ584" i="3"/>
  <c r="S11" i="36"/>
  <c r="W31" i="34"/>
  <c r="AB30" i="21"/>
  <c r="BL586" i="3"/>
  <c r="AZ586" i="3" s="1"/>
  <c r="F9" i="33"/>
  <c r="AA9" i="33" s="1"/>
  <c r="J9" i="34"/>
  <c r="H9" i="34"/>
  <c r="J12" i="36"/>
  <c r="H12" i="36"/>
  <c r="F38" i="40"/>
  <c r="H38" i="40"/>
  <c r="F48" i="9"/>
  <c r="O52" i="9" s="1"/>
  <c r="C22" i="81"/>
  <c r="AZ513" i="3"/>
  <c r="AZ567" i="3"/>
  <c r="AZ575" i="3"/>
  <c r="H25" i="37"/>
  <c r="F25" i="37"/>
  <c r="G582" i="3"/>
  <c r="G566" i="3"/>
  <c r="G552" i="3"/>
  <c r="BA551" i="3"/>
  <c r="AZ551" i="3" s="1"/>
  <c r="G551" i="3"/>
  <c r="BL550" i="3"/>
  <c r="BA550" i="3"/>
  <c r="BL548" i="3"/>
  <c r="AZ548" i="3" s="1"/>
  <c r="B14" i="74"/>
  <c r="D33" i="43"/>
  <c r="D1" i="43" s="1"/>
  <c r="G14" i="3"/>
  <c r="G399" i="3"/>
  <c r="BL399" i="3"/>
  <c r="BA400" i="3"/>
  <c r="BA401" i="3"/>
  <c r="BA402" i="3"/>
  <c r="BL402" i="3"/>
  <c r="G404" i="3"/>
  <c r="BL404" i="3"/>
  <c r="BA405" i="3"/>
  <c r="AZ405" i="3" s="1"/>
  <c r="BA406" i="3"/>
  <c r="BL406" i="3"/>
  <c r="BA407" i="3"/>
  <c r="AZ407" i="3" s="1"/>
  <c r="BA408" i="3"/>
  <c r="G411" i="3"/>
  <c r="BL411" i="3"/>
  <c r="G414" i="3"/>
  <c r="BL414" i="3"/>
  <c r="BA415" i="3"/>
  <c r="AZ415" i="3" s="1"/>
  <c r="BL417" i="3"/>
  <c r="AZ417" i="3" s="1"/>
  <c r="G419" i="3"/>
  <c r="G421" i="3"/>
  <c r="BL421" i="3"/>
  <c r="G423" i="3"/>
  <c r="BL423" i="3"/>
  <c r="BA424" i="3"/>
  <c r="AZ424" i="3" s="1"/>
  <c r="G427" i="3"/>
  <c r="BL427" i="3"/>
  <c r="G430" i="3"/>
  <c r="BL430" i="3"/>
  <c r="AZ430" i="3" s="1"/>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BA454" i="3"/>
  <c r="BL454" i="3"/>
  <c r="BA455" i="3"/>
  <c r="AZ455" i="3" s="1"/>
  <c r="BL457" i="3"/>
  <c r="AZ457" i="3" s="1"/>
  <c r="G459" i="3"/>
  <c r="G461" i="3"/>
  <c r="BL461" i="3"/>
  <c r="G463" i="3"/>
  <c r="BL463" i="3"/>
  <c r="BA464" i="3"/>
  <c r="AZ464" i="3" s="1"/>
  <c r="BA465" i="3"/>
  <c r="G468" i="3"/>
  <c r="BL468" i="3"/>
  <c r="G470" i="3"/>
  <c r="BL470" i="3"/>
  <c r="BA471" i="3"/>
  <c r="AZ471" i="3" s="1"/>
  <c r="BL473" i="3"/>
  <c r="AZ473" i="3" s="1"/>
  <c r="BA474" i="3"/>
  <c r="G477" i="3"/>
  <c r="G479" i="3"/>
  <c r="BL479" i="3"/>
  <c r="BA480" i="3"/>
  <c r="AZ480" i="3" s="1"/>
  <c r="BA481" i="3"/>
  <c r="BL481" i="3"/>
  <c r="BA482" i="3"/>
  <c r="G485" i="3"/>
  <c r="BL485" i="3"/>
  <c r="AZ485" i="3" s="1"/>
  <c r="BA486" i="3"/>
  <c r="AZ486" i="3" s="1"/>
  <c r="BA487" i="3"/>
  <c r="BL487" i="3"/>
  <c r="BA488" i="3"/>
  <c r="AZ488" i="3" s="1"/>
  <c r="BL490" i="3"/>
  <c r="AZ490" i="3" s="1"/>
  <c r="G311" i="3"/>
  <c r="G315" i="3"/>
  <c r="BA317" i="3"/>
  <c r="AZ317" i="3" s="1"/>
  <c r="G327" i="3"/>
  <c r="G331" i="3"/>
  <c r="BA333" i="3"/>
  <c r="G343" i="3"/>
  <c r="BA348" i="3"/>
  <c r="AZ348" i="3" s="1"/>
  <c r="BA349" i="3"/>
  <c r="AZ349" i="3" s="1"/>
  <c r="G351" i="3"/>
  <c r="BA354" i="3"/>
  <c r="G364" i="3"/>
  <c r="BA366" i="3"/>
  <c r="AZ366" i="3" s="1"/>
  <c r="BL368" i="3"/>
  <c r="AZ368" i="3" s="1"/>
  <c r="G374" i="3"/>
  <c r="BL375" i="3"/>
  <c r="AZ375" i="3" s="1"/>
  <c r="G382" i="3"/>
  <c r="BA384" i="3"/>
  <c r="AZ384" i="3" s="1"/>
  <c r="BL385" i="3"/>
  <c r="AZ385" i="3" s="1"/>
  <c r="G387" i="3"/>
  <c r="BA395" i="3"/>
  <c r="AZ395" i="3" s="1"/>
  <c r="BA396" i="3"/>
  <c r="G209" i="3"/>
  <c r="G210" i="3"/>
  <c r="BL210" i="3"/>
  <c r="BA211" i="3"/>
  <c r="BL213" i="3"/>
  <c r="BL215" i="3"/>
  <c r="BA216" i="3"/>
  <c r="AZ216" i="3" s="1"/>
  <c r="BL218" i="3"/>
  <c r="AZ218" i="3" s="1"/>
  <c r="BA219" i="3"/>
  <c r="G222" i="3"/>
  <c r="G223" i="3"/>
  <c r="G224" i="3"/>
  <c r="G225" i="3"/>
  <c r="BL225" i="3"/>
  <c r="BA226" i="3"/>
  <c r="BA227" i="3"/>
  <c r="BL229" i="3"/>
  <c r="BA230" i="3"/>
  <c r="BL232" i="3"/>
  <c r="AZ232" i="3" s="1"/>
  <c r="BL234" i="3"/>
  <c r="AZ234" i="3" s="1"/>
  <c r="G237" i="3"/>
  <c r="G238" i="3"/>
  <c r="G239" i="3"/>
  <c r="BL239" i="3"/>
  <c r="AZ239" i="3" s="1"/>
  <c r="BL241" i="3"/>
  <c r="AZ241" i="3" s="1"/>
  <c r="BA242" i="3"/>
  <c r="AZ242" i="3" s="1"/>
  <c r="BA243" i="3"/>
  <c r="E19" i="6"/>
  <c r="BL15" i="3"/>
  <c r="AZ15" i="3" s="1"/>
  <c r="AZ427" i="3"/>
  <c r="BL244" i="3"/>
  <c r="AZ244" i="3" s="1"/>
  <c r="G247" i="3"/>
  <c r="BL247" i="3"/>
  <c r="AZ247" i="3" s="1"/>
  <c r="BL249" i="3"/>
  <c r="AZ249" i="3" s="1"/>
  <c r="BL251" i="3"/>
  <c r="AZ251" i="3" s="1"/>
  <c r="BA252" i="3"/>
  <c r="BA253" i="3"/>
  <c r="AZ253" i="3" s="1"/>
  <c r="BA254" i="3"/>
  <c r="BL256" i="3"/>
  <c r="AZ256" i="3" s="1"/>
  <c r="G259" i="3"/>
  <c r="G260" i="3"/>
  <c r="BL260" i="3"/>
  <c r="AZ260" i="3" s="1"/>
  <c r="G263" i="3"/>
  <c r="G264" i="3"/>
  <c r="BL264" i="3"/>
  <c r="AZ264" i="3" s="1"/>
  <c r="BL266" i="3"/>
  <c r="BA267" i="3"/>
  <c r="AZ267" i="3" s="1"/>
  <c r="BA268" i="3"/>
  <c r="BA269" i="3"/>
  <c r="BL271" i="3"/>
  <c r="AZ271" i="3" s="1"/>
  <c r="BA272" i="3"/>
  <c r="BA273" i="3"/>
  <c r="BL275" i="3"/>
  <c r="AZ275" i="3" s="1"/>
  <c r="BA276" i="3"/>
  <c r="AZ276" i="3" s="1"/>
  <c r="G279" i="3"/>
  <c r="G280" i="3"/>
  <c r="G281" i="3"/>
  <c r="G282" i="3"/>
  <c r="BL282" i="3"/>
  <c r="AZ282" i="3" s="1"/>
  <c r="G285" i="3"/>
  <c r="BL285" i="3"/>
  <c r="AZ285" i="3" s="1"/>
  <c r="BL287" i="3"/>
  <c r="AZ287" i="3" s="1"/>
  <c r="G290" i="3"/>
  <c r="BL290" i="3"/>
  <c r="G293" i="3"/>
  <c r="BL293" i="3"/>
  <c r="AZ293" i="3" s="1"/>
  <c r="BA294" i="3"/>
  <c r="AZ294" i="3" s="1"/>
  <c r="BA295" i="3"/>
  <c r="BA296" i="3"/>
  <c r="AZ296" i="3" s="1"/>
  <c r="BA297" i="3"/>
  <c r="BL299" i="3"/>
  <c r="AZ299" i="3" s="1"/>
  <c r="BA300" i="3"/>
  <c r="AZ300" i="3" s="1"/>
  <c r="G114" i="3"/>
  <c r="G115" i="3"/>
  <c r="BL117" i="3"/>
  <c r="AZ117" i="3" s="1"/>
  <c r="BA118" i="3"/>
  <c r="AZ118" i="3" s="1"/>
  <c r="BL119" i="3"/>
  <c r="AZ119" i="3" s="1"/>
  <c r="BA121" i="3"/>
  <c r="BA125" i="3"/>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BL155" i="3"/>
  <c r="AZ155" i="3" s="1"/>
  <c r="BL158" i="3"/>
  <c r="AZ158" i="3" s="1"/>
  <c r="BA160" i="3"/>
  <c r="AZ160" i="3" s="1"/>
  <c r="BL161" i="3"/>
  <c r="AZ161" i="3" s="1"/>
  <c r="G164" i="3"/>
  <c r="BA165" i="3"/>
  <c r="AZ165" i="3" s="1"/>
  <c r="BA166" i="3"/>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AZ193" i="3" s="1"/>
  <c r="G196" i="3"/>
  <c r="BA197" i="3"/>
  <c r="BA198" i="3"/>
  <c r="BL199" i="3"/>
  <c r="AZ199" i="3" s="1"/>
  <c r="BA201" i="3"/>
  <c r="AZ201" i="3" s="1"/>
  <c r="BA202" i="3"/>
  <c r="BL203" i="3"/>
  <c r="AZ203" i="3" s="1"/>
  <c r="BL206" i="3"/>
  <c r="AZ206" i="3" s="1"/>
  <c r="BA207" i="3"/>
  <c r="AZ207" i="3" s="1"/>
  <c r="BL19" i="3"/>
  <c r="BL21" i="3"/>
  <c r="AZ21" i="3" s="1"/>
  <c r="BA22" i="3"/>
  <c r="BL24" i="3"/>
  <c r="AZ24" i="3" s="1"/>
  <c r="BA25" i="3"/>
  <c r="BA26" i="3"/>
  <c r="AZ26" i="3" s="1"/>
  <c r="BL28" i="3"/>
  <c r="AZ28" i="3" s="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G55" i="3"/>
  <c r="G56" i="3"/>
  <c r="BL56" i="3"/>
  <c r="BA57" i="3"/>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G100" i="3"/>
  <c r="BL100" i="3"/>
  <c r="AZ100" i="3" s="1"/>
  <c r="BL102" i="3"/>
  <c r="AZ102" i="3" s="1"/>
  <c r="BA103" i="3"/>
  <c r="BL105" i="3"/>
  <c r="AZ105" i="3" s="1"/>
  <c r="G107" i="3"/>
  <c r="G108" i="3"/>
  <c r="BL108" i="3"/>
  <c r="B27" i="71"/>
  <c r="B26" i="71" s="1"/>
  <c r="S28" i="71"/>
  <c r="AZ56" i="3"/>
  <c r="AZ95"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U42" i="33"/>
  <c r="AB21" i="33"/>
  <c r="AA25" i="33"/>
  <c r="AA14" i="33"/>
  <c r="AA44" i="33"/>
  <c r="V20" i="71"/>
  <c r="AC17" i="21"/>
  <c r="W17" i="21"/>
  <c r="D121" i="9"/>
  <c r="D7" i="52" s="1"/>
  <c r="D6" i="52"/>
  <c r="AZ557" i="3"/>
  <c r="S12" i="21"/>
  <c r="AA12" i="21"/>
  <c r="AC9" i="34"/>
  <c r="W9" i="34"/>
  <c r="E15" i="71"/>
  <c r="E14" i="71" s="1"/>
  <c r="E13" i="71" s="1"/>
  <c r="E12" i="71" s="1"/>
  <c r="V16" i="71"/>
  <c r="U15" i="21"/>
  <c r="AB15" i="21"/>
  <c r="AC29" i="21"/>
  <c r="W29" i="21"/>
  <c r="AC17" i="37"/>
  <c r="AC15" i="21"/>
  <c r="S20" i="35"/>
  <c r="U12" i="39"/>
  <c r="AA27" i="40"/>
  <c r="AB27" i="40"/>
  <c r="G28" i="6"/>
  <c r="G30" i="6" s="1"/>
  <c r="G31" i="6" s="1"/>
  <c r="F29" i="6"/>
  <c r="E29" i="6" s="1"/>
  <c r="K15" i="1" s="1"/>
  <c r="AA25" i="21"/>
  <c r="W47" i="34"/>
  <c r="W14" i="37"/>
  <c r="U14" i="40"/>
  <c r="U43" i="33"/>
  <c r="AA41" i="34"/>
  <c r="S44" i="34"/>
  <c r="W29" i="33"/>
  <c r="AC30" i="34"/>
  <c r="AA13" i="35"/>
  <c r="AA29" i="35"/>
  <c r="B73" i="43"/>
  <c r="B79" i="43"/>
  <c r="B76" i="43"/>
  <c r="B75" i="43"/>
  <c r="F9" i="34"/>
  <c r="AA9" i="34" s="1"/>
  <c r="F12" i="34"/>
  <c r="J12" i="35"/>
  <c r="H36" i="35"/>
  <c r="J36" i="35"/>
  <c r="J23" i="36"/>
  <c r="H23" i="36"/>
  <c r="F23" i="36"/>
  <c r="AZ399" i="3"/>
  <c r="AZ404" i="3"/>
  <c r="AZ411" i="3"/>
  <c r="AZ421" i="3"/>
  <c r="AZ423" i="3"/>
  <c r="J34" i="35"/>
  <c r="H34" i="35"/>
  <c r="F34" i="35"/>
  <c r="AZ425" i="3"/>
  <c r="AZ461" i="3"/>
  <c r="AZ463" i="3"/>
  <c r="AZ468" i="3"/>
  <c r="AZ470" i="3"/>
  <c r="AZ479" i="3"/>
  <c r="AZ210" i="3"/>
  <c r="AZ255" i="3"/>
  <c r="AZ277" i="3"/>
  <c r="AZ435" i="3"/>
  <c r="AZ439" i="3"/>
  <c r="AZ444" i="3"/>
  <c r="AZ448" i="3"/>
  <c r="AZ452" i="3"/>
  <c r="AZ489" i="3"/>
  <c r="AZ231" i="3"/>
  <c r="AZ290" i="3"/>
  <c r="AZ126" i="3"/>
  <c r="AZ205" i="3"/>
  <c r="AZ23" i="3"/>
  <c r="AZ48" i="3"/>
  <c r="AZ60" i="3"/>
  <c r="AZ64"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AC11" i="34"/>
  <c r="U33" i="21"/>
  <c r="AB13" i="33"/>
  <c r="S8" i="33"/>
  <c r="U8" i="33"/>
  <c r="W8" i="21"/>
  <c r="S8" i="21"/>
  <c r="AA11" i="21"/>
  <c r="AC11" i="21"/>
  <c r="AB11" i="21"/>
  <c r="C30" i="69"/>
  <c r="F53" i="9"/>
  <c r="C5" i="11"/>
  <c r="C4" i="12"/>
  <c r="I4" i="6"/>
  <c r="G3" i="43" s="1"/>
  <c r="H26" i="43" s="1"/>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6" i="1"/>
  <c r="C13" i="12" s="1"/>
  <c r="P11" i="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I1" i="73"/>
  <c r="B39" i="1" s="1"/>
  <c r="D103" i="9"/>
  <c r="G20" i="9"/>
  <c r="C103" i="9"/>
  <c r="B13" i="70"/>
  <c r="F64" i="67"/>
  <c r="C36" i="68"/>
  <c r="D9" i="68"/>
  <c r="M22" i="67"/>
  <c r="F40" i="67"/>
  <c r="C76" i="67"/>
  <c r="L48" i="67"/>
  <c r="M28" i="15"/>
  <c r="L47" i="67"/>
  <c r="F16" i="15"/>
  <c r="F38" i="67"/>
  <c r="C76" i="15"/>
  <c r="D9" i="69"/>
  <c r="M24" i="15"/>
  <c r="F26" i="67"/>
  <c r="F37" i="67"/>
  <c r="M28" i="67"/>
  <c r="D7" i="73"/>
  <c r="M26" i="15"/>
  <c r="F42" i="15"/>
  <c r="J15" i="67"/>
  <c r="F6" i="67"/>
  <c r="D6" i="73"/>
  <c r="F9" i="67"/>
  <c r="F36" i="15"/>
  <c r="F43" i="15"/>
  <c r="F13" i="15"/>
  <c r="F26" i="15"/>
  <c r="F38" i="15"/>
  <c r="M23" i="67"/>
  <c r="L47" i="15"/>
  <c r="M24" i="67"/>
  <c r="M9" i="67"/>
  <c r="F37" i="15"/>
  <c r="M8" i="15"/>
  <c r="F7" i="15"/>
  <c r="F9" i="15"/>
  <c r="F16" i="67"/>
  <c r="F8" i="67"/>
  <c r="F13" i="67"/>
  <c r="F42" i="67"/>
  <c r="G1" i="73"/>
  <c r="M9" i="15"/>
  <c r="M26" i="67"/>
  <c r="F27" i="69"/>
  <c r="D4" i="73"/>
  <c r="M22" i="15"/>
  <c r="F6" i="15"/>
  <c r="F40" i="15"/>
  <c r="F8" i="15"/>
  <c r="M6" i="67"/>
  <c r="M8" i="67"/>
  <c r="C36" i="69"/>
  <c r="E10" i="6" l="1"/>
  <c r="S45" i="33"/>
  <c r="U46" i="33"/>
  <c r="G26" i="43"/>
  <c r="F51" i="15"/>
  <c r="M7" i="15"/>
  <c r="F50" i="15"/>
  <c r="F66" i="15"/>
  <c r="C27" i="15"/>
  <c r="F68" i="67"/>
  <c r="J7" i="36"/>
  <c r="AC7" i="36" s="1"/>
  <c r="V36" i="36" s="1"/>
  <c r="I36" i="36" s="1"/>
  <c r="AC36" i="33"/>
  <c r="AZ57" i="3"/>
  <c r="AZ396" i="3"/>
  <c r="AZ353" i="3"/>
  <c r="P67" i="71"/>
  <c r="E66" i="71"/>
  <c r="AZ88" i="3"/>
  <c r="AZ78" i="3"/>
  <c r="S39" i="37"/>
  <c r="AA39" i="37"/>
  <c r="AA46" i="34"/>
  <c r="S46" i="34"/>
  <c r="AZ166" i="3"/>
  <c r="AZ125" i="3"/>
  <c r="C20" i="71"/>
  <c r="AZ301" i="3"/>
  <c r="AZ74" i="3"/>
  <c r="AZ298" i="3"/>
  <c r="N67" i="71"/>
  <c r="B66" i="71"/>
  <c r="U31" i="21"/>
  <c r="AB31" i="21"/>
  <c r="S30" i="34"/>
  <c r="AA30" i="34"/>
  <c r="AC39" i="37"/>
  <c r="W39" i="37"/>
  <c r="C26" i="71"/>
  <c r="D26" i="71" s="1"/>
  <c r="D27" i="71"/>
  <c r="AA24" i="36"/>
  <c r="S24" i="36"/>
  <c r="AZ522" i="3"/>
  <c r="AZ173" i="3"/>
  <c r="AZ178" i="3"/>
  <c r="AB14" i="34"/>
  <c r="U14" i="34"/>
  <c r="AB27" i="21"/>
  <c r="U27" i="21"/>
  <c r="AB32" i="40"/>
  <c r="U32" i="40"/>
  <c r="AC12" i="34"/>
  <c r="AZ103" i="3"/>
  <c r="AZ22" i="3"/>
  <c r="AZ273" i="3"/>
  <c r="AZ474" i="3"/>
  <c r="AZ107" i="3"/>
  <c r="AZ491" i="3"/>
  <c r="W45" i="39"/>
  <c r="AC45" i="39"/>
  <c r="AB23" i="33"/>
  <c r="AZ198" i="3"/>
  <c r="AZ272" i="3"/>
  <c r="AZ482" i="3"/>
  <c r="AZ18" i="3"/>
  <c r="AZ45" i="3"/>
  <c r="AZ146" i="3"/>
  <c r="AZ270" i="3"/>
  <c r="AZ235" i="3"/>
  <c r="AZ217" i="3"/>
  <c r="AZ462" i="3"/>
  <c r="AZ436" i="3"/>
  <c r="AZ416" i="3"/>
  <c r="E14" i="6"/>
  <c r="E63" i="39" s="1"/>
  <c r="AZ494" i="3"/>
  <c r="AZ518" i="3"/>
  <c r="AZ69" i="3"/>
  <c r="S34" i="36"/>
  <c r="AA34" i="36"/>
  <c r="AA35" i="39"/>
  <c r="S35" i="39"/>
  <c r="AA31" i="33"/>
  <c r="S31" i="33"/>
  <c r="S32" i="36"/>
  <c r="AA32" i="36"/>
  <c r="AZ230" i="3"/>
  <c r="AZ453" i="3"/>
  <c r="U31" i="39"/>
  <c r="AB35" i="39"/>
  <c r="U35" i="39"/>
  <c r="AA9" i="36"/>
  <c r="S9" i="36"/>
  <c r="AC13" i="33"/>
  <c r="W13" i="33"/>
  <c r="AC24" i="36"/>
  <c r="W24" i="36"/>
  <c r="W32" i="33"/>
  <c r="AZ269" i="3"/>
  <c r="AZ113" i="3"/>
  <c r="AZ250" i="3"/>
  <c r="AZ233" i="3"/>
  <c r="AZ225" i="3"/>
  <c r="AZ477" i="3"/>
  <c r="AZ414" i="3"/>
  <c r="AZ80" i="3"/>
  <c r="N94" i="46"/>
  <c r="S27" i="33"/>
  <c r="U15" i="33"/>
  <c r="J57" i="67"/>
  <c r="J55" i="67" s="1"/>
  <c r="J58" i="67" s="1"/>
  <c r="Q50" i="67" s="1"/>
  <c r="I54" i="67"/>
  <c r="J53" i="67"/>
  <c r="Q52" i="67" s="1"/>
  <c r="L56" i="67"/>
  <c r="N59" i="67"/>
  <c r="L58" i="67"/>
  <c r="Q60" i="67" s="1"/>
  <c r="L59" i="67"/>
  <c r="Q61" i="67" s="1"/>
  <c r="M59" i="67"/>
  <c r="F51" i="67"/>
  <c r="F66" i="67"/>
  <c r="I5" i="81"/>
  <c r="I24" i="43"/>
  <c r="C24" i="43" s="1"/>
  <c r="AC9" i="36"/>
  <c r="W9" i="36"/>
  <c r="W31" i="39"/>
  <c r="AC31" i="39"/>
  <c r="U14" i="21"/>
  <c r="AB14" i="21"/>
  <c r="AA46" i="21"/>
  <c r="S46" i="21"/>
  <c r="B20" i="31"/>
  <c r="B21" i="31" s="1"/>
  <c r="N370" i="46"/>
  <c r="F26" i="43"/>
  <c r="E13" i="6"/>
  <c r="E58" i="40" s="1"/>
  <c r="E11" i="6"/>
  <c r="E60" i="39" s="1"/>
  <c r="E12" i="6"/>
  <c r="E57" i="40" s="1"/>
  <c r="S9" i="33"/>
  <c r="S9" i="34"/>
  <c r="D20" i="71"/>
  <c r="U20" i="71" s="1"/>
  <c r="W27" i="33"/>
  <c r="G6" i="1"/>
  <c r="AZ227" i="3"/>
  <c r="AZ215" i="3"/>
  <c r="AZ211" i="3"/>
  <c r="AZ333" i="3"/>
  <c r="AZ408" i="3"/>
  <c r="AZ400" i="3"/>
  <c r="C60" i="71"/>
  <c r="D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J6" i="15"/>
  <c r="J18" i="15" s="1"/>
  <c r="AB36" i="33"/>
  <c r="G5" i="3"/>
  <c r="B3" i="3" s="1"/>
  <c r="E329"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AC7" i="37" s="1"/>
  <c r="V42" i="37" s="1"/>
  <c r="I42" i="37" s="1"/>
  <c r="H7" i="36"/>
  <c r="AB7" i="36" s="1"/>
  <c r="T36" i="36" s="1"/>
  <c r="G36" i="36" s="1"/>
  <c r="E378" i="3"/>
  <c r="E371" i="3"/>
  <c r="E19" i="3"/>
  <c r="E489" i="3"/>
  <c r="E319" i="3"/>
  <c r="S6" i="3"/>
  <c r="D63" i="71"/>
  <c r="C64" i="71"/>
  <c r="AP6" i="1"/>
  <c r="AZ450" i="3"/>
  <c r="AZ402" i="3"/>
  <c r="AZ550" i="3"/>
  <c r="U25" i="37"/>
  <c r="AB25" i="37"/>
  <c r="AB38" i="40"/>
  <c r="U38" i="40"/>
  <c r="U12" i="36"/>
  <c r="AB12" i="36"/>
  <c r="U9" i="34"/>
  <c r="AB9" i="34"/>
  <c r="BL5" i="3"/>
  <c r="F30" i="6"/>
  <c r="C36" i="71"/>
  <c r="D35" i="71"/>
  <c r="J33" i="33"/>
  <c r="F33" i="33"/>
  <c r="H33" i="33"/>
  <c r="AA25" i="37"/>
  <c r="S25" i="37"/>
  <c r="AA38" i="40"/>
  <c r="S38" i="40"/>
  <c r="W12" i="36"/>
  <c r="AC12" i="36"/>
  <c r="BA5" i="3"/>
  <c r="E27" i="6" s="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E60" i="40"/>
  <c r="F31" i="6"/>
  <c r="E51" i="40"/>
  <c r="D5" i="43"/>
  <c r="C7" i="43"/>
  <c r="C5" i="43" s="1"/>
  <c r="D10" i="52"/>
  <c r="D125" i="9"/>
  <c r="D11" i="52" s="1"/>
  <c r="B7" i="74"/>
  <c r="C7" i="74" s="1"/>
  <c r="F67" i="39"/>
  <c r="F59" i="67"/>
  <c r="H7" i="37"/>
  <c r="AB7" i="37" s="1"/>
  <c r="T42" i="37" s="1"/>
  <c r="G42" i="37" s="1"/>
  <c r="B40" i="1"/>
  <c r="H7" i="33"/>
  <c r="J7" i="33"/>
  <c r="D65" i="40"/>
  <c r="E63" i="40"/>
  <c r="F48" i="35"/>
  <c r="F7" i="33"/>
  <c r="E58" i="21"/>
  <c r="F7" i="37"/>
  <c r="M17" i="67"/>
  <c r="M17" i="15"/>
  <c r="F59" i="15"/>
  <c r="P28" i="43"/>
  <c r="B66" i="40" s="1"/>
  <c r="P25" i="43"/>
  <c r="P29" i="43"/>
  <c r="P27" i="43"/>
  <c r="B70" i="39" s="1"/>
  <c r="C32" i="9"/>
  <c r="M11" i="67"/>
  <c r="J10" i="67" s="1"/>
  <c r="F11" i="15"/>
  <c r="M11" i="15"/>
  <c r="J10" i="15" s="1"/>
  <c r="F11" i="67"/>
  <c r="F1" i="15"/>
  <c r="Q52" i="15"/>
  <c r="AE11" i="1"/>
  <c r="AE9" i="1"/>
  <c r="AE7" i="1"/>
  <c r="AE8" i="1"/>
  <c r="AE12" i="1"/>
  <c r="AE10" i="1"/>
  <c r="C16" i="15"/>
  <c r="M29" i="67"/>
  <c r="F7" i="67"/>
  <c r="F43" i="67"/>
  <c r="E273" i="3" l="1"/>
  <c r="E155" i="3"/>
  <c r="E82" i="3"/>
  <c r="E212" i="3"/>
  <c r="E477" i="3"/>
  <c r="E369" i="3"/>
  <c r="K16" i="1"/>
  <c r="E318" i="3"/>
  <c r="AO6" i="3"/>
  <c r="E113" i="3"/>
  <c r="E72" i="3"/>
  <c r="E577" i="3"/>
  <c r="E112" i="3"/>
  <c r="E527" i="3"/>
  <c r="AK6" i="3"/>
  <c r="E234" i="3"/>
  <c r="E83" i="3"/>
  <c r="E45" i="3"/>
  <c r="E430" i="3"/>
  <c r="E497" i="3"/>
  <c r="C49" i="15"/>
  <c r="E384" i="3"/>
  <c r="E453" i="3"/>
  <c r="E368" i="3"/>
  <c r="E248" i="3"/>
  <c r="E473" i="3"/>
  <c r="E27" i="3"/>
  <c r="E542" i="3"/>
  <c r="E214" i="3"/>
  <c r="E409" i="3"/>
  <c r="E242" i="3"/>
  <c r="E62" i="39"/>
  <c r="E223" i="3"/>
  <c r="E271" i="3"/>
  <c r="E574" i="3"/>
  <c r="E560" i="3"/>
  <c r="E413" i="3"/>
  <c r="W7" i="36"/>
  <c r="W7" i="37"/>
  <c r="D26" i="43"/>
  <c r="C25" i="43" s="1"/>
  <c r="T60" i="71"/>
  <c r="C19" i="71"/>
  <c r="T20" i="71"/>
  <c r="P65" i="71"/>
  <c r="P66" i="71"/>
  <c r="U7" i="36"/>
  <c r="E30" i="6"/>
  <c r="S16" i="71"/>
  <c r="E59" i="40"/>
  <c r="N66" i="71"/>
  <c r="N65" i="71"/>
  <c r="E187"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110" i="3"/>
  <c r="E200" i="3"/>
  <c r="E24" i="3"/>
  <c r="E179" i="3"/>
  <c r="E105" i="3"/>
  <c r="E440" i="3"/>
  <c r="E483" i="3"/>
  <c r="E198" i="3"/>
  <c r="E332" i="3"/>
  <c r="E60" i="3"/>
  <c r="E455" i="3"/>
  <c r="E137" i="3"/>
  <c r="E299" i="3"/>
  <c r="AQ6" i="3"/>
  <c r="E147" i="3"/>
  <c r="E102" i="3"/>
  <c r="E287" i="3"/>
  <c r="E205" i="3"/>
  <c r="E405" i="3"/>
  <c r="AP6" i="3"/>
  <c r="E115" i="3"/>
  <c r="E95" i="3"/>
  <c r="E281" i="3"/>
  <c r="E331" i="3"/>
  <c r="E447" i="3"/>
  <c r="E478" i="3"/>
  <c r="E269" i="3"/>
  <c r="E351" i="3"/>
  <c r="E450" i="3"/>
  <c r="E458" i="3"/>
  <c r="E99" i="3"/>
  <c r="E374" i="3"/>
  <c r="E312" i="3"/>
  <c r="E390" i="3"/>
  <c r="E328" i="3"/>
  <c r="E53" i="3"/>
  <c r="E211" i="3"/>
  <c r="E557" i="3"/>
  <c r="Z6" i="3"/>
  <c r="E227" i="3"/>
  <c r="E146" i="3"/>
  <c r="E587" i="3"/>
  <c r="K6" i="3"/>
  <c r="E181" i="3"/>
  <c r="E466" i="3"/>
  <c r="E536" i="3"/>
  <c r="E233" i="3"/>
  <c r="E195" i="3"/>
  <c r="E76" i="3"/>
  <c r="E57" i="3"/>
  <c r="E554" i="3"/>
  <c r="E197" i="3"/>
  <c r="E80" i="3"/>
  <c r="E52" i="3"/>
  <c r="E194" i="3"/>
  <c r="E540" i="3"/>
  <c r="E139" i="3"/>
  <c r="E376" i="3"/>
  <c r="E373" i="3"/>
  <c r="E249" i="3"/>
  <c r="E241" i="3"/>
  <c r="E427" i="3"/>
  <c r="E33" i="3"/>
  <c r="E108" i="3"/>
  <c r="E463" i="3"/>
  <c r="E47" i="3"/>
  <c r="E210" i="3"/>
  <c r="AS6" i="3"/>
  <c r="E515" i="3"/>
  <c r="E549" i="3"/>
  <c r="E150" i="3"/>
  <c r="E571" i="3"/>
  <c r="E573" i="3"/>
  <c r="E314" i="3"/>
  <c r="E416" i="3"/>
  <c r="E167" i="3"/>
  <c r="E285" i="3"/>
  <c r="E426" i="3"/>
  <c r="E109" i="3"/>
  <c r="E70" i="3"/>
  <c r="E345" i="3"/>
  <c r="E327" i="3"/>
  <c r="E362" i="3"/>
  <c r="E106" i="3"/>
  <c r="E465" i="3"/>
  <c r="E277" i="3"/>
  <c r="E568" i="3"/>
  <c r="E502" i="3"/>
  <c r="E309" i="3"/>
  <c r="E144" i="3"/>
  <c r="E65" i="3"/>
  <c r="E363" i="3"/>
  <c r="E39" i="3"/>
  <c r="E408" i="3"/>
  <c r="E326" i="3"/>
  <c r="E340" i="3"/>
  <c r="E325" i="3"/>
  <c r="E78" i="3"/>
  <c r="E356" i="3"/>
  <c r="E40" i="3"/>
  <c r="E543" i="3"/>
  <c r="E341" i="3"/>
  <c r="E98" i="3"/>
  <c r="E446" i="3"/>
  <c r="E41" i="3"/>
  <c r="E222" i="3"/>
  <c r="E66" i="3"/>
  <c r="E441" i="3"/>
  <c r="E162" i="3"/>
  <c r="E505" i="3"/>
  <c r="E585" i="3"/>
  <c r="E31" i="3"/>
  <c r="E111" i="3"/>
  <c r="E562" i="3"/>
  <c r="E193" i="3"/>
  <c r="E85" i="3"/>
  <c r="E487" i="3"/>
  <c r="E510" i="3"/>
  <c r="E359" i="3"/>
  <c r="E153" i="3"/>
  <c r="E377" i="3"/>
  <c r="E28" i="3"/>
  <c r="E400" i="3"/>
  <c r="E89" i="3"/>
  <c r="E315" i="3"/>
  <c r="E454" i="3"/>
  <c r="E472" i="3"/>
  <c r="E228" i="3"/>
  <c r="E77" i="3"/>
  <c r="E286" i="3"/>
  <c r="E118" i="3"/>
  <c r="E354" i="3"/>
  <c r="E425" i="3"/>
  <c r="E297" i="3"/>
  <c r="E520" i="3"/>
  <c r="E469" i="3"/>
  <c r="E308" i="3"/>
  <c r="E289" i="3"/>
  <c r="E339" i="3"/>
  <c r="E79" i="3"/>
  <c r="E391" i="3"/>
  <c r="E420" i="3"/>
  <c r="E493" i="3"/>
  <c r="E250" i="3"/>
  <c r="E462" i="3"/>
  <c r="Q60" i="15"/>
  <c r="E16" i="6"/>
  <c r="Q73" i="67"/>
  <c r="Q74" i="67"/>
  <c r="J5" i="15"/>
  <c r="J24" i="15" s="1"/>
  <c r="F1" i="67"/>
  <c r="F58" i="85"/>
  <c r="AA7" i="36"/>
  <c r="R36" i="36" s="1"/>
  <c r="R37"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Y6" i="3"/>
  <c r="AY144" i="3" s="1"/>
  <c r="AB33" i="33"/>
  <c r="U33" i="33"/>
  <c r="AC33" i="33"/>
  <c r="W33" i="33"/>
  <c r="T36" i="71"/>
  <c r="D36" i="71"/>
  <c r="D64" i="71"/>
  <c r="T64" i="71"/>
  <c r="L36" i="43"/>
  <c r="L37" i="43" s="1"/>
  <c r="I18" i="81"/>
  <c r="C18" i="81" s="1"/>
  <c r="E16" i="81" s="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AY253" i="3"/>
  <c r="AY382" i="3"/>
  <c r="AY108" i="3"/>
  <c r="AY379" i="3"/>
  <c r="AY572" i="3"/>
  <c r="AY99" i="3"/>
  <c r="AY63" i="3"/>
  <c r="AY560" i="3"/>
  <c r="AY432" i="3"/>
  <c r="AY15" i="3"/>
  <c r="AY62" i="3"/>
  <c r="AY172" i="3"/>
  <c r="AY386" i="3"/>
  <c r="M18" i="9"/>
  <c r="B118" i="9" s="1"/>
  <c r="B1" i="74" s="1"/>
  <c r="D3" i="33"/>
  <c r="C39" i="43"/>
  <c r="C42" i="43"/>
  <c r="E42" i="43" s="1"/>
  <c r="C38" i="43"/>
  <c r="U7" i="37"/>
  <c r="G67" i="39"/>
  <c r="F69" i="39"/>
  <c r="I53" i="34"/>
  <c r="J53" i="34" s="1"/>
  <c r="F58" i="21"/>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10" i="15"/>
  <c r="C5" i="15" s="1"/>
  <c r="C38" i="15" s="1"/>
  <c r="F25" i="12"/>
  <c r="F22" i="69"/>
  <c r="F41" i="69" s="1"/>
  <c r="F24" i="67"/>
  <c r="C24" i="67" s="1"/>
  <c r="F22" i="11"/>
  <c r="F22" i="68"/>
  <c r="F24" i="15"/>
  <c r="C24" i="15" s="1"/>
  <c r="C35" i="9"/>
  <c r="M27" i="67"/>
  <c r="C16" i="67"/>
  <c r="M27" i="15"/>
  <c r="F41" i="15"/>
  <c r="AE6" i="1"/>
  <c r="C48" i="15" l="1"/>
  <c r="C66" i="15" s="1"/>
  <c r="AY43" i="3"/>
  <c r="AY429" i="3"/>
  <c r="AY157" i="3"/>
  <c r="BL6" i="3"/>
  <c r="AY25" i="3"/>
  <c r="AY563" i="3"/>
  <c r="AY329" i="3"/>
  <c r="AY349" i="3"/>
  <c r="AY351" i="3"/>
  <c r="BD6" i="3"/>
  <c r="AY520" i="3"/>
  <c r="AY45" i="3"/>
  <c r="AC6" i="3"/>
  <c r="AY47" i="3"/>
  <c r="AY344" i="3"/>
  <c r="AY332" i="3"/>
  <c r="AY17" i="3"/>
  <c r="AY177" i="3"/>
  <c r="AY527" i="3"/>
  <c r="AY515" i="3"/>
  <c r="AY272" i="3"/>
  <c r="AY338" i="3"/>
  <c r="AY542" i="3"/>
  <c r="AY234" i="3"/>
  <c r="AY449" i="3"/>
  <c r="AY447" i="3"/>
  <c r="AY433" i="3"/>
  <c r="AY200" i="3"/>
  <c r="AY434" i="3"/>
  <c r="AY39" i="3"/>
  <c r="AY224" i="3"/>
  <c r="AY362" i="3"/>
  <c r="AY14" i="3"/>
  <c r="AY137" i="3"/>
  <c r="AY181" i="3"/>
  <c r="AY334" i="3"/>
  <c r="AY554" i="3"/>
  <c r="AY228" i="3"/>
  <c r="AY293" i="3"/>
  <c r="AY456" i="3"/>
  <c r="AY82" i="3"/>
  <c r="AY95" i="3"/>
  <c r="AY492" i="3"/>
  <c r="AY54" i="3"/>
  <c r="AY241" i="3"/>
  <c r="BT6" i="3"/>
  <c r="AY107" i="3"/>
  <c r="AY320" i="3"/>
  <c r="AY13" i="3"/>
  <c r="AY352" i="3"/>
  <c r="AY277" i="3"/>
  <c r="AY232" i="3"/>
  <c r="AY407" i="3"/>
  <c r="AY194" i="3"/>
  <c r="AY384" i="3"/>
  <c r="AY464" i="3"/>
  <c r="AY98" i="3"/>
  <c r="AY214" i="3"/>
  <c r="AY409" i="3"/>
  <c r="AY400" i="3"/>
  <c r="AY485" i="3"/>
  <c r="AY267" i="3"/>
  <c r="AY383" i="3"/>
  <c r="AY142" i="3"/>
  <c r="AY184" i="3"/>
  <c r="AY135" i="3"/>
  <c r="AY458" i="3"/>
  <c r="AY101" i="3"/>
  <c r="AY198" i="3"/>
  <c r="AY186" i="3"/>
  <c r="BM6" i="3"/>
  <c r="AY118" i="3"/>
  <c r="AY204" i="3"/>
  <c r="AY476" i="3"/>
  <c r="AY576" i="3"/>
  <c r="AY336" i="3"/>
  <c r="AY378" i="3"/>
  <c r="AY506" i="3"/>
  <c r="AY158" i="3"/>
  <c r="BB6" i="3"/>
  <c r="AY403" i="3"/>
  <c r="AY163" i="3"/>
  <c r="AY381" i="3"/>
  <c r="AY180" i="3"/>
  <c r="AY307" i="3"/>
  <c r="AY301" i="3"/>
  <c r="AY567" i="3"/>
  <c r="AY203" i="3"/>
  <c r="AY511" i="3"/>
  <c r="AY91" i="3"/>
  <c r="AY46" i="3"/>
  <c r="AY312" i="3"/>
  <c r="AY543" i="3"/>
  <c r="AY436" i="3"/>
  <c r="AY271" i="3"/>
  <c r="AY488" i="3"/>
  <c r="AY28" i="3"/>
  <c r="AY303" i="3"/>
  <c r="AY240" i="3"/>
  <c r="AY322" i="3"/>
  <c r="AY448" i="3"/>
  <c r="AY439" i="3"/>
  <c r="AY489" i="3"/>
  <c r="AY210" i="3"/>
  <c r="AY111" i="3"/>
  <c r="AY566" i="3"/>
  <c r="AY547" i="3"/>
  <c r="AY493" i="3"/>
  <c r="AY337" i="3"/>
  <c r="AY440" i="3"/>
  <c r="AY530" i="3"/>
  <c r="AY218" i="3"/>
  <c r="AY128" i="3"/>
  <c r="AY558" i="3"/>
  <c r="AY249" i="3"/>
  <c r="AY578" i="3"/>
  <c r="AY364" i="3"/>
  <c r="AY48" i="3"/>
  <c r="AY503" i="3"/>
  <c r="AY255" i="3"/>
  <c r="AY325" i="3"/>
  <c r="AY85" i="3"/>
  <c r="AY510" i="3"/>
  <c r="AY231" i="3"/>
  <c r="AY541" i="3"/>
  <c r="AY470" i="3"/>
  <c r="AY521" i="3"/>
  <c r="AY257" i="3"/>
  <c r="AY408" i="3"/>
  <c r="AY545" i="3"/>
  <c r="AY396" i="3"/>
  <c r="AY375" i="3"/>
  <c r="AY330" i="3"/>
  <c r="AY575" i="3"/>
  <c r="AY298" i="3"/>
  <c r="AY490" i="3"/>
  <c r="AY148" i="3"/>
  <c r="AY437" i="3"/>
  <c r="AY285" i="3"/>
  <c r="AY570" i="3"/>
  <c r="AY426" i="3"/>
  <c r="AY380" i="3"/>
  <c r="AY65" i="3"/>
  <c r="AY406" i="3"/>
  <c r="AY141" i="3"/>
  <c r="AY292" i="3"/>
  <c r="AY243" i="3"/>
  <c r="AY574" i="3"/>
  <c r="BF6" i="3"/>
  <c r="AY290" i="3"/>
  <c r="AY294" i="3"/>
  <c r="BK6" i="3"/>
  <c r="AY363" i="3"/>
  <c r="AY152" i="3"/>
  <c r="AY443" i="3"/>
  <c r="AY143" i="3"/>
  <c r="AY359" i="3"/>
  <c r="AY538" i="3"/>
  <c r="AY153" i="3"/>
  <c r="AY136" i="3"/>
  <c r="AY233" i="3"/>
  <c r="AY431" i="3"/>
  <c r="AY32" i="3"/>
  <c r="AY354" i="3"/>
  <c r="AY38" i="3"/>
  <c r="AY469" i="3"/>
  <c r="AY156" i="3"/>
  <c r="AY565" i="3"/>
  <c r="AY468" i="3"/>
  <c r="AY251" i="3"/>
  <c r="AY582" i="3"/>
  <c r="AY309" i="3"/>
  <c r="AY69" i="3"/>
  <c r="AY523" i="3"/>
  <c r="BI6" i="3"/>
  <c r="AY390" i="3"/>
  <c r="AY427" i="3"/>
  <c r="AY24" i="3"/>
  <c r="AY138" i="3"/>
  <c r="AY465" i="3"/>
  <c r="AY74" i="3"/>
  <c r="AY34" i="3"/>
  <c r="AY477" i="3"/>
  <c r="AY164" i="3"/>
  <c r="AY248" i="3"/>
  <c r="AY415" i="3"/>
  <c r="AY21" i="3"/>
  <c r="AY195" i="3"/>
  <c r="AY120" i="3"/>
  <c r="AY450" i="3"/>
  <c r="AY586" i="3"/>
  <c r="AY391" i="3"/>
  <c r="AY55" i="3"/>
  <c r="AY346" i="3"/>
  <c r="AY192" i="3"/>
  <c r="AY524" i="3"/>
  <c r="AY471" i="3"/>
  <c r="AY287" i="3"/>
  <c r="AY494" i="3"/>
  <c r="AY258" i="3"/>
  <c r="AY540" i="3"/>
  <c r="AY532" i="3"/>
  <c r="AY211" i="3"/>
  <c r="AY526" i="3"/>
  <c r="AY446" i="3"/>
  <c r="AY104" i="3"/>
  <c r="AY201" i="3"/>
  <c r="AY358" i="3"/>
  <c r="AY196" i="3"/>
  <c r="AY87" i="3"/>
  <c r="E36" i="36"/>
  <c r="I3" i="81"/>
  <c r="C11" i="81" s="1"/>
  <c r="D37" i="11"/>
  <c r="D19" i="11"/>
  <c r="C19" i="11" s="1"/>
  <c r="C20" i="11" s="1"/>
  <c r="C28" i="11" s="1"/>
  <c r="C27" i="11" s="1"/>
  <c r="C17" i="4"/>
  <c r="B4" i="52" s="1"/>
  <c r="B43" i="72" s="1"/>
  <c r="D3" i="21"/>
  <c r="D3" i="37"/>
  <c r="D19" i="71"/>
  <c r="C18" i="71"/>
  <c r="R48" i="33"/>
  <c r="E48" i="33"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D22" i="6" s="1"/>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G58" i="85"/>
  <c r="E6" i="3"/>
  <c r="T40" i="71"/>
  <c r="D40" i="71"/>
  <c r="C10" i="67"/>
  <c r="C5" i="67" s="1"/>
  <c r="C38" i="67" s="1"/>
  <c r="C48" i="67"/>
  <c r="C66" i="67" s="1"/>
  <c r="J5" i="67"/>
  <c r="J24" i="67" s="1"/>
  <c r="F10" i="39"/>
  <c r="J10" i="40"/>
  <c r="F10" i="40"/>
  <c r="H10" i="40"/>
  <c r="H10" i="39"/>
  <c r="J10" i="39"/>
  <c r="F28" i="12"/>
  <c r="C29" i="12" s="1"/>
  <c r="D28" i="12" s="1"/>
  <c r="F27" i="11"/>
  <c r="F27" i="68"/>
  <c r="M36" i="43"/>
  <c r="Q36" i="43"/>
  <c r="P36" i="43"/>
  <c r="V48" i="33"/>
  <c r="I48" i="33" s="1"/>
  <c r="G53" i="33" s="1"/>
  <c r="H53" i="33" s="1"/>
  <c r="D3" i="34"/>
  <c r="D14" i="12"/>
  <c r="D17" i="12" s="1"/>
  <c r="C17" i="12" s="1"/>
  <c r="E6" i="6"/>
  <c r="D20" i="12" s="1"/>
  <c r="C20" i="12" s="1"/>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5" i="6"/>
  <c r="D15" i="6"/>
  <c r="D21" i="6"/>
  <c r="D24" i="6"/>
  <c r="D20" i="6"/>
  <c r="D26" i="6"/>
  <c r="D8" i="6"/>
  <c r="D14" i="6"/>
  <c r="D9" i="6"/>
  <c r="D29" i="6"/>
  <c r="H25" i="6"/>
  <c r="D19" i="6"/>
  <c r="M19" i="9" s="1"/>
  <c r="C118" i="9" s="1"/>
  <c r="B2" i="74" s="1"/>
  <c r="C18" i="4"/>
  <c r="D23" i="6"/>
  <c r="D5"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G52" i="33"/>
  <c r="H52"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C34" i="9"/>
  <c r="C14" i="67"/>
  <c r="F41" i="67"/>
  <c r="D10" i="69"/>
  <c r="C17" i="67"/>
  <c r="C17" i="15"/>
  <c r="C60" i="15" l="1"/>
  <c r="H22" i="6"/>
  <c r="C25" i="11"/>
  <c r="C22" i="11" s="1"/>
  <c r="D12" i="6"/>
  <c r="D10" i="6"/>
  <c r="C17" i="71"/>
  <c r="D18" i="71"/>
  <c r="D6" i="6"/>
  <c r="D10" i="68"/>
  <c r="C10" i="68" s="1"/>
  <c r="D30" i="6"/>
  <c r="H24" i="6"/>
  <c r="R24" i="6" s="1"/>
  <c r="R11" i="1" s="1"/>
  <c r="H21" i="6"/>
  <c r="F69" i="67"/>
  <c r="I52" i="33"/>
  <c r="J52" i="33" s="1"/>
  <c r="R49" i="33"/>
  <c r="C48" i="33" s="1"/>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C18" i="67"/>
  <c r="C15" i="67"/>
  <c r="H23" i="6"/>
  <c r="R23" i="6" s="1"/>
  <c r="R10" i="1" s="1"/>
  <c r="C30" i="43"/>
  <c r="B2" i="43" s="1"/>
  <c r="B3" i="43" s="1"/>
  <c r="C31" i="43"/>
  <c r="H20" i="6"/>
  <c r="R20" i="6" s="1"/>
  <c r="R7" i="1" s="1"/>
  <c r="E12" i="70"/>
  <c r="F34" i="11"/>
  <c r="F11" i="12"/>
  <c r="S16" i="1"/>
  <c r="E9" i="70"/>
  <c r="AR9" i="1"/>
  <c r="AQ9" i="1"/>
  <c r="T9" i="1"/>
  <c r="AQ11" i="1"/>
  <c r="AR11" i="1"/>
  <c r="T11" i="1"/>
  <c r="AR12" i="1"/>
  <c r="T12" i="1"/>
  <c r="AQ12" i="1"/>
  <c r="AQ10" i="1"/>
  <c r="T10" i="1"/>
  <c r="AR10" i="1"/>
  <c r="AR7" i="1"/>
  <c r="AQ7" i="1"/>
  <c r="T7" i="1"/>
  <c r="M27" i="6"/>
  <c r="I19" i="6"/>
  <c r="L18" i="9" s="1"/>
  <c r="D16" i="6"/>
  <c r="R26" i="6"/>
  <c r="R22" i="6"/>
  <c r="R9" i="1" s="1"/>
  <c r="C15" i="12"/>
  <c r="C12" i="12"/>
  <c r="D27" i="6"/>
  <c r="D8" i="74"/>
  <c r="D7" i="74"/>
  <c r="R21" i="6"/>
  <c r="R8" i="1" s="1"/>
  <c r="C10" i="69"/>
  <c r="D19" i="69"/>
  <c r="C4" i="52"/>
  <c r="B45" i="72" s="1"/>
  <c r="A10" i="51"/>
  <c r="B9" i="72" s="1"/>
  <c r="A7" i="51"/>
  <c r="B7" i="72" s="1"/>
  <c r="R25" i="6"/>
  <c r="R12" i="1" s="1"/>
  <c r="H69" i="39"/>
  <c r="I67" i="39"/>
  <c r="G65" i="40"/>
  <c r="H63" i="40"/>
  <c r="C43" i="37"/>
  <c r="C42" i="37"/>
  <c r="I48" i="35"/>
  <c r="H58" i="21"/>
  <c r="E47" i="37"/>
  <c r="F47" i="37" s="1"/>
  <c r="E46" i="37"/>
  <c r="F46" i="37" s="1"/>
  <c r="I47" i="37"/>
  <c r="J47" i="37" s="1"/>
  <c r="E53" i="33"/>
  <c r="F53" i="33" s="1"/>
  <c r="E52" i="33"/>
  <c r="F52" i="33" s="1"/>
  <c r="C33" i="15"/>
  <c r="C33" i="67"/>
  <c r="J19" i="67"/>
  <c r="E6" i="76"/>
  <c r="B6" i="76"/>
  <c r="C14" i="15"/>
  <c r="C49" i="33" l="1"/>
  <c r="D36" i="81" s="1"/>
  <c r="J8" i="81" s="1"/>
  <c r="C31" i="11"/>
  <c r="D19" i="68"/>
  <c r="D37" i="68" s="1"/>
  <c r="C37" i="68" s="1"/>
  <c r="D31" i="6"/>
  <c r="E2" i="70"/>
  <c r="C16" i="71"/>
  <c r="D17" i="71"/>
  <c r="I58" i="85"/>
  <c r="C8" i="69"/>
  <c r="C5" i="69" s="1"/>
  <c r="C23" i="69" s="1"/>
  <c r="B29" i="1"/>
  <c r="C19" i="67"/>
  <c r="C20" i="67" s="1"/>
  <c r="C26" i="67" s="1"/>
  <c r="T16" i="1"/>
  <c r="C18" i="15"/>
  <c r="C15" i="15"/>
  <c r="C36" i="11"/>
  <c r="C37" i="11"/>
  <c r="C23" i="12"/>
  <c r="C14" i="12"/>
  <c r="C16" i="12" s="1"/>
  <c r="H19" i="6"/>
  <c r="L19" i="9" s="1"/>
  <c r="S19" i="6"/>
  <c r="S27" i="6" s="1"/>
  <c r="I27" i="6"/>
  <c r="C19" i="69"/>
  <c r="C24" i="69" s="1"/>
  <c r="D37" i="69"/>
  <c r="C37" i="69" s="1"/>
  <c r="I5" i="6"/>
  <c r="I6" i="6"/>
  <c r="E2" i="76"/>
  <c r="B2" i="76"/>
  <c r="I69" i="39"/>
  <c r="J67" i="39"/>
  <c r="I63" i="40"/>
  <c r="H65" i="40"/>
  <c r="I58" i="21"/>
  <c r="J58" i="21" s="1"/>
  <c r="K58" i="21" s="1"/>
  <c r="L58" i="21" s="1"/>
  <c r="M58" i="21" s="1"/>
  <c r="N58" i="21" s="1"/>
  <c r="O58" i="21" s="1"/>
  <c r="H7" i="21" s="1"/>
  <c r="F7" i="21"/>
  <c r="J48" i="35"/>
  <c r="C19" i="68" l="1"/>
  <c r="C24" i="68" s="1"/>
  <c r="M23" i="43"/>
  <c r="T16" i="71"/>
  <c r="D16" i="71"/>
  <c r="U16" i="71" s="1"/>
  <c r="C15" i="71"/>
  <c r="J58" i="85"/>
  <c r="D21" i="9"/>
  <c r="C21" i="9"/>
  <c r="G21" i="9"/>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B3" i="76"/>
  <c r="J69" i="39"/>
  <c r="K67" i="39"/>
  <c r="U7" i="21"/>
  <c r="AB7" i="21"/>
  <c r="T48" i="21" s="1"/>
  <c r="G48" i="21" s="1"/>
  <c r="S7" i="21"/>
  <c r="AA7" i="21"/>
  <c r="R48" i="21" s="1"/>
  <c r="J63" i="40"/>
  <c r="I65" i="40"/>
  <c r="K48" i="35"/>
  <c r="L48" i="35" s="1"/>
  <c r="M48" i="35" s="1"/>
  <c r="N48" i="35" s="1"/>
  <c r="O48" i="35" s="1"/>
  <c r="H7" i="35" s="1"/>
  <c r="J7" i="35"/>
  <c r="W7" i="21" l="1"/>
  <c r="C14" i="71"/>
  <c r="D15" i="71"/>
  <c r="K58" i="85"/>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M21" i="67"/>
  <c r="D14" i="71" l="1"/>
  <c r="C13" i="71"/>
  <c r="L58" i="85"/>
  <c r="C25" i="68"/>
  <c r="C22" i="68" s="1"/>
  <c r="C31" i="68" s="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D13" i="71" l="1"/>
  <c r="C12" i="71"/>
  <c r="M58" i="85"/>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D12" i="71" l="1"/>
  <c r="U12" i="71" s="1"/>
  <c r="T12" i="71"/>
  <c r="C11" i="71"/>
  <c r="N58" i="85"/>
  <c r="O58" i="85" s="1"/>
  <c r="H7" i="85"/>
  <c r="L57" i="67"/>
  <c r="L60" i="67" s="1"/>
  <c r="L46" i="67" s="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D11" i="71"/>
  <c r="C10" i="71"/>
  <c r="AB7" i="85"/>
  <c r="T48" i="85" s="1"/>
  <c r="G48" i="85" s="1"/>
  <c r="U7" i="85"/>
  <c r="F7" i="85"/>
  <c r="J7" i="8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D2" i="36"/>
  <c r="D2" i="34"/>
  <c r="D2" i="35"/>
  <c r="D10" i="71" l="1"/>
  <c r="C9" i="71"/>
  <c r="W7" i="85"/>
  <c r="AC7" i="85"/>
  <c r="V48" i="85" s="1"/>
  <c r="I48" i="85" s="1"/>
  <c r="I52" i="85" s="1"/>
  <c r="J52" i="85" s="1"/>
  <c r="S7" i="85"/>
  <c r="AA7" i="85"/>
  <c r="R48" i="85" s="1"/>
  <c r="G52" i="85"/>
  <c r="H52" i="85"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AO8" i="1"/>
  <c r="AO7" i="1"/>
  <c r="AO12" i="1"/>
  <c r="AO9" i="1"/>
  <c r="AO10" i="1"/>
  <c r="G53" i="85" l="1"/>
  <c r="H53" i="85" s="1"/>
  <c r="C8" i="71"/>
  <c r="D9" i="71"/>
  <c r="R49" i="85"/>
  <c r="E48" i="85"/>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I53" i="85"/>
  <c r="J53" i="85" s="1"/>
  <c r="E52" i="85"/>
  <c r="F52" i="85" s="1"/>
  <c r="E53" i="85"/>
  <c r="F53" i="85" s="1"/>
  <c r="C48" i="85"/>
  <c r="C49" i="8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U21" i="81"/>
  <c r="U20" i="81" s="1"/>
  <c r="D37" i="81" s="1"/>
  <c r="B3" i="85"/>
  <c r="B2" i="85"/>
  <c r="C3" i="81" s="1"/>
  <c r="C4" i="81" s="1"/>
  <c r="C42" i="40"/>
  <c r="C43" i="40"/>
  <c r="E47" i="40"/>
  <c r="F47" i="40" s="1"/>
  <c r="E46" i="40"/>
  <c r="F46" i="40" s="1"/>
  <c r="I47" i="40"/>
  <c r="J47" i="40" s="1"/>
  <c r="C5" i="71" l="1"/>
  <c r="D5" i="71" s="1"/>
  <c r="M24" i="43" s="1"/>
  <c r="D6" i="71"/>
  <c r="B58" i="40"/>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C46" i="11" l="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J9" i="81" s="1"/>
  <c r="K24" i="81"/>
  <c r="G37" i="81" l="1"/>
  <c r="D38" i="81"/>
  <c r="E10" i="74" s="1"/>
  <c r="B10" i="74" s="1"/>
  <c r="D14" i="74" s="1"/>
  <c r="G14" i="74" s="1"/>
  <c r="B6" i="74" s="1"/>
  <c r="D6" i="74" s="1"/>
  <c r="C39" i="81" l="1"/>
  <c r="C40" i="81" s="1"/>
  <c r="J10" i="81"/>
  <c r="E39" i="81"/>
  <c r="E40" i="81" s="1"/>
  <c r="B5" i="74"/>
  <c r="D5" i="74" s="1"/>
  <c r="F14" i="74"/>
  <c r="E14" i="74"/>
  <c r="D45" i="9"/>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B18" authorId="0" shapeId="0">
      <text>
        <r>
          <rPr>
            <b/>
            <sz val="9"/>
            <color indexed="81"/>
            <rFont val="宋体"/>
            <family val="3"/>
            <charset val="134"/>
          </rPr>
          <t>作者:</t>
        </r>
        <r>
          <rPr>
            <sz val="9"/>
            <color indexed="81"/>
            <rFont val="宋体"/>
            <family val="3"/>
            <charset val="134"/>
          </rPr>
          <t xml:space="preserve">
原孙漺</t>
        </r>
      </text>
    </comment>
    <comment ref="B19" authorId="0" shapeId="0">
      <text>
        <r>
          <rPr>
            <b/>
            <sz val="9"/>
            <color indexed="81"/>
            <rFont val="宋体"/>
            <family val="3"/>
            <charset val="134"/>
          </rPr>
          <t>作者:</t>
        </r>
        <r>
          <rPr>
            <sz val="9"/>
            <color indexed="81"/>
            <rFont val="宋体"/>
            <family val="3"/>
            <charset val="134"/>
          </rPr>
          <t xml:space="preserve">
原朴圣默</t>
        </r>
      </text>
    </comment>
    <comment ref="B20" authorId="0" shapeId="0">
      <text>
        <r>
          <rPr>
            <b/>
            <sz val="9"/>
            <color indexed="81"/>
            <rFont val="宋体"/>
            <family val="3"/>
            <charset val="134"/>
          </rPr>
          <t>作者:</t>
        </r>
        <r>
          <rPr>
            <sz val="9"/>
            <color indexed="81"/>
            <rFont val="宋体"/>
            <family val="3"/>
            <charset val="134"/>
          </rPr>
          <t xml:space="preserve">
原曹震</t>
        </r>
      </text>
    </comment>
    <comment ref="B21" authorId="0" shapeId="0">
      <text>
        <r>
          <rPr>
            <b/>
            <sz val="9"/>
            <color indexed="81"/>
            <rFont val="宋体"/>
            <family val="3"/>
            <charset val="134"/>
          </rPr>
          <t>作者:</t>
        </r>
        <r>
          <rPr>
            <sz val="9"/>
            <color indexed="81"/>
            <rFont val="宋体"/>
            <family val="3"/>
            <charset val="134"/>
          </rPr>
          <t xml:space="preserve">
原刘海宁</t>
        </r>
      </text>
    </comment>
    <comment ref="B22" authorId="0" shapeId="0">
      <text>
        <r>
          <rPr>
            <b/>
            <sz val="9"/>
            <color indexed="81"/>
            <rFont val="宋体"/>
            <family val="3"/>
            <charset val="134"/>
          </rPr>
          <t>作者:</t>
        </r>
        <r>
          <rPr>
            <sz val="9"/>
            <color indexed="81"/>
            <rFont val="宋体"/>
            <family val="3"/>
            <charset val="134"/>
          </rPr>
          <t xml:space="preserve">
原李若男</t>
        </r>
      </text>
    </comment>
    <comment ref="B23" authorId="0" shapeId="0">
      <text>
        <r>
          <rPr>
            <b/>
            <sz val="9"/>
            <color indexed="81"/>
            <rFont val="宋体"/>
            <family val="3"/>
            <charset val="134"/>
          </rPr>
          <t>作者:</t>
        </r>
        <r>
          <rPr>
            <sz val="9"/>
            <color indexed="81"/>
            <rFont val="宋体"/>
            <family val="3"/>
            <charset val="134"/>
          </rPr>
          <t xml:space="preserve">
原赵辰</t>
        </r>
      </text>
    </comment>
    <comment ref="B24" authorId="0" shapeId="0">
      <text>
        <r>
          <rPr>
            <b/>
            <sz val="9"/>
            <color indexed="81"/>
            <rFont val="宋体"/>
            <family val="3"/>
            <charset val="134"/>
          </rPr>
          <t>作者:</t>
        </r>
        <r>
          <rPr>
            <sz val="9"/>
            <color indexed="81"/>
            <rFont val="宋体"/>
            <family val="3"/>
            <charset val="134"/>
          </rPr>
          <t xml:space="preserve">
原北京弓矢道体育文化发展有限公司</t>
        </r>
      </text>
    </comment>
    <comment ref="B29" authorId="0" shapeId="0">
      <text>
        <r>
          <rPr>
            <b/>
            <sz val="9"/>
            <color indexed="81"/>
            <rFont val="宋体"/>
            <family val="3"/>
            <charset val="134"/>
          </rPr>
          <t>作者:</t>
        </r>
        <r>
          <rPr>
            <sz val="9"/>
            <color indexed="81"/>
            <rFont val="宋体"/>
            <family val="3"/>
            <charset val="134"/>
          </rPr>
          <t xml:space="preserve">
原李迪平</t>
        </r>
      </text>
    </comment>
    <comment ref="B32" authorId="0" shapeId="0">
      <text>
        <r>
          <rPr>
            <b/>
            <sz val="9"/>
            <color indexed="81"/>
            <rFont val="宋体"/>
            <family val="3"/>
            <charset val="134"/>
          </rPr>
          <t>作者:</t>
        </r>
        <r>
          <rPr>
            <sz val="9"/>
            <color indexed="81"/>
            <rFont val="宋体"/>
            <family val="3"/>
            <charset val="134"/>
          </rPr>
          <t xml:space="preserve">
原盛霞</t>
        </r>
      </text>
    </comment>
    <comment ref="B34" authorId="0" shapeId="0">
      <text>
        <r>
          <rPr>
            <b/>
            <sz val="9"/>
            <color indexed="81"/>
            <rFont val="宋体"/>
            <family val="3"/>
            <charset val="134"/>
          </rPr>
          <t>作者:</t>
        </r>
        <r>
          <rPr>
            <sz val="9"/>
            <color indexed="81"/>
            <rFont val="宋体"/>
            <family val="3"/>
            <charset val="134"/>
          </rPr>
          <t xml:space="preserve">
原奥迈嘉海文化产业（北京）有限公司</t>
        </r>
      </text>
    </comment>
    <comment ref="B35" authorId="0" shapeId="0">
      <text>
        <r>
          <rPr>
            <b/>
            <sz val="9"/>
            <color indexed="81"/>
            <rFont val="宋体"/>
            <family val="3"/>
            <charset val="134"/>
          </rPr>
          <t>作者:</t>
        </r>
        <r>
          <rPr>
            <sz val="9"/>
            <color indexed="81"/>
            <rFont val="宋体"/>
            <family val="3"/>
            <charset val="134"/>
          </rPr>
          <t xml:space="preserve">
原奥迈嘉海文化产业（北京）有限公司</t>
        </r>
      </text>
    </comment>
    <comment ref="B38" authorId="0" shapeId="0">
      <text>
        <r>
          <rPr>
            <b/>
            <sz val="9"/>
            <color indexed="81"/>
            <rFont val="宋体"/>
            <family val="3"/>
            <charset val="134"/>
          </rPr>
          <t>作者:</t>
        </r>
        <r>
          <rPr>
            <sz val="9"/>
            <color indexed="81"/>
            <rFont val="宋体"/>
            <family val="3"/>
            <charset val="134"/>
          </rPr>
          <t xml:space="preserve">
原池程明</t>
        </r>
      </text>
    </comment>
    <comment ref="B39" authorId="0" shapeId="0">
      <text>
        <r>
          <rPr>
            <b/>
            <sz val="9"/>
            <color indexed="81"/>
            <rFont val="宋体"/>
            <family val="3"/>
            <charset val="134"/>
          </rPr>
          <t>作者:</t>
        </r>
        <r>
          <rPr>
            <sz val="9"/>
            <color indexed="81"/>
            <rFont val="宋体"/>
            <family val="3"/>
            <charset val="134"/>
          </rPr>
          <t xml:space="preserve">
原李骊</t>
        </r>
      </text>
    </comment>
    <comment ref="B45" authorId="0" shapeId="0">
      <text>
        <r>
          <rPr>
            <b/>
            <sz val="9"/>
            <color indexed="81"/>
            <rFont val="宋体"/>
            <family val="3"/>
            <charset val="134"/>
          </rPr>
          <t>作者:</t>
        </r>
        <r>
          <rPr>
            <sz val="9"/>
            <color indexed="81"/>
            <rFont val="宋体"/>
            <family val="3"/>
            <charset val="134"/>
          </rPr>
          <t xml:space="preserve">
原北京新淳室内设计咨询有限公司</t>
        </r>
      </text>
    </comment>
    <comment ref="B49" authorId="0" shapeId="0">
      <text>
        <r>
          <rPr>
            <b/>
            <sz val="9"/>
            <color indexed="81"/>
            <rFont val="宋体"/>
            <family val="3"/>
            <charset val="134"/>
          </rPr>
          <t>作者:</t>
        </r>
        <r>
          <rPr>
            <sz val="9"/>
            <color indexed="81"/>
            <rFont val="宋体"/>
            <family val="3"/>
            <charset val="134"/>
          </rPr>
          <t xml:space="preserve">
原刘佩辰</t>
        </r>
      </text>
    </comment>
    <comment ref="B50" authorId="0" shapeId="0">
      <text>
        <r>
          <rPr>
            <b/>
            <sz val="9"/>
            <color indexed="81"/>
            <rFont val="宋体"/>
            <family val="3"/>
            <charset val="134"/>
          </rPr>
          <t>作者:</t>
        </r>
        <r>
          <rPr>
            <sz val="9"/>
            <color indexed="81"/>
            <rFont val="宋体"/>
            <family val="3"/>
            <charset val="134"/>
          </rPr>
          <t xml:space="preserve">
原刘佩辰</t>
        </r>
      </text>
    </comment>
    <comment ref="B52" authorId="0" shapeId="0">
      <text>
        <r>
          <rPr>
            <b/>
            <sz val="9"/>
            <color indexed="81"/>
            <rFont val="宋体"/>
            <family val="3"/>
            <charset val="134"/>
          </rPr>
          <t>作者:</t>
        </r>
        <r>
          <rPr>
            <sz val="9"/>
            <color indexed="81"/>
            <rFont val="宋体"/>
            <family val="3"/>
            <charset val="134"/>
          </rPr>
          <t xml:space="preserve">
原郑振华</t>
        </r>
      </text>
    </comment>
    <comment ref="B53" authorId="0" shapeId="0">
      <text>
        <r>
          <rPr>
            <b/>
            <sz val="9"/>
            <color indexed="81"/>
            <rFont val="宋体"/>
            <family val="3"/>
            <charset val="134"/>
          </rPr>
          <t>作者:</t>
        </r>
        <r>
          <rPr>
            <sz val="9"/>
            <color indexed="81"/>
            <rFont val="宋体"/>
            <family val="3"/>
            <charset val="134"/>
          </rPr>
          <t xml:space="preserve">
原郑振华</t>
        </r>
      </text>
    </comment>
    <comment ref="B54" authorId="0" shapeId="0">
      <text>
        <r>
          <rPr>
            <b/>
            <sz val="9"/>
            <color indexed="81"/>
            <rFont val="宋体"/>
            <family val="3"/>
            <charset val="134"/>
          </rPr>
          <t>作者:</t>
        </r>
        <r>
          <rPr>
            <sz val="9"/>
            <color indexed="81"/>
            <rFont val="宋体"/>
            <family val="3"/>
            <charset val="134"/>
          </rPr>
          <t xml:space="preserve">
原郑振华</t>
        </r>
      </text>
    </comment>
    <comment ref="B55" authorId="0" shapeId="0">
      <text>
        <r>
          <rPr>
            <b/>
            <sz val="9"/>
            <color indexed="81"/>
            <rFont val="宋体"/>
            <family val="3"/>
            <charset val="134"/>
          </rPr>
          <t>作者:</t>
        </r>
        <r>
          <rPr>
            <sz val="9"/>
            <color indexed="81"/>
            <rFont val="宋体"/>
            <family val="3"/>
            <charset val="134"/>
          </rPr>
          <t xml:space="preserve">
原王璇</t>
        </r>
      </text>
    </comment>
    <comment ref="B56" authorId="0" shapeId="0">
      <text>
        <r>
          <rPr>
            <b/>
            <sz val="9"/>
            <color indexed="81"/>
            <rFont val="宋体"/>
            <family val="3"/>
            <charset val="134"/>
          </rPr>
          <t>作者:</t>
        </r>
        <r>
          <rPr>
            <sz val="9"/>
            <color indexed="81"/>
            <rFont val="宋体"/>
            <family val="3"/>
            <charset val="134"/>
          </rPr>
          <t xml:space="preserve">
原王璇</t>
        </r>
      </text>
    </comment>
    <comment ref="B57" authorId="0" shapeId="0">
      <text>
        <r>
          <rPr>
            <b/>
            <sz val="9"/>
            <color indexed="81"/>
            <rFont val="宋体"/>
            <family val="3"/>
            <charset val="134"/>
          </rPr>
          <t>作者:</t>
        </r>
        <r>
          <rPr>
            <sz val="9"/>
            <color indexed="81"/>
            <rFont val="宋体"/>
            <family val="3"/>
            <charset val="134"/>
          </rPr>
          <t xml:space="preserve">
原冉素霞</t>
        </r>
      </text>
    </comment>
    <comment ref="B59" authorId="0" shapeId="0">
      <text>
        <r>
          <rPr>
            <b/>
            <sz val="9"/>
            <color indexed="81"/>
            <rFont val="宋体"/>
            <family val="3"/>
            <charset val="134"/>
          </rPr>
          <t>作者:</t>
        </r>
        <r>
          <rPr>
            <sz val="9"/>
            <color indexed="81"/>
            <rFont val="宋体"/>
            <family val="3"/>
            <charset val="134"/>
          </rPr>
          <t xml:space="preserve">
原郭子峰</t>
        </r>
      </text>
    </comment>
    <comment ref="B60" authorId="0" shapeId="0">
      <text>
        <r>
          <rPr>
            <b/>
            <sz val="9"/>
            <color indexed="81"/>
            <rFont val="宋体"/>
            <family val="3"/>
            <charset val="134"/>
          </rPr>
          <t>作者:</t>
        </r>
        <r>
          <rPr>
            <sz val="9"/>
            <color indexed="81"/>
            <rFont val="宋体"/>
            <family val="3"/>
            <charset val="134"/>
          </rPr>
          <t xml:space="preserve">
原张增辉</t>
        </r>
      </text>
    </comment>
    <comment ref="B61" authorId="0" shapeId="0">
      <text>
        <r>
          <rPr>
            <b/>
            <sz val="9"/>
            <color indexed="81"/>
            <rFont val="宋体"/>
            <family val="3"/>
            <charset val="134"/>
          </rPr>
          <t>作者:</t>
        </r>
        <r>
          <rPr>
            <sz val="9"/>
            <color indexed="81"/>
            <rFont val="宋体"/>
            <family val="3"/>
            <charset val="134"/>
          </rPr>
          <t xml:space="preserve">
原李子康</t>
        </r>
      </text>
    </comment>
    <comment ref="B62" authorId="0" shapeId="0">
      <text>
        <r>
          <rPr>
            <b/>
            <sz val="9"/>
            <color indexed="81"/>
            <rFont val="宋体"/>
            <family val="3"/>
            <charset val="134"/>
          </rPr>
          <t>作者:</t>
        </r>
        <r>
          <rPr>
            <sz val="9"/>
            <color indexed="81"/>
            <rFont val="宋体"/>
            <family val="3"/>
            <charset val="134"/>
          </rPr>
          <t xml:space="preserve">
原刘宇</t>
        </r>
      </text>
    </comment>
    <comment ref="B63" authorId="0" shapeId="0">
      <text>
        <r>
          <rPr>
            <b/>
            <sz val="9"/>
            <color indexed="81"/>
            <rFont val="宋体"/>
            <family val="3"/>
            <charset val="134"/>
          </rPr>
          <t>作者:</t>
        </r>
        <r>
          <rPr>
            <sz val="9"/>
            <color indexed="81"/>
            <rFont val="宋体"/>
            <family val="3"/>
            <charset val="134"/>
          </rPr>
          <t xml:space="preserve">
原徐童垒</t>
        </r>
      </text>
    </comment>
    <comment ref="B64" authorId="0" shapeId="0">
      <text>
        <r>
          <rPr>
            <b/>
            <sz val="9"/>
            <color indexed="81"/>
            <rFont val="宋体"/>
            <family val="3"/>
            <charset val="134"/>
          </rPr>
          <t>作者:</t>
        </r>
        <r>
          <rPr>
            <sz val="9"/>
            <color indexed="81"/>
            <rFont val="宋体"/>
            <family val="3"/>
            <charset val="134"/>
          </rPr>
          <t xml:space="preserve">
原北京赛德阳光医院管理集团有限公司</t>
        </r>
      </text>
    </comment>
    <comment ref="B65" authorId="0" shapeId="0">
      <text>
        <r>
          <rPr>
            <b/>
            <sz val="9"/>
            <color indexed="81"/>
            <rFont val="宋体"/>
            <family val="3"/>
            <charset val="134"/>
          </rPr>
          <t>作者:</t>
        </r>
        <r>
          <rPr>
            <sz val="9"/>
            <color indexed="81"/>
            <rFont val="宋体"/>
            <family val="3"/>
            <charset val="134"/>
          </rPr>
          <t xml:space="preserve">
原徐东、石雅楠</t>
        </r>
      </text>
    </comment>
    <comment ref="B67" authorId="0" shapeId="0">
      <text>
        <r>
          <rPr>
            <b/>
            <sz val="9"/>
            <color indexed="81"/>
            <rFont val="宋体"/>
            <family val="3"/>
            <charset val="134"/>
          </rPr>
          <t>作者:</t>
        </r>
        <r>
          <rPr>
            <sz val="9"/>
            <color indexed="81"/>
            <rFont val="宋体"/>
            <family val="3"/>
            <charset val="134"/>
          </rPr>
          <t xml:space="preserve">
原北京海簋餐饮管理有限公司</t>
        </r>
      </text>
    </comment>
    <comment ref="B68" authorId="0" shapeId="0">
      <text>
        <r>
          <rPr>
            <b/>
            <sz val="9"/>
            <color indexed="81"/>
            <rFont val="宋体"/>
            <family val="3"/>
            <charset val="134"/>
          </rPr>
          <t>作者:</t>
        </r>
        <r>
          <rPr>
            <sz val="9"/>
            <color indexed="81"/>
            <rFont val="宋体"/>
            <family val="3"/>
            <charset val="134"/>
          </rPr>
          <t xml:space="preserve">
原顾春龙</t>
        </r>
      </text>
    </comment>
    <comment ref="B69" authorId="0" shapeId="0">
      <text>
        <r>
          <rPr>
            <b/>
            <sz val="9"/>
            <color indexed="81"/>
            <rFont val="宋体"/>
            <family val="3"/>
            <charset val="134"/>
          </rPr>
          <t>作者:</t>
        </r>
        <r>
          <rPr>
            <sz val="9"/>
            <color indexed="81"/>
            <rFont val="宋体"/>
            <family val="3"/>
            <charset val="134"/>
          </rPr>
          <t xml:space="preserve">
原北京畅捷达通讯有限公司</t>
        </r>
      </text>
    </comment>
    <comment ref="B70" authorId="0" shapeId="0">
      <text>
        <r>
          <rPr>
            <b/>
            <sz val="9"/>
            <color indexed="81"/>
            <rFont val="宋体"/>
            <family val="3"/>
            <charset val="134"/>
          </rPr>
          <t>作者:</t>
        </r>
        <r>
          <rPr>
            <sz val="9"/>
            <color indexed="81"/>
            <rFont val="宋体"/>
            <family val="3"/>
            <charset val="134"/>
          </rPr>
          <t xml:space="preserve">
原北京京华大鼎餐饮管理有限公司</t>
        </r>
      </text>
    </comment>
    <comment ref="B71" authorId="0" shapeId="0">
      <text>
        <r>
          <rPr>
            <b/>
            <sz val="9"/>
            <color indexed="81"/>
            <rFont val="宋体"/>
            <family val="3"/>
            <charset val="134"/>
          </rPr>
          <t>作者:</t>
        </r>
        <r>
          <rPr>
            <sz val="9"/>
            <color indexed="81"/>
            <rFont val="宋体"/>
            <family val="3"/>
            <charset val="134"/>
          </rPr>
          <t xml:space="preserve">
原谢云</t>
        </r>
      </text>
    </comment>
    <comment ref="B73" authorId="0" shapeId="0">
      <text>
        <r>
          <rPr>
            <b/>
            <sz val="9"/>
            <color indexed="81"/>
            <rFont val="宋体"/>
            <family val="3"/>
            <charset val="134"/>
          </rPr>
          <t>作者:</t>
        </r>
        <r>
          <rPr>
            <sz val="9"/>
            <color indexed="81"/>
            <rFont val="宋体"/>
            <family val="3"/>
            <charset val="134"/>
          </rPr>
          <t xml:space="preserve">
原邵如春</t>
        </r>
      </text>
    </comment>
    <comment ref="B75" authorId="0" shapeId="0">
      <text>
        <r>
          <rPr>
            <b/>
            <sz val="9"/>
            <color indexed="81"/>
            <rFont val="宋体"/>
            <family val="3"/>
            <charset val="134"/>
          </rPr>
          <t>作者:</t>
        </r>
        <r>
          <rPr>
            <sz val="9"/>
            <color indexed="81"/>
            <rFont val="宋体"/>
            <family val="3"/>
            <charset val="134"/>
          </rPr>
          <t xml:space="preserve">
原李娜</t>
        </r>
      </text>
    </comment>
    <comment ref="B76" authorId="0" shapeId="0">
      <text>
        <r>
          <rPr>
            <b/>
            <sz val="9"/>
            <color indexed="81"/>
            <rFont val="宋体"/>
            <family val="3"/>
            <charset val="134"/>
          </rPr>
          <t>作者:</t>
        </r>
        <r>
          <rPr>
            <sz val="9"/>
            <color indexed="81"/>
            <rFont val="宋体"/>
            <family val="3"/>
            <charset val="134"/>
          </rPr>
          <t xml:space="preserve">
原于汀</t>
        </r>
      </text>
    </comment>
    <comment ref="B77" authorId="0" shapeId="0">
      <text>
        <r>
          <rPr>
            <b/>
            <sz val="9"/>
            <color indexed="81"/>
            <rFont val="宋体"/>
            <family val="3"/>
            <charset val="134"/>
          </rPr>
          <t>作者:</t>
        </r>
        <r>
          <rPr>
            <sz val="9"/>
            <color indexed="81"/>
            <rFont val="宋体"/>
            <family val="3"/>
            <charset val="134"/>
          </rPr>
          <t xml:space="preserve">
原黑龙江省问鼎餐饮管理有限公司，北京爱姆餐饮有限公司变更</t>
        </r>
      </text>
    </comment>
    <comment ref="B83" authorId="0" shapeId="0">
      <text>
        <r>
          <rPr>
            <b/>
            <sz val="9"/>
            <color indexed="81"/>
            <rFont val="宋体"/>
            <family val="3"/>
            <charset val="134"/>
          </rPr>
          <t>作者:</t>
        </r>
        <r>
          <rPr>
            <sz val="9"/>
            <color indexed="81"/>
            <rFont val="宋体"/>
            <family val="3"/>
            <charset val="134"/>
          </rPr>
          <t xml:space="preserve">
原纯友丽（北京）商贸有限公司</t>
        </r>
      </text>
    </comment>
    <comment ref="B85" authorId="0" shapeId="0">
      <text>
        <r>
          <rPr>
            <b/>
            <sz val="9"/>
            <color indexed="81"/>
            <rFont val="宋体"/>
            <family val="3"/>
            <charset val="134"/>
          </rPr>
          <t>作者:</t>
        </r>
        <r>
          <rPr>
            <sz val="9"/>
            <color indexed="81"/>
            <rFont val="宋体"/>
            <family val="3"/>
            <charset val="134"/>
          </rPr>
          <t xml:space="preserve">
原郝庆</t>
        </r>
      </text>
    </comment>
    <comment ref="B88" authorId="0" shapeId="0">
      <text>
        <r>
          <rPr>
            <b/>
            <sz val="9"/>
            <color indexed="81"/>
            <rFont val="宋体"/>
            <family val="3"/>
            <charset val="134"/>
          </rPr>
          <t>作者:</t>
        </r>
        <r>
          <rPr>
            <sz val="9"/>
            <color indexed="81"/>
            <rFont val="宋体"/>
            <family val="3"/>
            <charset val="134"/>
          </rPr>
          <t xml:space="preserve">
原王小淳</t>
        </r>
      </text>
    </comment>
    <comment ref="B90" authorId="0" shapeId="0">
      <text>
        <r>
          <rPr>
            <b/>
            <sz val="9"/>
            <color indexed="81"/>
            <rFont val="宋体"/>
            <family val="3"/>
            <charset val="134"/>
          </rPr>
          <t>作者:</t>
        </r>
        <r>
          <rPr>
            <sz val="9"/>
            <color indexed="81"/>
            <rFont val="宋体"/>
            <family val="3"/>
            <charset val="134"/>
          </rPr>
          <t xml:space="preserve">
原李圣楠</t>
        </r>
      </text>
    </comment>
    <comment ref="B91" authorId="0" shapeId="0">
      <text>
        <r>
          <rPr>
            <b/>
            <sz val="9"/>
            <color indexed="81"/>
            <rFont val="宋体"/>
            <family val="3"/>
            <charset val="134"/>
          </rPr>
          <t>作者:</t>
        </r>
        <r>
          <rPr>
            <sz val="9"/>
            <color indexed="81"/>
            <rFont val="宋体"/>
            <family val="3"/>
            <charset val="134"/>
          </rPr>
          <t xml:space="preserve">
原曹瑞邦</t>
        </r>
      </text>
    </comment>
    <comment ref="B92" authorId="0" shapeId="0">
      <text>
        <r>
          <rPr>
            <b/>
            <sz val="9"/>
            <color indexed="81"/>
            <rFont val="宋体"/>
            <family val="3"/>
            <charset val="134"/>
          </rPr>
          <t>作者:</t>
        </r>
        <r>
          <rPr>
            <sz val="9"/>
            <color indexed="81"/>
            <rFont val="宋体"/>
            <family val="3"/>
            <charset val="134"/>
          </rPr>
          <t xml:space="preserve">
原张桐</t>
        </r>
      </text>
    </comment>
    <comment ref="B93" authorId="0" shapeId="0">
      <text>
        <r>
          <rPr>
            <b/>
            <sz val="9"/>
            <color indexed="81"/>
            <rFont val="宋体"/>
            <family val="3"/>
            <charset val="134"/>
          </rPr>
          <t>作者:</t>
        </r>
        <r>
          <rPr>
            <sz val="9"/>
            <color indexed="81"/>
            <rFont val="宋体"/>
            <family val="3"/>
            <charset val="134"/>
          </rPr>
          <t xml:space="preserve">
原田园子，后变为海南艾利维森健身文化有限公司</t>
        </r>
      </text>
    </comment>
    <comment ref="B94" authorId="0" shapeId="0">
      <text>
        <r>
          <rPr>
            <b/>
            <sz val="9"/>
            <color indexed="81"/>
            <rFont val="宋体"/>
            <family val="3"/>
            <charset val="134"/>
          </rPr>
          <t>作者:</t>
        </r>
        <r>
          <rPr>
            <sz val="9"/>
            <color indexed="81"/>
            <rFont val="宋体"/>
            <family val="3"/>
            <charset val="134"/>
          </rPr>
          <t xml:space="preserve">
原李若男</t>
        </r>
      </text>
    </comment>
    <comment ref="B95" authorId="0" shapeId="0">
      <text>
        <r>
          <rPr>
            <b/>
            <sz val="9"/>
            <color indexed="81"/>
            <rFont val="宋体"/>
            <family val="3"/>
            <charset val="134"/>
          </rPr>
          <t>作者:</t>
        </r>
        <r>
          <rPr>
            <sz val="9"/>
            <color indexed="81"/>
            <rFont val="宋体"/>
            <family val="3"/>
            <charset val="134"/>
          </rPr>
          <t xml:space="preserve">
原张涛</t>
        </r>
      </text>
    </comment>
    <comment ref="B96" authorId="0" shapeId="0">
      <text>
        <r>
          <rPr>
            <b/>
            <sz val="9"/>
            <color indexed="81"/>
            <rFont val="宋体"/>
            <family val="3"/>
            <charset val="134"/>
          </rPr>
          <t>作者:</t>
        </r>
        <r>
          <rPr>
            <sz val="9"/>
            <color indexed="81"/>
            <rFont val="宋体"/>
            <family val="3"/>
            <charset val="134"/>
          </rPr>
          <t xml:space="preserve">
原歌尔丝德（北京）形象设计有限公司</t>
        </r>
      </text>
    </comment>
    <comment ref="B98" authorId="0" shapeId="0">
      <text>
        <r>
          <rPr>
            <b/>
            <sz val="9"/>
            <color indexed="81"/>
            <rFont val="宋体"/>
            <family val="3"/>
            <charset val="134"/>
          </rPr>
          <t>作者:</t>
        </r>
        <r>
          <rPr>
            <sz val="9"/>
            <color indexed="81"/>
            <rFont val="宋体"/>
            <family val="3"/>
            <charset val="134"/>
          </rPr>
          <t xml:space="preserve">
原牛颍</t>
        </r>
      </text>
    </comment>
    <comment ref="B100" authorId="0" shapeId="0">
      <text>
        <r>
          <rPr>
            <b/>
            <sz val="9"/>
            <color indexed="81"/>
            <rFont val="宋体"/>
            <family val="3"/>
            <charset val="134"/>
          </rPr>
          <t>作者:</t>
        </r>
        <r>
          <rPr>
            <sz val="9"/>
            <color indexed="81"/>
            <rFont val="宋体"/>
            <family val="3"/>
            <charset val="134"/>
          </rPr>
          <t xml:space="preserve">
原周冬升</t>
        </r>
      </text>
    </comment>
    <comment ref="B103" authorId="0" shapeId="0">
      <text>
        <r>
          <rPr>
            <b/>
            <sz val="9"/>
            <color indexed="81"/>
            <rFont val="宋体"/>
            <family val="3"/>
            <charset val="134"/>
          </rPr>
          <t>作者:</t>
        </r>
        <r>
          <rPr>
            <sz val="9"/>
            <color indexed="81"/>
            <rFont val="宋体"/>
            <family val="3"/>
            <charset val="134"/>
          </rPr>
          <t xml:space="preserve">
原袁海波</t>
        </r>
      </text>
    </comment>
    <comment ref="B104" authorId="0" shapeId="0">
      <text>
        <r>
          <rPr>
            <b/>
            <sz val="9"/>
            <color indexed="81"/>
            <rFont val="宋体"/>
            <family val="3"/>
            <charset val="134"/>
          </rPr>
          <t>作者:</t>
        </r>
        <r>
          <rPr>
            <sz val="9"/>
            <color indexed="81"/>
            <rFont val="宋体"/>
            <family val="3"/>
            <charset val="134"/>
          </rPr>
          <t xml:space="preserve">
原北京裕学教育科技有限公司</t>
        </r>
      </text>
    </comment>
    <comment ref="B106" authorId="0" shapeId="0">
      <text>
        <r>
          <rPr>
            <b/>
            <sz val="9"/>
            <color indexed="81"/>
            <rFont val="宋体"/>
            <family val="3"/>
            <charset val="134"/>
          </rPr>
          <t>作者:</t>
        </r>
        <r>
          <rPr>
            <sz val="9"/>
            <color indexed="81"/>
            <rFont val="宋体"/>
            <family val="3"/>
            <charset val="134"/>
          </rPr>
          <t xml:space="preserve">
原肖银伟</t>
        </r>
      </text>
    </comment>
    <comment ref="B107" authorId="0" shapeId="0">
      <text>
        <r>
          <rPr>
            <b/>
            <sz val="9"/>
            <color indexed="81"/>
            <rFont val="宋体"/>
            <family val="3"/>
            <charset val="134"/>
          </rPr>
          <t>作者:</t>
        </r>
        <r>
          <rPr>
            <sz val="9"/>
            <color indexed="81"/>
            <rFont val="宋体"/>
            <family val="3"/>
            <charset val="134"/>
          </rPr>
          <t xml:space="preserve">
原李怡然</t>
        </r>
      </text>
    </comment>
    <comment ref="B108" authorId="0" shapeId="0">
      <text>
        <r>
          <rPr>
            <b/>
            <sz val="9"/>
            <color indexed="81"/>
            <rFont val="宋体"/>
            <family val="3"/>
            <charset val="134"/>
          </rPr>
          <t>作者:</t>
        </r>
        <r>
          <rPr>
            <sz val="9"/>
            <color indexed="81"/>
            <rFont val="宋体"/>
            <family val="3"/>
            <charset val="134"/>
          </rPr>
          <t xml:space="preserve">
原彭伟</t>
        </r>
      </text>
    </comment>
    <comment ref="B109" authorId="0" shapeId="0">
      <text>
        <r>
          <rPr>
            <b/>
            <sz val="9"/>
            <color indexed="81"/>
            <rFont val="宋体"/>
            <family val="3"/>
            <charset val="134"/>
          </rPr>
          <t>作者:</t>
        </r>
        <r>
          <rPr>
            <sz val="9"/>
            <color indexed="81"/>
            <rFont val="宋体"/>
            <family val="3"/>
            <charset val="134"/>
          </rPr>
          <t xml:space="preserve">
原彭伟</t>
        </r>
      </text>
    </comment>
    <comment ref="B110" authorId="0" shapeId="0">
      <text>
        <r>
          <rPr>
            <b/>
            <sz val="9"/>
            <color indexed="81"/>
            <rFont val="宋体"/>
            <family val="3"/>
            <charset val="134"/>
          </rPr>
          <t>作者:</t>
        </r>
        <r>
          <rPr>
            <sz val="9"/>
            <color indexed="81"/>
            <rFont val="宋体"/>
            <family val="3"/>
            <charset val="134"/>
          </rPr>
          <t xml:space="preserve">
原马兴振</t>
        </r>
      </text>
    </comment>
    <comment ref="B111" authorId="0" shapeId="0">
      <text>
        <r>
          <rPr>
            <b/>
            <sz val="9"/>
            <color indexed="81"/>
            <rFont val="宋体"/>
            <family val="3"/>
            <charset val="134"/>
          </rPr>
          <t>作者:</t>
        </r>
        <r>
          <rPr>
            <sz val="9"/>
            <color indexed="81"/>
            <rFont val="宋体"/>
            <family val="3"/>
            <charset val="134"/>
          </rPr>
          <t xml:space="preserve">
原铂林眼科医院集团有限公司
</t>
        </r>
      </text>
    </comment>
    <comment ref="B112" authorId="0" shapeId="0">
      <text>
        <r>
          <rPr>
            <b/>
            <sz val="9"/>
            <color indexed="81"/>
            <rFont val="宋体"/>
            <family val="3"/>
            <charset val="134"/>
          </rPr>
          <t>作者:</t>
        </r>
        <r>
          <rPr>
            <sz val="9"/>
            <color indexed="81"/>
            <rFont val="宋体"/>
            <family val="3"/>
            <charset val="134"/>
          </rPr>
          <t xml:space="preserve">
原于淼</t>
        </r>
      </text>
    </comment>
    <comment ref="B114" authorId="0" shapeId="0">
      <text>
        <r>
          <rPr>
            <b/>
            <sz val="9"/>
            <color indexed="81"/>
            <rFont val="宋体"/>
            <family val="3"/>
            <charset val="134"/>
          </rPr>
          <t>作者:</t>
        </r>
        <r>
          <rPr>
            <sz val="9"/>
            <color indexed="81"/>
            <rFont val="宋体"/>
            <family val="3"/>
            <charset val="134"/>
          </rPr>
          <t xml:space="preserve">
北京自如生活企业管理有限公司</t>
        </r>
      </text>
    </comment>
    <comment ref="B117" authorId="0" shapeId="0">
      <text>
        <r>
          <rPr>
            <b/>
            <sz val="9"/>
            <color indexed="81"/>
            <rFont val="宋体"/>
            <family val="3"/>
            <charset val="134"/>
          </rPr>
          <t>作者:</t>
        </r>
        <r>
          <rPr>
            <sz val="9"/>
            <color indexed="81"/>
            <rFont val="宋体"/>
            <family val="3"/>
            <charset val="134"/>
          </rPr>
          <t xml:space="preserve">
原胡焱芮</t>
        </r>
      </text>
    </comment>
    <comment ref="B119" authorId="0" shapeId="0">
      <text>
        <r>
          <rPr>
            <b/>
            <sz val="9"/>
            <color indexed="81"/>
            <rFont val="宋体"/>
            <family val="3"/>
            <charset val="134"/>
          </rPr>
          <t>作者:</t>
        </r>
        <r>
          <rPr>
            <sz val="9"/>
            <color indexed="81"/>
            <rFont val="宋体"/>
            <family val="3"/>
            <charset val="134"/>
          </rPr>
          <t xml:space="preserve">
原谢宏儒</t>
        </r>
      </text>
    </comment>
    <comment ref="B121" authorId="0" shapeId="0">
      <text>
        <r>
          <rPr>
            <b/>
            <sz val="9"/>
            <color indexed="81"/>
            <rFont val="宋体"/>
            <family val="3"/>
            <charset val="134"/>
          </rPr>
          <t>作者:</t>
        </r>
        <r>
          <rPr>
            <sz val="9"/>
            <color indexed="81"/>
            <rFont val="宋体"/>
            <family val="3"/>
            <charset val="134"/>
          </rPr>
          <t xml:space="preserve">
原王可祥</t>
        </r>
      </text>
    </comment>
    <comment ref="B124" authorId="0" shapeId="0">
      <text>
        <r>
          <rPr>
            <b/>
            <sz val="9"/>
            <color indexed="81"/>
            <rFont val="宋体"/>
            <family val="3"/>
            <charset val="134"/>
          </rPr>
          <t>作者:</t>
        </r>
        <r>
          <rPr>
            <sz val="9"/>
            <color indexed="81"/>
            <rFont val="宋体"/>
            <family val="3"/>
            <charset val="134"/>
          </rPr>
          <t xml:space="preserve">
原唐焕杰</t>
        </r>
      </text>
    </comment>
    <comment ref="B126" authorId="0" shapeId="0">
      <text>
        <r>
          <rPr>
            <b/>
            <sz val="9"/>
            <color indexed="81"/>
            <rFont val="宋体"/>
            <family val="3"/>
            <charset val="134"/>
          </rPr>
          <t>作者:</t>
        </r>
        <r>
          <rPr>
            <sz val="9"/>
            <color indexed="81"/>
            <rFont val="宋体"/>
            <family val="3"/>
            <charset val="134"/>
          </rPr>
          <t xml:space="preserve">
歌斯蒂（北京）形象设计有限公司</t>
        </r>
      </text>
    </comment>
    <comment ref="B127" authorId="0" shapeId="0">
      <text>
        <r>
          <rPr>
            <b/>
            <sz val="9"/>
            <color indexed="81"/>
            <rFont val="宋体"/>
            <family val="3"/>
            <charset val="134"/>
          </rPr>
          <t>作者:</t>
        </r>
        <r>
          <rPr>
            <sz val="9"/>
            <color indexed="81"/>
            <rFont val="宋体"/>
            <family val="3"/>
            <charset val="134"/>
          </rPr>
          <t xml:space="preserve">
原饶昂</t>
        </r>
      </text>
    </comment>
    <comment ref="B129" authorId="0" shapeId="0">
      <text>
        <r>
          <rPr>
            <b/>
            <sz val="9"/>
            <color indexed="81"/>
            <rFont val="宋体"/>
            <family val="3"/>
            <charset val="134"/>
          </rPr>
          <t>作者:</t>
        </r>
        <r>
          <rPr>
            <sz val="9"/>
            <color indexed="81"/>
            <rFont val="宋体"/>
            <family val="3"/>
            <charset val="134"/>
          </rPr>
          <t xml:space="preserve">
原贺连浩</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<sst xmlns="http://schemas.openxmlformats.org/spreadsheetml/2006/main" count="11515" uniqueCount="4835">
  <si>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</si>
  <si>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</si>
  <si>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</si>
  <si>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</si>
  <si>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</si>
  <si>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</si>
  <si>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</si>
  <si>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</si>
  <si>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</si>
  <si>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</si>
  <si>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</si>
  <si>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</si>
  <si>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</si>
  <si>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</si>
  <si>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</si>
  <si>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</si>
  <si>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</si>
  <si>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</si>
  <si>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</si>
  <si>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</si>
  <si>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</si>
  <si>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</si>
  <si>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</si>
  <si>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</si>
  <si>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</si>
  <si>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</si>
  <si>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</si>
  <si>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</si>
  <si>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</si>
  <si>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</si>
  <si>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</si>
  <si>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</si>
  <si>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</si>
  <si>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</si>
  <si>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</si>
  <si>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</si>
  <si>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</si>
  <si>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</si>
  <si>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</si>
  <si>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</si>
  <si>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</si>
  <si>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</si>
  <si>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</si>
  <si>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</si>
  <si>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</si>
  <si>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</si>
  <si>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</si>
  <si>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</si>
  <si>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</si>
  <si>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</si>
  <si>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</si>
  <si>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</si>
  <si>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</si>
  <si>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</si>
  <si>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</si>
  <si>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</si>
  <si>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</si>
  <si>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</si>
  <si>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</si>
  <si>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</si>
  <si>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</si>
  <si>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</si>
  <si>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</si>
  <si>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</si>
  <si>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</si>
  <si>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</si>
  <si>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</si>
  <si>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</si>
  <si>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</si>
  <si>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</si>
  <si>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</si>
  <si>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</si>
  <si>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</si>
  <si>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</si>
  <si>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</si>
  <si>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</si>
  <si>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</si>
  <si>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</si>
  <si>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</si>
  <si>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</si>
  <si>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</si>
  <si>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</si>
  <si>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</si>
  <si>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</si>
  <si>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</si>
  <si>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</si>
  <si>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</si>
  <si>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</si>
  <si>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</si>
  <si>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</si>
  <si>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</si>
  <si>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</si>
  <si>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</si>
  <si>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</si>
  <si>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</si>
  <si>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</si>
  <si>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</si>
  <si>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</si>
  <si>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</si>
  <si>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</si>
  <si>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</si>
  <si>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</si>
  <si>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</si>
  <si>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</si>
  <si>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</si>
  <si>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</si>
  <si>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</si>
  <si>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</si>
  <si>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</si>
  <si>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</si>
  <si>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</si>
  <si>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</si>
  <si>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</si>
  <si>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</si>
  <si>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</si>
  <si>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</si>
  <si>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</si>
  <si>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</si>
  <si>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</si>
  <si>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</si>
  <si>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</si>
  <si>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</si>
  <si>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</si>
  <si>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</si>
  <si>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</si>
  <si>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</si>
  <si>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</si>
  <si>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</si>
  <si>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</si>
  <si>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</si>
  <si>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</si>
  <si>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</si>
  <si>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</si>
  <si>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</si>
  <si>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</si>
  <si>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</si>
  <si>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</si>
  <si>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</si>
  <si>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</si>
  <si>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</si>
  <si>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</si>
  <si>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</si>
  <si>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</si>
  <si>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</si>
  <si>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</si>
  <si>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</si>
  <si>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</si>
  <si>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</si>
  <si>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</si>
  <si>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</si>
  <si>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</si>
  <si>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</si>
  <si>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</si>
  <si>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</si>
  <si>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</si>
  <si>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</si>
  <si>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</si>
  <si>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</si>
  <si>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</si>
  <si>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</si>
  <si>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</si>
  <si>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</si>
  <si>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</si>
  <si>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</si>
  <si>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</si>
  <si>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</si>
  <si>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</si>
  <si>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</si>
  <si>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</si>
  <si>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</si>
  <si>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</si>
  <si>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</si>
  <si>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</si>
  <si>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</si>
  <si>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</si>
  <si>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</si>
  <si>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</si>
  <si>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</si>
  <si>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</si>
  <si>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</si>
  <si>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</si>
  <si>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</si>
  <si>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</si>
  <si>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</si>
  <si>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</si>
  <si>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</si>
  <si>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</si>
  <si>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</si>
  <si>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</si>
  <si>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</si>
  <si>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</si>
  <si>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</si>
  <si>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</si>
  <si>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</si>
  <si>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</si>
  <si>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</si>
  <si>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</si>
  <si>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</si>
  <si>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</si>
  <si>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</si>
  <si>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</si>
  <si>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</si>
  <si>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</si>
  <si>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</si>
  <si>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</si>
  <si>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</si>
  <si>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</si>
  <si>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</si>
  <si>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</si>
  <si>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</si>
  <si>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</si>
  <si>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</si>
  <si>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</si>
  <si>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</si>
  <si>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</si>
  <si>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</si>
  <si>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</si>
  <si>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</si>
  <si>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</si>
  <si>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</si>
  <si>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</si>
  <si>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</si>
  <si>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</si>
  <si>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</si>
  <si>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</si>
  <si>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</si>
  <si>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</si>
  <si>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</si>
  <si>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</si>
  <si>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</si>
  <si>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</si>
  <si>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</si>
  <si>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</si>
  <si>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</si>
  <si>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</si>
  <si>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</si>
  <si>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</si>
  <si>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</si>
  <si>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</si>
  <si>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</si>
  <si>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</si>
  <si>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</si>
  <si>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</si>
  <si>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</si>
  <si>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</si>
  <si>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</si>
  <si>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</si>
  <si>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</si>
  <si>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</si>
  <si>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</si>
  <si>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</si>
  <si>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</si>
  <si>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</si>
  <si>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</si>
  <si>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</si>
  <si>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</si>
  <si>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</si>
  <si>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</si>
  <si>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</si>
  <si>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</si>
  <si>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</si>
  <si>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</si>
  <si>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</si>
  <si>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</si>
  <si>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</si>
  <si>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</si>
  <si>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</si>
  <si>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</si>
  <si>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</si>
  <si>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</si>
  <si>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</si>
  <si>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</si>
  <si>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</si>
  <si>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</si>
  <si>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</si>
  <si>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</si>
  <si>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</si>
  <si>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</si>
  <si>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</si>
  <si>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</si>
  <si>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</si>
  <si>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</si>
  <si>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</si>
  <si>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</si>
  <si>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</si>
  <si>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</si>
  <si>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</si>
  <si>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</si>
  <si>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</si>
  <si>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</si>
  <si>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</si>
  <si>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</si>
  <si>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</si>
  <si>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</si>
  <si>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</si>
  <si>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</si>
  <si>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</si>
  <si>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</si>
  <si>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</si>
  <si>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</si>
  <si>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</si>
  <si>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</si>
  <si>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</si>
  <si>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</si>
  <si>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</si>
  <si>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</si>
  <si>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</si>
  <si>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</si>
  <si>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</si>
  <si>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</si>
  <si>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</si>
  <si>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</si>
  <si>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</si>
  <si>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</si>
  <si>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</si>
  <si>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</si>
  <si>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</si>
  <si>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</si>
  <si>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</si>
  <si>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</si>
  <si>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</si>
  <si>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</si>
  <si>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</si>
  <si>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</si>
  <si>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</si>
  <si>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</si>
  <si>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</si>
  <si>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</si>
  <si>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</si>
  <si>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</si>
  <si>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</si>
  <si>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</si>
  <si>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</si>
  <si>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</si>
  <si>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</si>
  <si>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</si>
  <si>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</si>
  <si>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</si>
  <si>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</si>
  <si>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</si>
  <si>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</si>
  <si>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</si>
  <si>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</si>
  <si>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</si>
  <si>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</si>
  <si>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</si>
  <si>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</si>
  <si>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</si>
  <si>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</si>
  <si>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</si>
  <si>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</si>
  <si>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</si>
  <si>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</si>
  <si>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</si>
  <si>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</si>
  <si>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</si>
  <si>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</si>
  <si>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</si>
  <si>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</si>
  <si>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</si>
  <si>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</si>
  <si>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</si>
  <si>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</si>
  <si>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</si>
  <si>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</si>
  <si>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</si>
  <si>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</si>
  <si>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</si>
  <si>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</si>
  <si>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</si>
  <si>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</si>
  <si>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</si>
  <si>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</si>
  <si>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</si>
  <si>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</si>
  <si>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</si>
  <si>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</si>
  <si>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</si>
  <si>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</si>
  <si>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</si>
  <si>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</si>
  <si>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</si>
  <si>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</si>
  <si>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</si>
  <si>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</si>
  <si>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</si>
  <si>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</si>
  <si>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</si>
  <si>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</si>
  <si>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</si>
  <si>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</si>
  <si>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</si>
  <si>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</si>
  <si>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</si>
  <si>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</si>
  <si>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</si>
  <si>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</si>
  <si>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</si>
  <si>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</si>
  <si>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</si>
  <si>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</si>
  <si>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</si>
  <si>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</si>
  <si>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</si>
  <si>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</si>
  <si>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</si>
  <si>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</si>
  <si>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</si>
  <si>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</si>
  <si>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</si>
  <si>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</si>
  <si>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</si>
  <si>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</si>
  <si>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</si>
  <si>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</si>
  <si>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</si>
  <si>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</si>
  <si>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</si>
  <si>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</si>
  <si>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</si>
  <si>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</si>
  <si>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</si>
  <si>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</si>
  <si>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</si>
  <si>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</si>
  <si>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</si>
  <si>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</si>
  <si>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</si>
  <si>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</si>
  <si>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</si>
  <si>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</si>
  <si>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</si>
  <si>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</si>
  <si>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</si>
  <si>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</si>
  <si>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</si>
  <si>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</si>
  <si>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</si>
  <si>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</si>
  <si>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</si>
  <si>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</si>
  <si>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</si>
  <si>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</si>
  <si>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</si>
  <si>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</si>
  <si>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</si>
  <si>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</si>
  <si>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</si>
  <si>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</si>
  <si>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</si>
  <si>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</si>
  <si>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</si>
  <si>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</si>
  <si>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</si>
  <si>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</si>
  <si>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</si>
  <si>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</si>
  <si>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</si>
  <si>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</si>
  <si>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</si>
  <si>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</si>
  <si>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</si>
  <si>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</si>
  <si>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</si>
  <si>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</si>
  <si>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</si>
  <si>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</si>
  <si>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</si>
  <si>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</si>
  <si>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</si>
  <si>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</si>
  <si>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</si>
  <si>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</si>
  <si>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</si>
  <si>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</si>
  <si>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</si>
  <si>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</si>
  <si>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</si>
  <si>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</si>
  <si>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</si>
  <si>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</si>
  <si>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</si>
  <si>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</si>
  <si>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</si>
  <si>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</si>
  <si>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</si>
  <si>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</si>
  <si>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</si>
  <si>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</si>
  <si>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</si>
  <si>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</si>
  <si>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</si>
  <si>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</si>
  <si>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</si>
  <si>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</si>
  <si>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</si>
  <si>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</si>
  <si>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</si>
  <si>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</si>
  <si>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</si>
  <si>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</si>
  <si>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</si>
  <si>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</si>
  <si>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</si>
  <si>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</si>
  <si>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</si>
  <si>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</si>
  <si>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</si>
  <si>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</si>
  <si>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</si>
  <si>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</si>
  <si>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</si>
  <si>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</si>
  <si>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</si>
  <si>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</si>
  <si>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</si>
  <si>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</si>
  <si>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</si>
  <si>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</si>
  <si>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</si>
  <si>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</si>
  <si>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</si>
  <si>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</si>
  <si>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</si>
  <si>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</si>
  <si>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</si>
  <si>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</si>
  <si>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</si>
  <si>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</si>
  <si>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</si>
  <si>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</si>
  <si>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</si>
  <si>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</si>
  <si>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</si>
  <si>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</si>
  <si>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</si>
  <si>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</si>
  <si>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</si>
  <si>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</si>
  <si>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</si>
  <si>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</si>
  <si>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</si>
  <si>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</si>
  <si>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</si>
  <si>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</si>
  <si>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</si>
  <si>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</si>
  <si>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</si>
  <si>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</si>
  <si>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</si>
  <si>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</si>
  <si>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</si>
  <si>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</si>
  <si>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</si>
  <si>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</si>
  <si>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</si>
  <si>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</si>
  <si>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</si>
  <si>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</si>
  <si>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</si>
  <si>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</si>
  <si>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</si>
  <si>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</si>
  <si>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</si>
  <si>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</si>
  <si>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</si>
  <si>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</si>
  <si>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</si>
  <si>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</si>
  <si>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</si>
  <si>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</si>
  <si>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</si>
  <si>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</si>
  <si>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</si>
  <si>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</si>
  <si>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</si>
  <si>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</si>
  <si>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</si>
  <si>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</si>
  <si>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</si>
  <si>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</si>
  <si>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</si>
  <si>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</si>
  <si>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</si>
  <si>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</si>
  <si>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</si>
  <si>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</si>
  <si>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</si>
  <si>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</si>
  <si>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</si>
  <si>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</si>
  <si>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</si>
  <si>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</si>
  <si>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</si>
  <si>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</si>
  <si>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</si>
  <si>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</si>
  <si>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</si>
  <si>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</si>
  <si>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</si>
  <si>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</si>
  <si>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</si>
  <si>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</si>
  <si>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</si>
  <si>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</si>
  <si>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</si>
  <si>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</si>
  <si>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</si>
  <si>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</si>
  <si>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</si>
  <si>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</si>
  <si>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</si>
  <si>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</si>
  <si>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</si>
  <si>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</si>
  <si>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</si>
  <si>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</si>
  <si>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</si>
  <si>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</si>
  <si>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</si>
  <si>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</si>
  <si>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</si>
  <si>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</si>
  <si>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</si>
  <si>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</si>
  <si>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</si>
  <si>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</si>
  <si>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</si>
  <si>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</si>
  <si>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</si>
  <si>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</si>
  <si>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</si>
  <si>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</si>
  <si>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</si>
  <si>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</si>
  <si>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</si>
  <si>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</si>
  <si>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</si>
  <si>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</si>
  <si>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</si>
  <si>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</si>
  <si>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</si>
  <si>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</si>
  <si>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</si>
  <si>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</si>
  <si>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</si>
  <si>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</si>
  <si>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</si>
  <si>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</si>
  <si>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</si>
  <si>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</si>
  <si>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</si>
  <si>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</si>
  <si>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</si>
  <si>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</si>
  <si>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</si>
  <si>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</si>
  <si>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</si>
  <si>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</si>
  <si>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</si>
  <si>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</si>
  <si>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</si>
  <si>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</si>
  <si>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</si>
  <si>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</si>
  <si>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</si>
  <si>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</si>
  <si>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</si>
  <si>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</si>
  <si>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</si>
  <si>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</si>
  <si>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</si>
  <si>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</si>
  <si>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</si>
  <si>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</si>
  <si>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</si>
  <si>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</si>
  <si>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</si>
  <si>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</si>
  <si>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</si>
  <si>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</si>
  <si>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</si>
  <si>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</si>
  <si>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</si>
  <si>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</si>
  <si>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</si>
  <si>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</si>
  <si>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</si>
  <si>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</si>
  <si>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</si>
  <si>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</si>
  <si>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</si>
  <si>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</si>
  <si>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</si>
  <si>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</si>
  <si>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</si>
  <si>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</si>
  <si>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</si>
  <si>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</si>
  <si>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</si>
  <si>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</si>
  <si>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</si>
  <si>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</si>
  <si>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</si>
  <si>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</si>
  <si>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</si>
  <si>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</si>
  <si>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</si>
  <si>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</si>
  <si>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</si>
  <si>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</si>
  <si>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</si>
  <si>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</si>
  <si>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</si>
  <si>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</si>
  <si>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</si>
  <si>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</si>
  <si>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</si>
  <si>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</si>
  <si>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</si>
  <si>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</si>
  <si>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</si>
  <si>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</si>
  <si>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</si>
  <si>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</si>
  <si>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</si>
  <si>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</si>
  <si>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</si>
  <si>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</si>
  <si>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</si>
  <si>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</si>
  <si>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</si>
  <si>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</si>
  <si>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</si>
  <si>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</si>
  <si>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</si>
  <si>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</si>
  <si>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</si>
  <si>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</si>
  <si>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</si>
  <si>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</si>
  <si>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</si>
  <si>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</si>
  <si>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</si>
  <si>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</si>
  <si>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</si>
  <si>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</si>
  <si>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</si>
  <si>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</si>
  <si>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</si>
  <si>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</si>
  <si>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</si>
  <si>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</si>
  <si>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</si>
  <si>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</si>
  <si>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</si>
  <si>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</si>
  <si>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</si>
  <si>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</si>
  <si>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</si>
  <si>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</si>
  <si>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</si>
  <si>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</si>
  <si>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</si>
  <si>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</si>
  <si>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</si>
  <si>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</si>
  <si>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</si>
  <si>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</si>
  <si>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</si>
  <si>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</si>
  <si>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</si>
  <si>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</si>
  <si>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</si>
  <si>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</si>
  <si>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</si>
  <si>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</si>
  <si>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</si>
  <si>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</si>
  <si>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</si>
  <si>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</si>
  <si>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</si>
  <si>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</si>
  <si>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</si>
  <si>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</si>
  <si>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</si>
  <si>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</si>
  <si>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</si>
  <si>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</si>
  <si>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</si>
  <si>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</si>
  <si>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</si>
  <si>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</si>
  <si>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</si>
  <si>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</si>
  <si>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</si>
  <si>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</si>
  <si>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</si>
  <si>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</si>
  <si>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</si>
  <si>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</si>
  <si>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</si>
  <si>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</si>
  <si>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</si>
  <si>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</si>
  <si>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</si>
  <si>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</si>
  <si>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</si>
  <si>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</si>
  <si>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</si>
  <si>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</si>
  <si>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</si>
  <si>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</si>
  <si>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</si>
  <si>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</si>
  <si>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</si>
  <si>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</si>
  <si>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</si>
  <si>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</si>
  <si>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</si>
  <si>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</si>
  <si>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</si>
  <si>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</si>
  <si>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</si>
  <si>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</si>
  <si>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</si>
  <si>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</si>
  <si>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</si>
  <si>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</si>
  <si>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</si>
  <si>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</si>
  <si>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</si>
  <si>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</si>
  <si>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</si>
  <si>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</si>
  <si>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</si>
  <si>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</si>
  <si>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</si>
  <si>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</si>
  <si>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</si>
  <si>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</si>
  <si>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</si>
  <si>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</si>
  <si>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</si>
  <si>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</si>
  <si>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</si>
  <si>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</si>
  <si>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</si>
  <si>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</si>
  <si>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</si>
  <si>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</si>
  <si>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</si>
  <si>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</si>
  <si>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</si>
  <si>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</si>
  <si>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</si>
  <si>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</si>
  <si>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</si>
  <si>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</si>
  <si>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</si>
  <si>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</si>
  <si>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</si>
  <si>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</si>
  <si>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</si>
  <si>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</si>
  <si>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</si>
  <si>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</si>
  <si>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</si>
  <si>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</si>
  <si>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</si>
  <si>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</si>
  <si>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</si>
  <si>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</si>
  <si>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</si>
  <si>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</si>
  <si>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</si>
  <si>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</si>
  <si>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</si>
  <si>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</si>
  <si>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</si>
  <si>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</si>
  <si>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</si>
  <si>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</si>
  <si>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</si>
  <si>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</si>
  <si>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</si>
  <si>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</si>
  <si>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</si>
  <si>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</si>
  <si>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</si>
  <si>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</si>
  <si>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</si>
  <si>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</si>
  <si>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</si>
  <si>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</si>
  <si>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</si>
  <si>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</si>
  <si>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</si>
  <si>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</si>
  <si>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</si>
  <si>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</si>
  <si>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</si>
  <si>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</si>
  <si>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</si>
  <si>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</si>
  <si>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</si>
  <si>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</si>
  <si>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</si>
  <si>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</si>
  <si>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</si>
  <si>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</si>
  <si>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</si>
  <si>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</si>
  <si>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</si>
  <si>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</si>
  <si>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</si>
  <si>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</si>
  <si>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</si>
  <si>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</si>
  <si>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</si>
  <si>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</si>
  <si>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</si>
  <si>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</si>
  <si>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</si>
  <si>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</si>
  <si>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</si>
  <si>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</si>
  <si>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</si>
  <si>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</si>
  <si>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</si>
  <si>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</si>
  <si>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</si>
  <si>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</si>
  <si>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</si>
  <si>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</si>
  <si>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</si>
  <si>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</si>
  <si>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</si>
  <si>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</si>
  <si>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</si>
  <si>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</si>
  <si>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</si>
  <si>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</si>
  <si>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</si>
  <si>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</si>
  <si>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</si>
  <si>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</si>
  <si>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</si>
  <si>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</si>
  <si>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</si>
  <si>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</si>
  <si>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</si>
  <si>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</si>
  <si>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</si>
  <si>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</si>
  <si>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</si>
  <si>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</si>
  <si>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</si>
  <si>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</si>
  <si>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</si>
  <si>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</si>
  <si>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</si>
  <si>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</si>
  <si>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</si>
  <si>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</si>
  <si>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</si>
  <si>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</si>
  <si>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</si>
  <si>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</si>
  <si>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</si>
  <si>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</si>
  <si>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</si>
  <si>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</si>
  <si>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</si>
  <si>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</si>
  <si>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</si>
  <si>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</si>
  <si>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</si>
  <si>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</si>
  <si>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</si>
  <si>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</si>
  <si>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</si>
  <si>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</si>
  <si>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</si>
  <si>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</si>
  <si>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</si>
  <si>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</si>
  <si>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</si>
  <si>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</si>
  <si>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</si>
  <si>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</si>
  <si>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</si>
  <si>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</si>
  <si>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</si>
  <si>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</si>
  <si>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</si>
  <si>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</si>
  <si>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</si>
  <si>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</si>
  <si>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</si>
  <si>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</si>
  <si>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</si>
  <si>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</si>
  <si>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</si>
  <si>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</si>
  <si>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</si>
  <si>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</si>
  <si>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</si>
  <si>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</si>
  <si>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</si>
  <si>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</si>
  <si>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</si>
  <si>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</si>
  <si>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</si>
  <si>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</si>
  <si>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</si>
  <si>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</si>
  <si>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</si>
  <si>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</si>
  <si>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</si>
  <si>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</si>
  <si>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</si>
  <si>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</si>
  <si>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</si>
  <si>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</si>
  <si>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</si>
  <si>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</si>
  <si>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</si>
  <si>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</si>
  <si>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</si>
  <si>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</si>
  <si>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</si>
  <si>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</si>
  <si>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</si>
  <si>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</si>
  <si>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</si>
  <si>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</si>
  <si>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</si>
  <si>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</si>
  <si>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</si>
  <si>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</si>
  <si>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</si>
  <si>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</si>
  <si>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</si>
  <si>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</si>
  <si>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</si>
  <si>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</si>
  <si>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</si>
  <si>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</si>
  <si>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</si>
  <si>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</si>
  <si>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</si>
  <si>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</si>
  <si>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</si>
  <si>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</si>
  <si>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</si>
  <si>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</si>
  <si>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</si>
  <si>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</si>
  <si>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</si>
  <si>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</si>
  <si>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</si>
  <si>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</si>
  <si>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</si>
  <si>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</si>
  <si>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</si>
  <si>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</si>
  <si>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</si>
  <si>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</si>
  <si>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</si>
  <si>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</si>
  <si>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</si>
  <si>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</si>
  <si>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</si>
  <si>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</si>
  <si>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</si>
  <si>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</si>
  <si>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</si>
  <si>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</si>
  <si>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</si>
  <si>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</si>
  <si>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</si>
  <si>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</si>
  <si>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</si>
  <si>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</si>
  <si>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</si>
  <si>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</si>
  <si>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</si>
  <si>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</si>
  <si>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</si>
  <si>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</si>
  <si>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</si>
  <si>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</si>
  <si>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</si>
  <si>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</si>
  <si>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</si>
  <si>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</si>
  <si>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</si>
  <si>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</si>
  <si>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</si>
  <si>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</si>
  <si>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</si>
  <si>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</si>
  <si>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</si>
  <si>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</si>
  <si>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</si>
  <si>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</si>
  <si>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</si>
  <si>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</si>
  <si>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</si>
  <si>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</si>
  <si>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</si>
  <si>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</si>
  <si>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</si>
  <si>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</si>
  <si>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</si>
  <si>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</si>
  <si>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</si>
  <si>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</si>
  <si>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</si>
  <si>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</si>
  <si>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</si>
  <si>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</si>
  <si>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</si>
  <si>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</si>
  <si>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</si>
  <si>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</si>
  <si>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</si>
  <si>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</si>
  <si>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</si>
  <si>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</si>
  <si>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</si>
  <si>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</si>
  <si>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</si>
  <si>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</si>
  <si>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</si>
  <si>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</si>
  <si>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</si>
  <si>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</si>
  <si>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</si>
  <si>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</si>
  <si>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</si>
  <si>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</si>
  <si>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</si>
  <si>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</si>
  <si>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</si>
  <si>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</si>
  <si>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</si>
  <si>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</si>
  <si>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</si>
  <si>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</si>
  <si>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</si>
  <si>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</si>
  <si>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</si>
  <si>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</si>
  <si>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</si>
  <si>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</si>
  <si>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</si>
  <si>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</si>
  <si>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</si>
  <si>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</si>
  <si>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</si>
  <si>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</si>
  <si>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</si>
  <si>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</si>
  <si>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</si>
  <si>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</si>
  <si>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</si>
  <si>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</si>
  <si>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</si>
  <si>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</si>
  <si>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</si>
  <si>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</si>
  <si>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</si>
  <si>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</si>
  <si>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</si>
  <si>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</si>
  <si>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</si>
  <si>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</si>
  <si>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</si>
  <si>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</si>
  <si>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</si>
  <si>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</si>
  <si>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</si>
  <si>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</si>
  <si>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</si>
  <si>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</si>
  <si>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</si>
  <si>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</si>
  <si>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</si>
  <si>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</si>
  <si>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</si>
  <si>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</si>
  <si>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</si>
  <si>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</si>
  <si>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</si>
  <si>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</si>
  <si>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</si>
  <si>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</si>
  <si>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</si>
  <si>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</si>
  <si>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</si>
  <si>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</si>
  <si>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</si>
  <si>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</si>
  <si>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</si>
  <si>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</si>
  <si>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</si>
  <si>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</si>
  <si>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</si>
  <si>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</si>
  <si>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</si>
  <si>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</si>
  <si>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</si>
  <si>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</si>
  <si>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</si>
  <si>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</si>
  <si>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</si>
  <si>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</si>
  <si>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</si>
  <si>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</si>
  <si>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</si>
  <si>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</si>
  <si>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</si>
  <si>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</si>
  <si>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</si>
  <si>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</si>
  <si>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</si>
  <si>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</si>
  <si>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</si>
  <si>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</si>
  <si>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</si>
  <si>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</si>
  <si>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</si>
  <si>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</si>
  <si>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</si>
  <si>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</si>
  <si>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</si>
  <si>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</si>
  <si>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</si>
  <si>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</si>
  <si>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</si>
  <si>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</si>
  <si>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</si>
  <si>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</si>
  <si>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</si>
  <si>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</si>
  <si>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</si>
  <si>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</si>
  <si>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</si>
  <si>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</si>
  <si>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</si>
  <si>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</si>
  <si>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</si>
  <si>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</si>
  <si>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</si>
  <si>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</si>
  <si>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</si>
  <si>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</si>
  <si>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</si>
  <si>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</si>
  <si>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</si>
  <si>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</si>
  <si>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</si>
  <si>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</si>
  <si>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</si>
  <si>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</si>
  <si>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</si>
  <si>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</si>
  <si>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</si>
  <si>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</si>
  <si>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</si>
  <si>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</si>
  <si>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</si>
  <si>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</si>
  <si>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</si>
  <si>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</si>
  <si>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</si>
  <si>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</si>
  <si>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</si>
  <si>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</si>
  <si>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</si>
  <si>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</si>
  <si>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</si>
  <si>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</si>
  <si>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</si>
  <si>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</si>
  <si>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</si>
  <si>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</si>
  <si>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</si>
  <si>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</si>
  <si>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</si>
  <si>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</si>
  <si>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</si>
  <si>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</si>
  <si>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</si>
  <si>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</si>
  <si>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</si>
  <si>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</si>
  <si>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</si>
  <si>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</si>
  <si>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</si>
  <si>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</si>
  <si>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</si>
  <si>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</si>
  <si>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</si>
  <si>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</si>
  <si>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</si>
  <si>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</si>
  <si>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</si>
  <si>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</si>
  <si>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</si>
  <si>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</si>
  <si>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</si>
  <si>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</si>
  <si>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</si>
  <si>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</si>
  <si>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</si>
  <si>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</si>
  <si>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</si>
  <si>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</si>
  <si>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</si>
  <si>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</si>
  <si>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</si>
  <si>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</si>
  <si>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</si>
  <si>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</si>
  <si>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</si>
  <si>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</si>
  <si>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</si>
  <si>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</si>
  <si>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</si>
  <si>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</si>
  <si>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</si>
  <si>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</si>
  <si>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</si>
  <si>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</si>
  <si>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</si>
  <si>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</si>
  <si>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</si>
  <si>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</si>
  <si>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</si>
  <si>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</si>
  <si>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</si>
  <si>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</si>
  <si>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</si>
  <si>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</si>
  <si>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</si>
  <si>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</si>
  <si>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</si>
  <si>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</si>
  <si>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</si>
  <si>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</si>
  <si>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</si>
  <si>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</si>
  <si>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</si>
  <si>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</si>
  <si>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</si>
  <si>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</si>
  <si>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</si>
  <si>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</si>
  <si>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</si>
  <si>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</si>
  <si>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</si>
  <si>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</si>
  <si>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</si>
  <si>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</si>
  <si>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</si>
  <si>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</si>
  <si>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</si>
  <si>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</si>
  <si>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</si>
  <si>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</si>
  <si>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</si>
  <si>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</si>
  <si>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</si>
  <si>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</si>
  <si>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</si>
  <si>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</si>
  <si>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</si>
  <si>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</si>
  <si>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</si>
  <si>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</si>
  <si>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</si>
  <si>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</si>
  <si>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</si>
  <si>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</si>
  <si>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</si>
  <si>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</si>
  <si>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</si>
  <si>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</si>
  <si>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</si>
  <si>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</si>
  <si>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</si>
  <si>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</si>
  <si>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</si>
  <si>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</si>
  <si>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</si>
  <si>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</si>
  <si>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</si>
  <si>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</si>
  <si>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</si>
  <si>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</si>
  <si>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</si>
  <si>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</si>
  <si>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</si>
  <si>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</si>
  <si>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</si>
  <si>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</si>
  <si>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</si>
  <si>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</si>
  <si>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</si>
  <si>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</si>
  <si>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</si>
  <si>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</si>
  <si>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</si>
  <si>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</si>
  <si>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</si>
  <si>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</si>
  <si>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</si>
  <si>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</si>
  <si>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</si>
  <si>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</si>
  <si>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</si>
  <si>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</si>
  <si>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</si>
  <si>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</si>
  <si>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</si>
  <si>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</si>
  <si>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</si>
  <si>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</si>
  <si>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</si>
  <si>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</si>
  <si>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</si>
  <si>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</si>
  <si>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</si>
  <si>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</si>
  <si>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</si>
  <si>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</si>
  <si>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</si>
  <si>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</si>
  <si>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</si>
  <si>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</si>
  <si>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</si>
  <si>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</si>
  <si>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</si>
  <si>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</si>
  <si>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</si>
  <si>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</si>
  <si>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</si>
  <si>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</si>
  <si>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</si>
  <si>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</si>
  <si>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</si>
  <si>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</si>
  <si>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</si>
  <si>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</si>
  <si>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</si>
  <si>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</si>
  <si>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</si>
  <si>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</si>
  <si>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</si>
  <si>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</si>
  <si>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</si>
  <si>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</si>
  <si>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</si>
  <si>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</si>
  <si>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</si>
  <si>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</si>
  <si>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</si>
  <si>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</si>
  <si>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</si>
  <si>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</si>
  <si>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</si>
  <si>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</si>
  <si>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</si>
  <si>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</si>
  <si>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</si>
  <si>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</si>
  <si>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</si>
  <si>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</si>
  <si>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</si>
  <si>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</si>
  <si>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</si>
  <si>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</si>
  <si>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</si>
  <si>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</si>
  <si>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</si>
  <si>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</si>
  <si>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</si>
  <si>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</si>
  <si>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</si>
  <si>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</si>
  <si>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</si>
  <si>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</si>
  <si>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</si>
  <si>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</si>
  <si>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</si>
  <si>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</si>
  <si>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</si>
  <si>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</si>
  <si>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</si>
  <si>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</si>
  <si>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</si>
  <si>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</si>
  <si>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</si>
  <si>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</si>
  <si>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</si>
  <si>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</si>
  <si>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</si>
  <si>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</si>
  <si>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</si>
  <si>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</si>
  <si>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</si>
  <si>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</si>
  <si>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</si>
  <si>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</si>
  <si>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</si>
  <si>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</si>
  <si>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</si>
  <si>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</si>
  <si>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</si>
  <si>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</si>
  <si>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</si>
  <si>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</si>
  <si>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</si>
  <si>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</si>
  <si>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</si>
  <si>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</si>
  <si>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</si>
  <si>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</si>
  <si>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</si>
  <si>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</si>
  <si>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</si>
  <si>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</si>
  <si>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</si>
  <si>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</si>
  <si>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</si>
  <si>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</si>
  <si>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</si>
  <si>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</si>
  <si>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</si>
  <si>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</si>
  <si>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</si>
  <si>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</si>
  <si>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</si>
  <si>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</si>
  <si>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</si>
  <si>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</si>
  <si>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</si>
  <si>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</si>
  <si>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</si>
  <si>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</si>
  <si>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</si>
  <si>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</si>
  <si>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</si>
  <si>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</si>
  <si>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</si>
  <si>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</si>
  <si>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</si>
  <si>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</si>
  <si>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</si>
  <si>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</si>
  <si>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</si>
  <si>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</si>
  <si>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</si>
  <si>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</si>
  <si>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</si>
  <si>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</si>
  <si>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</si>
  <si>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</si>
  <si>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</si>
  <si>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</si>
  <si>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</si>
  <si>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</si>
  <si>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</si>
  <si>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</si>
  <si>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</si>
  <si>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</si>
  <si>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</si>
  <si>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</si>
  <si>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</si>
  <si>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</si>
  <si>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</si>
  <si>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</si>
  <si>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</si>
  <si>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</si>
  <si>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</si>
  <si>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</si>
  <si>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</si>
  <si>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</si>
  <si>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</si>
  <si>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</si>
  <si>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</si>
  <si>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</si>
  <si>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</si>
  <si>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</si>
  <si>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</si>
  <si>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</si>
  <si>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</si>
  <si>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</si>
  <si>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</si>
  <si>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</si>
  <si>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</si>
  <si>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</si>
  <si>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</si>
  <si>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</si>
  <si>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</si>
  <si>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</si>
  <si>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</si>
  <si>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</si>
  <si>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</si>
  <si>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</si>
  <si>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</si>
  <si>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</si>
  <si>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</si>
  <si>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</si>
  <si>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</si>
  <si>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</si>
  <si>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</si>
  <si>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</si>
  <si>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</si>
  <si>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</si>
  <si>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</si>
  <si>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</si>
  <si>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</si>
  <si>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</si>
  <si>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</si>
  <si>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</si>
  <si>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</si>
  <si>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</si>
  <si>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</si>
  <si>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</si>
  <si>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</si>
  <si>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</si>
  <si>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</si>
  <si>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</si>
  <si>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</si>
  <si>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</si>
  <si>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</si>
  <si>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</si>
  <si>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</si>
  <si>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</si>
  <si>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</si>
  <si>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</si>
  <si>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</si>
  <si>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</si>
  <si>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</si>
  <si>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</si>
  <si>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</si>
  <si>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</si>
  <si>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</si>
  <si>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</si>
  <si>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</si>
  <si>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</si>
  <si>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</si>
  <si>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</si>
  <si>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</si>
  <si>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</si>
  <si>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</si>
  <si>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</si>
  <si>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</si>
  <si>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</si>
  <si>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</si>
  <si>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</si>
  <si>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</si>
  <si>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</si>
  <si>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</si>
  <si>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</si>
  <si>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</si>
  <si>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</si>
  <si>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</si>
  <si>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</si>
  <si>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</si>
  <si>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</si>
  <si>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</si>
  <si>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</si>
  <si>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</si>
  <si>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</si>
  <si>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</si>
  <si>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</si>
  <si>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</si>
  <si>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</si>
  <si>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</si>
  <si>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</si>
  <si>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</si>
  <si>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</si>
  <si>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</si>
  <si>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</si>
  <si>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</si>
  <si>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</si>
  <si>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</si>
  <si>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</si>
  <si>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</si>
  <si>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</si>
  <si>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</si>
  <si>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</si>
  <si>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</si>
  <si>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</si>
  <si>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</si>
  <si>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</si>
  <si>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</si>
  <si>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</si>
  <si>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</si>
  <si>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</si>
  <si>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</si>
  <si>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</si>
  <si>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</si>
  <si>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</si>
  <si>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</si>
  <si>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</si>
  <si>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</si>
  <si>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</si>
  <si>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</si>
  <si>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</si>
  <si>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</si>
  <si>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</si>
  <si>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</si>
  <si>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</si>
  <si>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</si>
  <si>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</si>
  <si>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</si>
  <si>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</si>
  <si>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</si>
  <si>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</si>
  <si>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</si>
  <si>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</si>
  <si>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</si>
  <si>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</si>
  <si>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</si>
  <si>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</si>
  <si>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</si>
  <si>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</si>
  <si>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</si>
  <si>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</si>
  <si>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</si>
  <si>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</si>
  <si>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</si>
  <si>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</si>
  <si>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</si>
  <si>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</si>
  <si>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</si>
  <si>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</si>
  <si>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</si>
  <si>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</si>
  <si>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</si>
  <si>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</si>
  <si>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</si>
  <si>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</si>
  <si>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</si>
  <si>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</si>
  <si>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</si>
  <si>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</si>
  <si>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</si>
  <si>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</si>
  <si>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</si>
  <si>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</si>
  <si>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</si>
  <si>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</si>
  <si>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</si>
  <si>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</si>
  <si>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</si>
  <si>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</si>
  <si>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</si>
  <si>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</si>
  <si>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</si>
  <si>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</si>
  <si>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</si>
  <si>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</si>
  <si>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</si>
  <si>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</si>
  <si>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</si>
  <si>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</si>
  <si>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</si>
  <si>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</si>
  <si>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</si>
  <si>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</si>
  <si>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</si>
  <si>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</si>
  <si>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</si>
  <si>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</si>
  <si>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</si>
  <si>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</si>
  <si>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</si>
  <si>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</si>
  <si>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</si>
  <si>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</si>
  <si>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</si>
  <si>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</si>
  <si>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</si>
  <si>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</si>
  <si>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</si>
  <si>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</si>
  <si>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</si>
  <si>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</si>
  <si>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</si>
  <si>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</si>
  <si>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</si>
  <si>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</si>
  <si>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</si>
  <si>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</si>
  <si>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</si>
  <si>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</si>
  <si>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</si>
  <si>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</si>
  <si>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</si>
  <si>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</si>
  <si>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</si>
  <si>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</si>
  <si>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</si>
  <si>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</si>
  <si>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</si>
  <si>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</si>
  <si>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</si>
  <si>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</si>
  <si>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</si>
  <si>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</si>
  <si>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</si>
  <si>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</si>
  <si>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</si>
  <si>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</si>
  <si>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</si>
  <si>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</si>
  <si>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</si>
  <si>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</si>
  <si>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</si>
  <si>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</si>
  <si>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</si>
  <si>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</si>
  <si>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</si>
  <si>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</si>
  <si>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</si>
  <si>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</si>
  <si>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</si>
  <si>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</si>
  <si>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</si>
  <si>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</si>
  <si>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</si>
  <si>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</si>
  <si>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</si>
  <si>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</si>
  <si>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</si>
  <si>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</si>
  <si>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</si>
  <si>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</si>
  <si>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</si>
  <si>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</si>
  <si>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</si>
  <si>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</si>
  <si>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</si>
  <si>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</si>
  <si>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</si>
  <si>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</si>
  <si>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</si>
  <si>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</si>
  <si>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</si>
  <si>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</si>
  <si>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</si>
  <si>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</si>
  <si>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</si>
  <si>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</si>
  <si>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</si>
  <si>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</si>
  <si>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</si>
  <si>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</si>
  <si>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</si>
  <si>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</si>
  <si>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</si>
  <si>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</si>
  <si>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</si>
  <si>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</si>
  <si>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</si>
  <si>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</si>
  <si>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</si>
  <si>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</si>
  <si>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</si>
  <si>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</si>
  <si>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</si>
  <si>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</si>
  <si>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</si>
  <si>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</si>
  <si>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</si>
  <si>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</si>
  <si>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</si>
  <si>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</si>
  <si>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</si>
  <si>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</si>
  <si>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</si>
  <si>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</si>
  <si>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</si>
  <si>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</si>
  <si>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</si>
  <si>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</si>
  <si>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</si>
  <si>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</si>
  <si>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</si>
  <si>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</si>
  <si>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</si>
  <si>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</si>
  <si>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</si>
  <si>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</si>
  <si>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</si>
  <si>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</si>
  <si>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</si>
  <si>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</si>
  <si>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</si>
  <si>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</si>
  <si>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</si>
  <si>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</si>
  <si>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</si>
  <si>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</si>
  <si>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</si>
  <si>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</si>
  <si>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</si>
  <si>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</si>
  <si>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</si>
  <si>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</si>
  <si>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</si>
  <si>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</si>
  <si>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</si>
  <si>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</si>
  <si>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</si>
  <si>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</si>
  <si>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</si>
  <si>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</si>
  <si>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</si>
  <si>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</si>
  <si>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</si>
  <si>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</si>
  <si>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</si>
  <si>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</si>
  <si>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</si>
  <si>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</si>
  <si>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</si>
  <si>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</si>
  <si>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</si>
  <si>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</si>
  <si>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</si>
  <si>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</si>
  <si>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</si>
  <si>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</si>
  <si>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</si>
  <si>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</si>
  <si>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</si>
  <si>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</si>
  <si>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</si>
  <si>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</si>
  <si>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</si>
  <si>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</si>
  <si>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</si>
  <si>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</si>
  <si>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</si>
  <si>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</si>
  <si>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</si>
  <si>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</si>
  <si>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</si>
  <si>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</si>
  <si>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</si>
  <si>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</si>
  <si>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</si>
  <si>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</si>
  <si>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</si>
  <si>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</si>
  <si>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</si>
  <si>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</si>
  <si>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</si>
  <si>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</si>
  <si>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</si>
  <si>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</si>
  <si>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</si>
  <si>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</si>
  <si>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</si>
  <si>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</si>
  <si>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</si>
  <si>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</si>
  <si>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</si>
  <si>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</si>
  <si>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</si>
  <si>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</si>
  <si>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</si>
  <si>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</si>
  <si>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</si>
  <si>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</si>
  <si>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</si>
  <si>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</si>
  <si>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</si>
  <si>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</si>
  <si>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</si>
  <si>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</si>
  <si>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</si>
  <si>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</si>
  <si>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</si>
  <si>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</si>
  <si>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</si>
  <si>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</si>
  <si>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</si>
  <si>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</si>
  <si>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</si>
  <si>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</si>
  <si>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</si>
  <si>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</si>
  <si>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</si>
  <si>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</si>
  <si>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</si>
  <si>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</si>
  <si>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</si>
  <si>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</si>
  <si>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</si>
  <si>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</si>
  <si>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</si>
  <si>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</si>
  <si>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</si>
  <si>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</si>
  <si>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</si>
  <si>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</si>
  <si>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</si>
  <si>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</si>
  <si>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</si>
  <si>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</si>
  <si>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</si>
  <si>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</si>
  <si>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</si>
  <si>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</si>
  <si>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</si>
  <si>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</si>
  <si>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</si>
  <si>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</si>
  <si>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</si>
  <si>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</si>
  <si>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</si>
  <si>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</si>
  <si>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</si>
  <si>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</si>
  <si>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</si>
  <si>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</si>
  <si>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</si>
  <si>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</si>
  <si>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</si>
  <si>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</si>
  <si>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</si>
  <si>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</si>
  <si>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</si>
  <si>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</si>
  <si>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</si>
  <si>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</si>
  <si>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</si>
  <si>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</si>
  <si>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</si>
  <si>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</si>
  <si>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</si>
  <si>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</si>
  <si>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</si>
  <si>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</si>
  <si>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</si>
  <si>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</si>
  <si>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</si>
  <si>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</si>
  <si>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</si>
  <si>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</si>
  <si>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</si>
  <si>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</si>
  <si>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</si>
  <si>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</si>
  <si>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</si>
  <si>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</si>
  <si>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</si>
  <si>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</si>
  <si>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</si>
  <si>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</si>
  <si>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</si>
  <si>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</si>
  <si>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</si>
  <si>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</si>
  <si>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</si>
  <si>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</si>
  <si>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</si>
  <si>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</si>
  <si>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</si>
  <si>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</si>
  <si>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</si>
  <si>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</si>
  <si>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</si>
  <si>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</si>
  <si>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</si>
  <si>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</si>
  <si>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</si>
  <si>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</si>
  <si>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</si>
  <si>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</si>
  <si>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</si>
  <si>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</si>
  <si>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</si>
  <si>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</si>
  <si>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</si>
  <si>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</si>
  <si>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</si>
  <si>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</si>
  <si>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</si>
  <si>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</si>
  <si>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</si>
  <si>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</si>
  <si>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</si>
  <si>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</si>
  <si>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</si>
  <si>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</si>
  <si>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</si>
  <si>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</si>
  <si>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</si>
  <si>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</si>
  <si>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</si>
  <si>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</si>
  <si>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</si>
  <si>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</si>
  <si>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</si>
  <si>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</si>
  <si>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</si>
  <si>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</si>
  <si>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</si>
  <si>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</si>
  <si>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</si>
  <si>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</si>
  <si>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</si>
  <si>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</si>
  <si>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</si>
  <si>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</si>
  <si>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</si>
  <si>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</si>
  <si>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</si>
  <si>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</si>
  <si>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</si>
  <si>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</si>
  <si>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</si>
  <si>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</si>
  <si>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</si>
  <si>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</si>
  <si>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</si>
  <si>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</si>
  <si>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</si>
  <si>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</si>
  <si>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</si>
  <si>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</si>
  <si>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</si>
  <si>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</si>
  <si>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</si>
  <si>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</si>
  <si>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</si>
  <si>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</si>
  <si>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</si>
  <si>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</si>
  <si>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</si>
  <si>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</si>
  <si>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</si>
  <si>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</si>
  <si>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</si>
  <si>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</si>
  <si>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</si>
  <si>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</si>
  <si>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</si>
  <si>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</si>
  <si>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</si>
  <si>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</si>
  <si>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</si>
  <si>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</si>
  <si>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</si>
  <si>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</si>
  <si>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</si>
  <si>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</si>
  <si>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</si>
  <si>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</si>
  <si>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</si>
  <si>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</si>
  <si>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</si>
  <si>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</si>
  <si>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</si>
  <si>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</si>
  <si>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</si>
  <si>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</si>
  <si>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</si>
  <si>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</si>
  <si>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</si>
  <si>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</si>
  <si>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</si>
  <si>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</si>
  <si>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</si>
  <si>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</si>
  <si>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</si>
  <si>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</si>
  <si>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</si>
  <si>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</si>
  <si>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</si>
  <si>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</si>
  <si>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</si>
  <si>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</si>
  <si>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</si>
  <si>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</si>
  <si>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</si>
  <si>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</si>
  <si>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</si>
  <si>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</si>
  <si>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</si>
  <si>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</si>
  <si>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</si>
  <si>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</si>
  <si>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</si>
  <si>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</si>
  <si>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</si>
  <si>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</si>
  <si>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</si>
  <si>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</si>
  <si>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</si>
  <si>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</si>
  <si>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</si>
  <si>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</si>
  <si>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</si>
  <si>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</si>
  <si>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</si>
  <si>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</si>
  <si>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</si>
  <si>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</si>
  <si>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</si>
  <si>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</si>
  <si>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</si>
  <si>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</si>
  <si>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</si>
  <si>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</si>
  <si>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</si>
  <si>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</si>
  <si>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</si>
  <si>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</si>
  <si>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</si>
  <si>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</si>
  <si>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</si>
  <si>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</si>
  <si>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</si>
  <si>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</si>
  <si>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</si>
  <si>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</si>
  <si>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</si>
  <si>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</si>
  <si>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</si>
  <si>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</si>
  <si>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</si>
  <si>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</si>
  <si>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</si>
  <si>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</si>
  <si>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</si>
  <si>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</si>
  <si>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</si>
  <si>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</si>
  <si>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</si>
  <si>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</si>
  <si>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</si>
  <si>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</si>
  <si>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</si>
  <si>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</si>
  <si>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</si>
  <si>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</si>
  <si>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</si>
  <si>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</si>
  <si>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</si>
  <si>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</si>
  <si>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</si>
  <si>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</si>
  <si>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</si>
  <si>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</si>
  <si>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</si>
  <si>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</si>
  <si>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</si>
  <si>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</si>
  <si>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</si>
  <si>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</si>
  <si>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</si>
  <si>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</si>
  <si>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</si>
  <si>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</si>
  <si>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</si>
  <si>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</si>
  <si>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</si>
  <si>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</si>
  <si>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</si>
  <si>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</si>
  <si>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</si>
  <si>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</si>
  <si>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</si>
  <si>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</si>
  <si>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</si>
  <si>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</si>
  <si>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</si>
  <si>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</si>
  <si>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</si>
  <si>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</si>
  <si>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</si>
  <si>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</si>
  <si>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</si>
  <si>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</si>
  <si>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</si>
  <si>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</si>
  <si>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</si>
  <si>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</si>
  <si>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</si>
  <si>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</si>
  <si>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</si>
  <si>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</si>
  <si>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</si>
  <si>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</si>
  <si>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</si>
  <si>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</si>
  <si>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</si>
  <si>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</si>
  <si>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</si>
  <si>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</si>
  <si>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</si>
  <si>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</si>
  <si>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</si>
  <si>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</si>
  <si>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</si>
  <si>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</si>
  <si>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</si>
  <si>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</si>
  <si>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</si>
  <si>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</si>
  <si>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</si>
  <si>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</si>
  <si>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</si>
  <si>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</si>
  <si>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</si>
  <si>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</si>
  <si>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</si>
  <si>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</si>
  <si>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</si>
  <si>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</si>
  <si>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</si>
  <si>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</si>
  <si>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</si>
  <si>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</si>
  <si>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</si>
  <si>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</si>
  <si>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</si>
  <si>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</si>
  <si>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</si>
  <si>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</si>
  <si>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</si>
  <si>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</si>
  <si>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</si>
  <si>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</si>
  <si>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</si>
  <si>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</si>
  <si>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</si>
  <si>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</si>
  <si>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</si>
  <si>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</si>
  <si>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</si>
  <si>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</si>
  <si>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</si>
  <si>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</si>
  <si>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</si>
  <si>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</si>
  <si>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</si>
  <si>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</si>
  <si>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</si>
  <si>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</si>
  <si>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</si>
  <si>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</si>
  <si>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</si>
  <si>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</si>
  <si>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</si>
  <si>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</si>
  <si>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</si>
  <si>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</si>
  <si>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</si>
  <si>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</si>
  <si>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</si>
  <si>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</si>
  <si>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</si>
  <si>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</si>
  <si>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</si>
  <si>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</si>
  <si>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</si>
  <si>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</si>
  <si>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</si>
  <si>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</si>
  <si>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</si>
  <si>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</si>
  <si>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</si>
  <si>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</si>
  <si>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</si>
  <si>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</si>
  <si>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</si>
  <si>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</si>
  <si>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</si>
  <si>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</si>
  <si>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</si>
  <si>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</si>
  <si>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</si>
  <si>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</si>
  <si>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</si>
  <si>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</si>
  <si>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</si>
  <si>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</si>
  <si>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</si>
  <si>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</si>
  <si>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</si>
  <si>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</si>
  <si>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</si>
  <si>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</si>
  <si>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</si>
  <si>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</si>
  <si>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</si>
  <si>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</si>
  <si>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</si>
  <si>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</si>
  <si>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</si>
  <si>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</si>
  <si>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</si>
  <si>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</si>
  <si>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</si>
  <si>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</si>
  <si>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</si>
  <si>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</si>
  <si>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</si>
  <si>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</si>
  <si>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</si>
  <si>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</si>
  <si>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</si>
  <si>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</si>
  <si>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</si>
  <si>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</si>
  <si>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</si>
  <si>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</si>
  <si>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</si>
  <si>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</si>
  <si>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</si>
  <si>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</si>
  <si>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</si>
  <si>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</si>
  <si>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</si>
  <si>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</si>
  <si>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</si>
  <si>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</si>
  <si>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</si>
  <si>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</si>
  <si>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</si>
  <si>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</si>
  <si>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</si>
  <si>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</si>
  <si>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</si>
  <si>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</si>
  <si>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</si>
  <si>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</si>
  <si>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</si>
  <si>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</si>
  <si>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</si>
  <si>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</si>
  <si>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</si>
  <si>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</si>
  <si>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</si>
  <si>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</si>
  <si>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</si>
  <si>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</si>
  <si>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</si>
  <si>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</si>
  <si>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</si>
  <si>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</si>
  <si>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</si>
  <si>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</si>
  <si>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</si>
  <si>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</si>
  <si>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</si>
  <si>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</si>
  <si>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</si>
  <si>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</si>
  <si>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</si>
  <si>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</si>
  <si>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</si>
  <si>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</si>
  <si>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</si>
  <si>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</si>
  <si>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</si>
  <si>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</si>
  <si>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</si>
  <si>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</si>
  <si>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</si>
  <si>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</si>
  <si>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</si>
  <si>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</si>
  <si>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</si>
  <si>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</si>
  <si>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</si>
  <si>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</si>
  <si>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</si>
  <si>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</si>
  <si>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</si>
  <si>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</si>
  <si>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</si>
  <si>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</si>
  <si>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</si>
  <si>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</si>
  <si>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</si>
  <si>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</si>
  <si>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</si>
  <si>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</si>
  <si>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</si>
  <si>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</si>
  <si>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</si>
  <si>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</si>
  <si>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</si>
  <si>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</si>
  <si>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</si>
  <si>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</si>
  <si>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</si>
  <si>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</si>
  <si>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</si>
  <si>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</si>
  <si>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</si>
  <si>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</si>
  <si>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</si>
  <si>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</si>
  <si>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</si>
  <si>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</si>
  <si>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</si>
  <si>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</si>
  <si>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</si>
  <si>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</si>
  <si>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</si>
  <si>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</si>
  <si>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</si>
  <si>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</si>
  <si>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</si>
  <si>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</si>
  <si>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</si>
  <si>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</si>
  <si>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</si>
  <si>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</si>
  <si>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</si>
  <si>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</si>
  <si>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</si>
  <si>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</si>
  <si>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</si>
  <si>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</si>
  <si>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</si>
  <si>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</si>
  <si>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</si>
  <si>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</si>
  <si>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</si>
  <si>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</si>
  <si>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</si>
  <si>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</si>
  <si>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</si>
  <si>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</si>
  <si>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</si>
  <si>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</si>
  <si>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</si>
  <si>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</si>
  <si>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</si>
  <si>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</si>
  <si>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</si>
  <si>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</si>
  <si>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</si>
  <si>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</si>
  <si>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</si>
  <si>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</si>
  <si>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</si>
  <si>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</si>
  <si>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</si>
  <si>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</si>
  <si>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</si>
  <si>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</si>
  <si>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</si>
  <si>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</si>
  <si>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</si>
  <si>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</si>
  <si>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</si>
  <si>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</si>
  <si>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</si>
  <si>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</si>
  <si>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</si>
  <si>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</si>
  <si>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</si>
  <si>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</si>
  <si>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</si>
  <si>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</si>
  <si>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</si>
  <si>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</si>
  <si>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</si>
  <si>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</si>
  <si>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</si>
  <si>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</si>
  <si>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</si>
  <si>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</si>
  <si>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</si>
  <si>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</si>
  <si>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</si>
  <si>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</si>
  <si>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</si>
  <si>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</si>
  <si>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</si>
  <si>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</si>
  <si>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</si>
  <si>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</si>
  <si>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</si>
  <si>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</si>
  <si>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</si>
  <si>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</si>
  <si>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</si>
  <si>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</si>
  <si>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</si>
  <si>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</si>
  <si>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</si>
  <si>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</si>
  <si>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</si>
  <si>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</si>
  <si>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</si>
  <si>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</si>
  <si>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</si>
  <si>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</si>
  <si>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</si>
  <si>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</si>
  <si>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</si>
  <si>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</si>
  <si>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</si>
  <si>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</si>
  <si>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</si>
  <si>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</si>
  <si>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</si>
  <si>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</si>
  <si>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</si>
  <si>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</si>
  <si>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</si>
  <si>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</si>
  <si>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</si>
  <si>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</si>
  <si>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</si>
  <si>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</si>
  <si>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</si>
  <si>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</si>
  <si>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</si>
  <si>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</si>
  <si>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</si>
  <si>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</si>
  <si>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</si>
  <si>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</si>
  <si>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</si>
  <si>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</si>
  <si>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</si>
  <si>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</si>
  <si>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</si>
  <si>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</si>
  <si>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</si>
  <si>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</si>
  <si>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</si>
  <si>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</si>
  <si>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</si>
  <si>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</si>
  <si>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</si>
  <si>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</si>
  <si>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</si>
  <si>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</si>
  <si>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</si>
  <si>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</si>
  <si>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</si>
  <si>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</si>
  <si>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</si>
  <si>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</si>
  <si>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</si>
  <si>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</si>
  <si>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</si>
  <si>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</si>
  <si>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</si>
  <si>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</si>
  <si>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</si>
  <si>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</si>
  <si>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</si>
  <si>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</si>
  <si>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</si>
  <si>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</si>
  <si>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</si>
  <si>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</si>
  <si>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</si>
  <si>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</si>
  <si>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</si>
  <si>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</si>
  <si>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</si>
  <si>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</si>
  <si>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</si>
  <si>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</si>
  <si>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</si>
  <si>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</si>
  <si>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</si>
  <si>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</si>
  <si>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</si>
  <si>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</si>
  <si>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</si>
  <si>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</si>
  <si>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</si>
  <si>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</si>
  <si>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</si>
  <si>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</si>
  <si>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</si>
  <si>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</si>
  <si>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</si>
  <si>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</si>
  <si>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</si>
  <si>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</si>
  <si>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</si>
  <si>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</si>
  <si>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</si>
  <si>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</si>
  <si>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</si>
  <si>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</si>
  <si>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</si>
  <si>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</si>
  <si>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</si>
  <si>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</si>
  <si>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</si>
  <si>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</si>
  <si>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</si>
  <si>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</si>
  <si>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</si>
  <si>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</si>
  <si>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</si>
  <si>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</si>
  <si>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</si>
  <si>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</si>
  <si>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</si>
  <si>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</si>
  <si>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</si>
  <si>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</si>
  <si>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</si>
  <si>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</si>
  <si>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</si>
  <si>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</si>
  <si>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</si>
  <si>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</si>
  <si>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</si>
  <si>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</si>
  <si>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</si>
  <si>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</si>
  <si>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</si>
  <si>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</si>
  <si>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</si>
  <si>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</si>
  <si>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</si>
  <si>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</si>
  <si>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</si>
  <si>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</si>
  <si>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</si>
  <si>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</si>
  <si>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</si>
  <si>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</si>
  <si>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</si>
  <si>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</si>
  <si>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</si>
  <si>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</si>
  <si>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</si>
  <si>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</si>
  <si>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</si>
  <si>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</si>
  <si>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</si>
  <si>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</si>
  <si>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</si>
  <si>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</si>
  <si>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</si>
  <si>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</si>
  <si>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</si>
  <si>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</si>
  <si>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</si>
  <si>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</si>
  <si>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</si>
  <si>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</si>
  <si>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</si>
  <si>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</si>
  <si>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</si>
  <si>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</si>
  <si>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</si>
  <si>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</si>
  <si>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</si>
  <si>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</si>
  <si>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</si>
  <si>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</si>
  <si>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</si>
  <si>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</si>
  <si>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</si>
  <si>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</si>
  <si>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</si>
  <si>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</si>
  <si>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</si>
  <si>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</si>
  <si>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</si>
  <si>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</si>
  <si>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</si>
  <si>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</si>
  <si>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</si>
  <si>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</si>
  <si>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</si>
  <si>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</si>
  <si>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</si>
  <si>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</si>
  <si>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</si>
  <si>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</si>
  <si>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</si>
  <si>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</si>
  <si>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</si>
  <si>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</si>
  <si>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</si>
  <si>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</si>
  <si>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</si>
  <si>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</si>
  <si>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</si>
  <si>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</si>
  <si>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</si>
  <si>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</si>
  <si>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</si>
  <si>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</si>
  <si>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</si>
  <si>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</si>
  <si>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</si>
  <si>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</si>
  <si>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</si>
  <si>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</si>
  <si>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</si>
  <si>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</si>
  <si>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</si>
  <si>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</si>
  <si>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</si>
  <si>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</si>
  <si>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</si>
  <si>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</si>
  <si>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</si>
  <si>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</si>
  <si>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</si>
  <si>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</si>
  <si>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</si>
  <si>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</si>
  <si>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</si>
  <si>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</si>
  <si>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</si>
  <si>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</si>
  <si>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</si>
  <si>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</si>
  <si>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</si>
  <si>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</si>
  <si>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</si>
  <si>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</si>
  <si>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</si>
  <si>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</si>
  <si>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</si>
  <si>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</si>
  <si>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</si>
  <si>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</si>
  <si>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</si>
  <si>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</si>
  <si>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</si>
  <si>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</si>
  <si>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</si>
  <si>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</si>
  <si>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</si>
  <si>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</si>
  <si>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</si>
  <si>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</si>
  <si>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</si>
  <si>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</si>
  <si>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</si>
  <si>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</si>
  <si>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</si>
  <si>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</si>
  <si>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</si>
  <si>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</si>
  <si>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</si>
  <si>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</si>
  <si>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</si>
  <si>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</si>
  <si>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</si>
  <si>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</si>
  <si>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</si>
  <si>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</si>
  <si>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</si>
  <si>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</si>
  <si>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</si>
  <si>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</si>
  <si>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</si>
  <si>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</si>
  <si>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</si>
  <si>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</si>
  <si>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</si>
  <si>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</si>
  <si>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</si>
  <si>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</si>
  <si>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</si>
  <si>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</si>
  <si>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</si>
  <si>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</si>
  <si>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</si>
  <si>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</si>
  <si>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</si>
  <si>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</si>
  <si>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</si>
  <si>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</si>
  <si>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</si>
  <si>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</si>
  <si>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</si>
  <si>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</si>
  <si>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</si>
  <si>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</si>
  <si>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</si>
  <si>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</si>
  <si>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</si>
  <si>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</si>
  <si>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</si>
  <si>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</si>
  <si>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</si>
  <si>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</si>
  <si>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</si>
  <si>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</si>
  <si>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</si>
  <si>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</si>
  <si>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</si>
  <si>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</si>
  <si>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</si>
  <si>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</si>
  <si>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</si>
  <si>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</si>
  <si>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</si>
  <si>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</si>
  <si>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</si>
  <si>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</si>
  <si>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</si>
  <si>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</si>
  <si>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</si>
  <si>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</si>
  <si>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</si>
  <si>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</si>
  <si>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</si>
  <si>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</si>
  <si>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</si>
  <si>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</si>
  <si>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</si>
  <si>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</si>
  <si>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</si>
  <si>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</si>
  <si>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</si>
  <si>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</si>
  <si>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</si>
  <si>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</si>
  <si>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</si>
  <si>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</si>
  <si>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</si>
  <si>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</si>
  <si>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</si>
  <si>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</si>
  <si>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</si>
  <si>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</si>
  <si>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</si>
  <si>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</si>
  <si>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</si>
  <si>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</si>
  <si>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</si>
  <si>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</si>
  <si>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</si>
  <si>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</si>
  <si>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</si>
  <si>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</si>
  <si>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</si>
  <si>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</si>
  <si>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</si>
  <si>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</si>
  <si>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</si>
  <si>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</si>
  <si>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</si>
  <si>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</si>
  <si>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</si>
  <si>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</si>
  <si>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</si>
  <si>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</si>
  <si>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</si>
  <si>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</si>
  <si>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</si>
  <si>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</si>
  <si>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</si>
  <si>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</si>
  <si>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</si>
  <si>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</si>
  <si>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</si>
  <si>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</si>
  <si>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</si>
  <si>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</si>
  <si>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</si>
  <si>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</si>
  <si>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</si>
  <si>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</si>
  <si>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</si>
  <si>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</si>
  <si>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</si>
  <si>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</si>
  <si>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</si>
  <si>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</si>
  <si>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</si>
  <si>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</si>
  <si>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</si>
  <si>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</si>
  <si>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</si>
  <si>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</si>
  <si>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</si>
  <si>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</si>
  <si>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</si>
  <si>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</si>
  <si>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</si>
  <si>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</si>
  <si>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</si>
  <si>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</si>
  <si>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</si>
  <si>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</si>
  <si>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</si>
  <si>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</si>
  <si>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</si>
  <si>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</si>
  <si>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</si>
  <si>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</si>
  <si>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</si>
  <si>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</si>
  <si>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</si>
  <si>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</si>
  <si>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</si>
  <si>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</si>
  <si>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</si>
  <si>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</si>
  <si>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</si>
  <si>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</si>
  <si>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</si>
  <si>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</si>
  <si>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</si>
  <si>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</si>
  <si>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</si>
  <si>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</si>
  <si>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</si>
  <si>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</si>
  <si>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</si>
  <si>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</si>
  <si>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</si>
  <si>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</si>
  <si>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</si>
  <si>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</si>
  <si>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</si>
  <si>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</si>
  <si>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</si>
  <si>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</si>
  <si>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</si>
  <si>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</si>
  <si>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</si>
  <si>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</si>
  <si>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</si>
  <si>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</si>
  <si>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</si>
  <si>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</si>
  <si>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</si>
  <si>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</si>
  <si>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</si>
  <si>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</si>
  <si>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</si>
  <si>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</si>
  <si>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</si>
  <si>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</si>
  <si>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</si>
  <si>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</si>
  <si>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</si>
  <si>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</si>
  <si>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</si>
  <si>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</si>
  <si>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</si>
  <si>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</si>
  <si>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</si>
  <si>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</si>
  <si>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</si>
  <si>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</si>
  <si>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</si>
  <si>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</si>
  <si>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</si>
  <si>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</si>
  <si>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</si>
  <si>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</si>
  <si>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</si>
  <si>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</si>
  <si>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</si>
  <si>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</si>
  <si>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</si>
  <si>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</si>
  <si>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</si>
  <si>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</si>
  <si>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</si>
  <si>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</si>
  <si>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</si>
  <si>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</si>
  <si>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</si>
  <si>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</si>
  <si>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</si>
  <si>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</si>
  <si>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</si>
  <si>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</si>
  <si>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</si>
  <si>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</si>
  <si>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</si>
  <si>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</si>
  <si>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</si>
  <si>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</si>
  <si>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</si>
  <si>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</si>
  <si>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</si>
  <si>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</si>
  <si>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</si>
  <si>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</si>
  <si>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</si>
  <si>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</si>
  <si>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</si>
  <si>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</si>
  <si>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</si>
  <si>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</si>
  <si>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</si>
  <si>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</si>
  <si>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</si>
  <si>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</si>
  <si>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</si>
  <si>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</si>
  <si>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</si>
  <si>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</si>
  <si>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</si>
  <si>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</si>
  <si>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</si>
  <si>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</si>
  <si>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</si>
  <si>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</si>
  <si>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</si>
  <si>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</si>
  <si>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</si>
  <si>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</si>
  <si>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</si>
  <si>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</si>
  <si>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</si>
  <si>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</si>
  <si>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</si>
  <si>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</si>
  <si>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</si>
  <si>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</si>
  <si>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</si>
  <si>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</si>
  <si>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</si>
  <si>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</si>
  <si>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</si>
  <si>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</si>
  <si>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</si>
  <si>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</si>
  <si>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</si>
  <si>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</si>
  <si>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</si>
  <si>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</si>
  <si>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</si>
  <si>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</si>
  <si>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</si>
  <si>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</si>
  <si>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</si>
  <si>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</si>
  <si>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</si>
  <si>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</si>
  <si>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</si>
  <si>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</si>
  <si>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</si>
  <si>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</si>
  <si>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</si>
  <si>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</si>
  <si>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</si>
  <si>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</si>
  <si>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</si>
  <si>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</si>
  <si>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</si>
  <si>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</si>
  <si>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</si>
  <si>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</si>
  <si>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</si>
  <si>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</si>
  <si>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</si>
  <si>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</si>
  <si>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</si>
  <si>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</si>
  <si>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</si>
  <si>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</si>
  <si>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</si>
  <si>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</si>
  <si>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</si>
  <si>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</si>
  <si>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</si>
  <si>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</si>
  <si>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</si>
  <si>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</si>
  <si>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</si>
  <si>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</si>
  <si>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</si>
  <si>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</si>
  <si>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</si>
  <si>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</si>
  <si>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</si>
  <si>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</si>
  <si>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</si>
  <si>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</si>
  <si>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</si>
  <si>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</si>
  <si>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</si>
  <si>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</si>
  <si>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</si>
  <si>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</si>
  <si>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</si>
  <si>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</si>
  <si>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</si>
  <si>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</si>
  <si>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</si>
  <si>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</si>
  <si>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</si>
  <si>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</si>
  <si>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</si>
  <si>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</si>
  <si>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</si>
  <si>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</si>
  <si>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</si>
  <si>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</si>
  <si>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</si>
  <si>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</si>
  <si>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</si>
  <si>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</si>
  <si>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</si>
  <si>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</si>
  <si>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</si>
  <si>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</si>
  <si>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</si>
  <si>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</si>
  <si>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</si>
  <si>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</si>
  <si>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</si>
  <si>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</si>
  <si>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</si>
  <si>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</si>
  <si>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</si>
  <si>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</si>
  <si>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</si>
  <si>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</si>
  <si>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</si>
  <si>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</si>
  <si>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</si>
  <si>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</si>
  <si>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</si>
  <si>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</si>
  <si>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</si>
  <si>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</si>
  <si>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</si>
  <si>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</si>
  <si>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</si>
  <si>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</si>
  <si>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</si>
  <si>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</si>
  <si>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</si>
  <si>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</si>
  <si>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</si>
  <si>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</si>
  <si>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</si>
  <si>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</si>
  <si>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</si>
  <si>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</si>
  <si>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</si>
  <si>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</si>
  <si>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</si>
  <si>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</si>
  <si>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</si>
  <si>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</si>
  <si>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</si>
  <si>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</si>
  <si>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</si>
  <si>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</si>
  <si>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</si>
  <si>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</si>
  <si>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</si>
  <si>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</si>
  <si>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</si>
  <si>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</si>
  <si>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</si>
  <si>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</si>
  <si>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</si>
  <si>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</si>
  <si>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</si>
  <si>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</si>
  <si>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</si>
  <si>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</si>
  <si>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</si>
  <si>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</si>
  <si>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</si>
  <si>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</si>
  <si>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</si>
  <si>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</si>
  <si>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</si>
  <si>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</si>
  <si>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</si>
  <si>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</si>
  <si>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</si>
  <si>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</si>
  <si>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</si>
  <si>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</si>
  <si>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</si>
  <si>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</si>
  <si>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</si>
  <si>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</si>
  <si>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</si>
  <si>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</si>
  <si>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</si>
  <si>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</si>
  <si>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</si>
  <si>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</si>
  <si>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</si>
  <si>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</si>
  <si>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</si>
  <si>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</si>
  <si>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</si>
  <si>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</si>
  <si>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</si>
  <si>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</si>
  <si>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</si>
  <si>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</si>
  <si>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</si>
  <si>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</si>
  <si>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</si>
  <si>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</si>
  <si>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</si>
  <si>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</si>
  <si>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</si>
  <si>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</si>
  <si>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</si>
  <si>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</si>
  <si>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</si>
  <si>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</si>
  <si>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</si>
  <si>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</si>
  <si>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</si>
  <si>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</si>
  <si>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</si>
  <si>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</si>
  <si>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</si>
  <si>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</si>
  <si>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</si>
  <si>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</si>
  <si>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</si>
  <si>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</si>
  <si>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</si>
  <si>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</si>
  <si>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</si>
  <si>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</si>
  <si>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</si>
  <si>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</si>
  <si>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</si>
  <si>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</si>
  <si>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</si>
  <si>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</si>
  <si>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</si>
  <si>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</si>
  <si>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</si>
  <si>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</si>
  <si>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</si>
  <si>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</si>
  <si>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</si>
  <si>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</si>
  <si>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</si>
  <si>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</si>
  <si>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</si>
  <si>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</si>
  <si>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</si>
  <si>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</si>
  <si>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</si>
  <si>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</si>
  <si>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</si>
  <si>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</si>
  <si>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</si>
  <si>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</si>
  <si>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</si>
  <si>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</si>
  <si>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</si>
  <si>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</si>
  <si>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</si>
  <si>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</si>
  <si>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</si>
  <si>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</si>
  <si>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</si>
  <si>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</si>
  <si>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</si>
  <si>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</si>
  <si>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</si>
  <si>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</si>
  <si>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</si>
  <si>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</si>
  <si>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</si>
  <si>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</si>
  <si>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</si>
  <si>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</si>
  <si>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</si>
  <si>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</si>
  <si>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</si>
  <si>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</si>
  <si>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</si>
  <si>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</si>
  <si>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</si>
  <si>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</si>
  <si>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</si>
  <si>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</si>
  <si>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</si>
  <si>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</si>
  <si>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</si>
  <si>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</si>
  <si>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</si>
  <si>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</si>
  <si>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</si>
  <si>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</si>
  <si>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</si>
  <si>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</si>
  <si>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</si>
  <si>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</si>
  <si>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</si>
  <si>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</si>
  <si>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</si>
  <si>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</si>
  <si>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</si>
  <si>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</si>
  <si>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</si>
  <si>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</si>
  <si>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</si>
  <si>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</si>
  <si>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</si>
  <si>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</si>
  <si>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</si>
  <si>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</si>
  <si>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</si>
  <si>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</si>
  <si>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</si>
  <si>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</si>
  <si>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</si>
  <si>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</si>
  <si>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</si>
  <si>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</si>
  <si>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</si>
  <si>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</si>
  <si>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</si>
  <si>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</si>
  <si>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</si>
  <si>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</si>
  <si>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</si>
  <si>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</si>
  <si>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</si>
  <si>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</si>
  <si>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</si>
  <si>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</si>
  <si>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</si>
  <si>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</si>
  <si>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</si>
  <si>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</si>
  <si>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</si>
  <si>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</si>
  <si>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</si>
  <si>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</si>
  <si>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</si>
  <si>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</si>
  <si>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</si>
  <si>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</si>
  <si>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</si>
  <si>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</si>
  <si>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</si>
  <si>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</si>
  <si>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</si>
  <si>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</si>
  <si>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</si>
  <si>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</si>
  <si>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</si>
  <si>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</si>
  <si>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</si>
  <si>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</si>
  <si>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</si>
  <si>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</si>
  <si>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</si>
  <si>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</si>
  <si>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</si>
  <si>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</si>
  <si>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</si>
  <si>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</si>
  <si>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</si>
  <si>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</si>
  <si>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</si>
  <si>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</si>
  <si>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</si>
  <si>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</si>
  <si>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</si>
  <si>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</si>
  <si>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</si>
  <si>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</si>
  <si>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</si>
  <si>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</si>
  <si>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</si>
  <si>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</si>
  <si>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</si>
  <si>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</si>
  <si>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</si>
  <si>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住宅配套</t>
  </si>
  <si>
    <t>钢混</t>
  </si>
  <si>
    <t>精装修</t>
  </si>
  <si>
    <t>五通</t>
  </si>
  <si>
    <t>标准层高</t>
  </si>
  <si>
    <t>较适宜</t>
  </si>
  <si>
    <t>核定资产</t>
  </si>
  <si>
    <t>房地产市场价值</t>
  </si>
  <si>
    <t>北京市</t>
  </si>
  <si>
    <t>企业</t>
  </si>
  <si>
    <t>办公项目</t>
  </si>
  <si>
    <t>通路</t>
  </si>
  <si>
    <t>通电</t>
  </si>
  <si>
    <t>通讯</t>
  </si>
  <si>
    <t>通上水</t>
  </si>
  <si>
    <t>通下水</t>
  </si>
  <si>
    <t>地上</t>
  </si>
  <si>
    <t>是</t>
  </si>
  <si>
    <t>1层</t>
    <phoneticPr fontId="3" type="noConversion"/>
  </si>
  <si>
    <t>建成</t>
    <phoneticPr fontId="3" type="noConversion"/>
  </si>
  <si>
    <t>直线</t>
    <phoneticPr fontId="3" type="noConversion"/>
  </si>
  <si>
    <t>成新度</t>
  </si>
  <si>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</si>
  <si>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</si>
  <si>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</si>
  <si>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</si>
  <si>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</si>
  <si>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</si>
  <si>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</si>
  <si>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</si>
  <si>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</si>
  <si>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</si>
  <si>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</si>
  <si>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</si>
  <si>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</si>
  <si>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</si>
  <si>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</si>
  <si>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</si>
  <si>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</si>
  <si>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</si>
  <si>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</si>
  <si>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</si>
  <si>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</si>
  <si>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</si>
  <si>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</si>
  <si>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</si>
  <si>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</si>
  <si>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</si>
  <si>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</si>
  <si>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</si>
  <si>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</si>
  <si>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</si>
  <si>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</si>
  <si>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</si>
  <si>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</si>
  <si>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</si>
  <si>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</si>
  <si>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毛坯</t>
  </si>
  <si>
    <t>面积</t>
    <phoneticPr fontId="134" type="noConversion"/>
  </si>
  <si>
    <t>单套模式</t>
  </si>
  <si>
    <t>租金</t>
  </si>
  <si>
    <t>现房</t>
  </si>
  <si>
    <t>项目局部</t>
  </si>
  <si>
    <t>平整</t>
  </si>
  <si>
    <t>押一</t>
  </si>
  <si>
    <t>非生产用房</t>
  </si>
  <si>
    <t>收益法 (元)</t>
  </si>
  <si>
    <t>观察</t>
    <phoneticPr fontId="3" type="noConversion"/>
  </si>
  <si>
    <t>利息：取LPR</t>
  </si>
  <si>
    <t>序号</t>
    <phoneticPr fontId="3" type="noConversion"/>
  </si>
  <si>
    <t>租户</t>
    <phoneticPr fontId="3" type="noConversion"/>
  </si>
  <si>
    <t>租赁部位（含楼层）</t>
    <phoneticPr fontId="3" type="noConversion"/>
  </si>
  <si>
    <t>建筑面积</t>
    <phoneticPr fontId="3" type="noConversion"/>
  </si>
  <si>
    <t>计租面积</t>
    <phoneticPr fontId="3" type="noConversion"/>
  </si>
  <si>
    <t>合同期限</t>
    <phoneticPr fontId="3" type="noConversion"/>
  </si>
  <si>
    <t>（起始）日租金（元/天.平方米）</t>
    <phoneticPr fontId="3" type="noConversion"/>
  </si>
  <si>
    <t>年租金</t>
    <phoneticPr fontId="3" type="noConversion"/>
  </si>
  <si>
    <t>租金涨幅情况</t>
    <phoneticPr fontId="3" type="noConversion"/>
  </si>
  <si>
    <t>物业管理费</t>
    <phoneticPr fontId="3" type="noConversion"/>
  </si>
  <si>
    <t>其他</t>
    <phoneticPr fontId="3" type="noConversion"/>
  </si>
  <si>
    <t>品牌</t>
    <phoneticPr fontId="3" type="noConversion"/>
  </si>
  <si>
    <t>单位名称</t>
    <phoneticPr fontId="3" type="noConversion"/>
  </si>
  <si>
    <t>平方米</t>
    <phoneticPr fontId="3" type="noConversion"/>
  </si>
  <si>
    <t>起止年/月/日</t>
    <phoneticPr fontId="3" type="noConversion"/>
  </si>
  <si>
    <t>终止</t>
    <phoneticPr fontId="3" type="noConversion"/>
  </si>
  <si>
    <t>不含税</t>
    <phoneticPr fontId="3" type="noConversion"/>
  </si>
  <si>
    <t>含税</t>
    <phoneticPr fontId="3" type="noConversion"/>
  </si>
  <si>
    <t>元/天.平方米</t>
    <phoneticPr fontId="3" type="noConversion"/>
  </si>
  <si>
    <t>长盛基金</t>
    <phoneticPr fontId="3" type="noConversion"/>
  </si>
  <si>
    <t>长盛基金管理有限公司</t>
  </si>
  <si>
    <t>3、5整层</t>
  </si>
  <si>
    <t>2021/9/16</t>
    <phoneticPr fontId="3" type="noConversion"/>
  </si>
  <si>
    <t>2026/9/15</t>
    <phoneticPr fontId="3" type="noConversion"/>
  </si>
  <si>
    <t>2023年3月免租一个月</t>
    <phoneticPr fontId="3" type="noConversion"/>
  </si>
  <si>
    <t>长盛创富资产管理有限公司</t>
  </si>
  <si>
    <t>506</t>
  </si>
  <si>
    <t>2021/9/16</t>
    <phoneticPr fontId="3" type="noConversion"/>
  </si>
  <si>
    <t>2026/9/15</t>
    <phoneticPr fontId="3" type="noConversion"/>
  </si>
  <si>
    <t>百信银行</t>
    <phoneticPr fontId="3" type="noConversion"/>
  </si>
  <si>
    <t>中信百信银行股份有限公司</t>
  </si>
  <si>
    <t>8、9、10、11整</t>
  </si>
  <si>
    <t>1-3年362.32元/平米*月；4-5年377.8元/平米*月</t>
    <phoneticPr fontId="3" type="noConversion"/>
  </si>
  <si>
    <t>101B</t>
  </si>
  <si>
    <t>2019/5/1</t>
    <phoneticPr fontId="3" type="noConversion"/>
  </si>
  <si>
    <t>2024/4/30</t>
    <phoneticPr fontId="3" type="noConversion"/>
  </si>
  <si>
    <t>索通发展</t>
    <phoneticPr fontId="3" type="noConversion"/>
  </si>
  <si>
    <t>天津朗通国际商贸有限公司北京销售分公司</t>
  </si>
  <si>
    <t>1506A单元</t>
  </si>
  <si>
    <t>2020/12/1</t>
    <phoneticPr fontId="3" type="noConversion"/>
  </si>
  <si>
    <t>2025/12/31</t>
    <phoneticPr fontId="3" type="noConversion"/>
  </si>
  <si>
    <t>索通发展股份有限公司</t>
  </si>
  <si>
    <t>150151506C</t>
  </si>
  <si>
    <t>2020/12/1</t>
    <phoneticPr fontId="3" type="noConversion"/>
  </si>
  <si>
    <t>2025/12/31</t>
    <phoneticPr fontId="3" type="noConversion"/>
  </si>
  <si>
    <t>天津朗通国际经贸有限公司北京销售分公司</t>
  </si>
  <si>
    <t>1506B单元</t>
  </si>
  <si>
    <t>长安保险</t>
    <phoneticPr fontId="3" type="noConversion"/>
  </si>
  <si>
    <t>长安责任保险股份有限公司</t>
    <phoneticPr fontId="3" type="noConversion"/>
  </si>
  <si>
    <t>1603单元17层</t>
    <phoneticPr fontId="3" type="noConversion"/>
  </si>
  <si>
    <t>2023-2026年12月免租</t>
    <phoneticPr fontId="3" type="noConversion"/>
  </si>
  <si>
    <t>中国航油</t>
    <phoneticPr fontId="3" type="noConversion"/>
  </si>
  <si>
    <t>中国航油集团财务有限公司</t>
  </si>
  <si>
    <t>21整层</t>
  </si>
  <si>
    <t>2018/7/1</t>
    <phoneticPr fontId="3" type="noConversion"/>
  </si>
  <si>
    <t>2028/6/30</t>
    <phoneticPr fontId="3" type="noConversion"/>
  </si>
  <si>
    <r>
      <t>2018-7:340;</t>
    </r>
    <r>
      <rPr>
        <sz val="11"/>
        <color theme="1"/>
        <rFont val="宋体"/>
        <family val="3"/>
        <charset val="134"/>
        <scheme val="minor"/>
      </rPr>
      <t>2023-7:357</t>
    </r>
    <r>
      <rPr>
        <sz val="12"/>
        <rFont val="宋体"/>
        <family val="3"/>
        <charset val="134"/>
      </rPr>
      <t>;</t>
    </r>
    <r>
      <rPr>
        <sz val="11"/>
        <color theme="1"/>
        <rFont val="宋体"/>
        <family val="3"/>
        <charset val="134"/>
        <scheme val="minor"/>
      </rPr>
      <t>2026-7:367.71</t>
    </r>
    <phoneticPr fontId="3" type="noConversion"/>
  </si>
  <si>
    <t>金风科技</t>
    <phoneticPr fontId="3" type="noConversion"/>
  </si>
  <si>
    <t>北京天润新能投资有限公司</t>
  </si>
  <si>
    <t>22、23整层</t>
  </si>
  <si>
    <t>2023/1/1</t>
    <phoneticPr fontId="3" type="noConversion"/>
  </si>
  <si>
    <t>2027/12/31</t>
    <phoneticPr fontId="3" type="noConversion"/>
  </si>
  <si>
    <t>2026/1/1-2027/12/31,405元/平米*月</t>
    <phoneticPr fontId="3" type="noConversion"/>
  </si>
  <si>
    <t>益科正润</t>
    <phoneticPr fontId="3" type="noConversion"/>
  </si>
  <si>
    <t>益科正润投资集团有限公司</t>
  </si>
  <si>
    <t>25整层</t>
  </si>
  <si>
    <t>2017/12/21</t>
    <phoneticPr fontId="3" type="noConversion"/>
  </si>
  <si>
    <t>2023免租2个月，2024-2027每年9月免租1个月</t>
    <phoneticPr fontId="3" type="noConversion"/>
  </si>
  <si>
    <t>联储证券</t>
    <phoneticPr fontId="3" type="noConversion"/>
  </si>
  <si>
    <t>联储证券有限责任公司</t>
  </si>
  <si>
    <t>26整层</t>
  </si>
  <si>
    <t>27整层</t>
  </si>
  <si>
    <t>中国建筑</t>
    <phoneticPr fontId="3" type="noConversion"/>
  </si>
  <si>
    <t>中建财务有限公司</t>
  </si>
  <si>
    <t>20层</t>
  </si>
  <si>
    <t>2021/6/1</t>
    <phoneticPr fontId="3" type="noConversion"/>
  </si>
  <si>
    <t>2025/5/31</t>
    <phoneticPr fontId="3" type="noConversion"/>
  </si>
  <si>
    <t>中建资本控股有限公司</t>
  </si>
  <si>
    <t>30层04单元</t>
  </si>
  <si>
    <t>2021/1/1</t>
    <phoneticPr fontId="3" type="noConversion"/>
  </si>
  <si>
    <t>2024/12/31</t>
    <phoneticPr fontId="3" type="noConversion"/>
  </si>
  <si>
    <r>
      <t>2021-2023</t>
    </r>
    <r>
      <rPr>
        <sz val="11"/>
        <color theme="1"/>
        <rFont val="宋体"/>
        <family val="3"/>
        <charset val="134"/>
        <scheme val="minor"/>
      </rPr>
      <t>年6月免15天</t>
    </r>
    <phoneticPr fontId="3" type="noConversion"/>
  </si>
  <si>
    <t>中建投资基金管理（北京）有限公司</t>
  </si>
  <si>
    <t>30层03单元</t>
  </si>
  <si>
    <t>2024/12/31</t>
    <phoneticPr fontId="3" type="noConversion"/>
  </si>
  <si>
    <r>
      <t>2021-2023</t>
    </r>
    <r>
      <rPr>
        <sz val="11"/>
        <color theme="1"/>
        <rFont val="宋体"/>
        <family val="3"/>
        <charset val="134"/>
        <scheme val="minor"/>
      </rPr>
      <t>年6月免15天</t>
    </r>
    <phoneticPr fontId="3" type="noConversion"/>
  </si>
  <si>
    <t>中建商业保理有限公司</t>
  </si>
  <si>
    <t>30层02单元</t>
  </si>
  <si>
    <t>2021/1/1</t>
    <phoneticPr fontId="3" type="noConversion"/>
  </si>
  <si>
    <t>2024/12/31</t>
    <phoneticPr fontId="3" type="noConversion"/>
  </si>
  <si>
    <r>
      <t>2021-2023</t>
    </r>
    <r>
      <rPr>
        <sz val="11"/>
        <color theme="1"/>
        <rFont val="宋体"/>
        <family val="3"/>
        <charset val="134"/>
        <scheme val="minor"/>
      </rPr>
      <t>年6月免15天</t>
    </r>
    <phoneticPr fontId="3" type="noConversion"/>
  </si>
  <si>
    <t>中建英大保险经纪有限公司</t>
    <phoneticPr fontId="3" type="noConversion"/>
  </si>
  <si>
    <t>30层01单元</t>
  </si>
  <si>
    <t>中国建设基础设施有限公司</t>
  </si>
  <si>
    <t>31整层</t>
  </si>
  <si>
    <t>中国建筑股份有限公司（海外）</t>
  </si>
  <si>
    <t>32整层</t>
  </si>
  <si>
    <t>中国建筑股份有限公司</t>
    <phoneticPr fontId="3" type="noConversion"/>
  </si>
  <si>
    <t>2/18/19/28/29/33-40</t>
    <phoneticPr fontId="3" type="noConversion"/>
  </si>
  <si>
    <t>裙楼</t>
    <phoneticPr fontId="3" type="noConversion"/>
  </si>
  <si>
    <t>中信银行</t>
    <phoneticPr fontId="3" type="noConversion"/>
  </si>
  <si>
    <t>中信银行股份有限公司总行营业部</t>
  </si>
  <si>
    <t>101A</t>
  </si>
  <si>
    <t>2019/5/1</t>
    <phoneticPr fontId="3" type="noConversion"/>
  </si>
  <si>
    <t>2024/4/30</t>
    <phoneticPr fontId="3" type="noConversion"/>
  </si>
  <si>
    <t>百朗律所</t>
    <phoneticPr fontId="3" type="noConversion"/>
  </si>
  <si>
    <t>北京百朗律师事务所</t>
    <phoneticPr fontId="3" type="noConversion"/>
  </si>
  <si>
    <t>16层01、02A、06</t>
    <phoneticPr fontId="3" type="noConversion"/>
  </si>
  <si>
    <t>6年合约，共计6个月免租期，前三年360元/月*平米，后三年380元/月*平米</t>
    <phoneticPr fontId="3" type="noConversion"/>
  </si>
  <si>
    <t>2023-1-0571</t>
    <phoneticPr fontId="247" type="noConversion"/>
  </si>
  <si>
    <t>樱花园</t>
    <phoneticPr fontId="247" type="noConversion"/>
  </si>
  <si>
    <t>北京市朝阳区樱花园东街</t>
    <phoneticPr fontId="247" type="noConversion"/>
  </si>
  <si>
    <t>朝阳区</t>
    <phoneticPr fontId="247" type="noConversion"/>
  </si>
  <si>
    <t>和平街街道</t>
    <phoneticPr fontId="247" type="noConversion"/>
  </si>
  <si>
    <t>3-4环</t>
  </si>
  <si>
    <t>项目信息</t>
  </si>
  <si>
    <t>商业</t>
    <phoneticPr fontId="247" type="noConversion"/>
  </si>
  <si>
    <t>低层：≤3层，10米</t>
  </si>
  <si>
    <t>/</t>
    <phoneticPr fontId="247" type="noConversion"/>
  </si>
  <si>
    <t>独立商业</t>
  </si>
  <si>
    <t>1</t>
    <phoneticPr fontId="247" type="noConversion"/>
  </si>
  <si>
    <t>低区</t>
  </si>
  <si>
    <t>对外</t>
  </si>
  <si>
    <t>北京共创伟业文化传播有限公司</t>
    <phoneticPr fontId="247" type="noConversion"/>
  </si>
  <si>
    <t>红玫瑰烧腊豉油鸡饭</t>
    <phoneticPr fontId="247" type="noConversion"/>
  </si>
  <si>
    <t>餐饮（明火）</t>
  </si>
  <si>
    <t>/</t>
    <phoneticPr fontId="247" type="noConversion"/>
  </si>
  <si>
    <t>/</t>
    <phoneticPr fontId="247" type="noConversion"/>
  </si>
  <si>
    <t>/</t>
    <phoneticPr fontId="247" type="noConversion"/>
  </si>
  <si>
    <t>半年付</t>
  </si>
  <si>
    <t>其他</t>
  </si>
  <si>
    <t>约定</t>
    <phoneticPr fontId="247" type="noConversion"/>
  </si>
  <si>
    <t>合同</t>
  </si>
  <si>
    <t>/</t>
  </si>
  <si>
    <t>押金54000</t>
    <phoneticPr fontId="247" type="noConversion"/>
  </si>
  <si>
    <t>崔丽新</t>
    <phoneticPr fontId="247" type="noConversion"/>
  </si>
  <si>
    <t>邢轲</t>
    <phoneticPr fontId="247" type="noConversion"/>
  </si>
  <si>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</si>
  <si>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</si>
  <si>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</si>
  <si>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</si>
  <si>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</si>
  <si>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</si>
  <si>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</si>
  <si>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</si>
  <si>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</si>
  <si>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</si>
  <si>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</si>
  <si>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</si>
  <si>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</si>
  <si>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</si>
  <si>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</si>
  <si>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</si>
  <si>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</si>
  <si>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</si>
  <si>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</si>
  <si>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</si>
  <si>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</si>
  <si>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</si>
  <si>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</si>
  <si>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</si>
  <si>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</si>
  <si>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</si>
  <si>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</si>
  <si>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</si>
  <si>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</si>
  <si>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</si>
  <si>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</si>
  <si>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</si>
  <si>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</si>
  <si>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</si>
  <si>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</si>
  <si>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</si>
  <si>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</si>
  <si>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</si>
  <si>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</si>
  <si>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</si>
  <si>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</si>
  <si>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</si>
  <si>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</si>
  <si>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</si>
  <si>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</si>
  <si>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</si>
  <si>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</si>
  <si>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</si>
  <si>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</si>
  <si>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</si>
  <si>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</si>
  <si>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</si>
  <si>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</si>
  <si>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</si>
  <si>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</si>
  <si>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</si>
  <si>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</si>
  <si>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</si>
  <si>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</si>
  <si>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</si>
  <si>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</si>
  <si>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</si>
  <si>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</si>
  <si>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</si>
  <si>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</si>
  <si>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</si>
  <si>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</si>
  <si>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</si>
  <si>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</si>
  <si>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</si>
  <si>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</si>
  <si>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</si>
  <si>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</si>
  <si>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</si>
  <si>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</si>
  <si>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</si>
  <si>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</si>
  <si>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</si>
  <si>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</si>
  <si>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</si>
  <si>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</si>
  <si>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</si>
  <si>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</si>
  <si>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</si>
  <si>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</si>
  <si>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</si>
  <si>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</si>
  <si>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</si>
  <si>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</si>
  <si>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</si>
  <si>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</si>
  <si>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</si>
  <si>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</si>
  <si>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2023-1-0384-F01ZLGJ3</t>
    <phoneticPr fontId="247" type="noConversion"/>
  </si>
  <si>
    <t>金泰国益大厦</t>
    <phoneticPr fontId="247" type="noConversion"/>
  </si>
  <si>
    <t>朝阳区朝阳北路103号</t>
    <phoneticPr fontId="247" type="noConversion"/>
  </si>
  <si>
    <t>/</t>
    <phoneticPr fontId="247" type="noConversion"/>
  </si>
  <si>
    <t>北京市</t>
    <phoneticPr fontId="247" type="noConversion"/>
  </si>
  <si>
    <t>朝阳区</t>
    <phoneticPr fontId="247" type="noConversion"/>
  </si>
  <si>
    <t>八里庄街道</t>
    <phoneticPr fontId="247" type="noConversion"/>
  </si>
  <si>
    <t>4-5环</t>
  </si>
  <si>
    <t>非配套</t>
    <phoneticPr fontId="247" type="noConversion"/>
  </si>
  <si>
    <t>高层：11-30层，40-100米</t>
  </si>
  <si>
    <t>写字楼配套（底商/裙楼）</t>
  </si>
  <si>
    <t>中国银行股份有限公司北京通州支行</t>
    <phoneticPr fontId="247" type="noConversion"/>
  </si>
  <si>
    <t>银行营业网点</t>
  </si>
  <si>
    <t>季付</t>
  </si>
  <si>
    <t>每2年涨幅一次</t>
    <phoneticPr fontId="247" type="noConversion"/>
  </si>
  <si>
    <t>2023-1-0384</t>
    <phoneticPr fontId="247" type="noConversion"/>
  </si>
  <si>
    <t>华纺易城</t>
    <phoneticPr fontId="247" type="noConversion"/>
  </si>
  <si>
    <t>朝阳区青年路29号院</t>
    <phoneticPr fontId="247" type="noConversion"/>
  </si>
  <si>
    <t>平房乡</t>
    <phoneticPr fontId="247" type="noConversion"/>
  </si>
  <si>
    <t>市调案例</t>
  </si>
  <si>
    <t>住宅配套（底商/裙楼)</t>
  </si>
  <si>
    <t>1-2层</t>
    <phoneticPr fontId="247" type="noConversion"/>
  </si>
  <si>
    <t>2023-1-0270</t>
    <phoneticPr fontId="247" type="noConversion"/>
  </si>
  <si>
    <t>远洋山水</t>
    <phoneticPr fontId="247" type="noConversion"/>
  </si>
  <si>
    <t>石景山区玉泉西里二区1号楼</t>
    <phoneticPr fontId="247" type="noConversion"/>
  </si>
  <si>
    <t>北京市</t>
    <phoneticPr fontId="247" type="noConversion"/>
  </si>
  <si>
    <t>石景山区</t>
    <phoneticPr fontId="247" type="noConversion"/>
  </si>
  <si>
    <t>鲁谷街道</t>
    <phoneticPr fontId="247" type="noConversion"/>
  </si>
  <si>
    <t>配套公建</t>
    <phoneticPr fontId="247" type="noConversion"/>
  </si>
  <si>
    <t>/</t>
    <phoneticPr fontId="247" type="noConversion"/>
  </si>
  <si>
    <t>上海浦东发展银行股份有限公司北京分行</t>
    <phoneticPr fontId="247" type="noConversion"/>
  </si>
  <si>
    <t>浦发银行</t>
    <phoneticPr fontId="247" type="noConversion"/>
  </si>
  <si>
    <t>年付</t>
  </si>
  <si>
    <t>每三年递增5%</t>
    <phoneticPr fontId="247" type="noConversion"/>
  </si>
  <si>
    <t>邢轲</t>
    <phoneticPr fontId="247" type="noConversion"/>
  </si>
  <si>
    <t>赵雯</t>
    <phoneticPr fontId="247" type="noConversion"/>
  </si>
  <si>
    <t>2023-1-0270</t>
    <phoneticPr fontId="247" type="noConversion"/>
  </si>
  <si>
    <t>远洋山水</t>
    <phoneticPr fontId="247" type="noConversion"/>
  </si>
  <si>
    <t>石景山区玉泉西里二区</t>
    <phoneticPr fontId="247" type="noConversion"/>
  </si>
  <si>
    <t>北京市</t>
    <phoneticPr fontId="247" type="noConversion"/>
  </si>
  <si>
    <t>石景山区</t>
    <phoneticPr fontId="247" type="noConversion"/>
  </si>
  <si>
    <t>鲁谷街道</t>
    <phoneticPr fontId="247" type="noConversion"/>
  </si>
  <si>
    <t>商业</t>
    <phoneticPr fontId="247" type="noConversion"/>
  </si>
  <si>
    <t>押二</t>
  </si>
  <si>
    <t>市调（电话核实）</t>
  </si>
  <si>
    <t>朝东一侧临近台湾街</t>
    <phoneticPr fontId="247" type="noConversion"/>
  </si>
  <si>
    <t>邢轲</t>
    <phoneticPr fontId="247" type="noConversion"/>
  </si>
  <si>
    <t>赵雯</t>
    <phoneticPr fontId="247" type="noConversion"/>
  </si>
  <si>
    <t>2023-1-0660</t>
    <phoneticPr fontId="247" type="noConversion"/>
  </si>
  <si>
    <t>世纪金源大厦北侧</t>
    <phoneticPr fontId="247" type="noConversion"/>
  </si>
  <si>
    <t>北京市海淀区蓝靛厂东路2号</t>
    <phoneticPr fontId="247" type="noConversion"/>
  </si>
  <si>
    <t xml:space="preserve">北京市 </t>
    <phoneticPr fontId="247" type="noConversion"/>
  </si>
  <si>
    <t>海淀区</t>
    <phoneticPr fontId="247" type="noConversion"/>
  </si>
  <si>
    <t>曙光街道</t>
    <phoneticPr fontId="247" type="noConversion"/>
  </si>
  <si>
    <t>商业</t>
    <phoneticPr fontId="247" type="noConversion"/>
  </si>
  <si>
    <t>超市</t>
  </si>
  <si>
    <t>张泽</t>
    <phoneticPr fontId="247" type="noConversion"/>
  </si>
  <si>
    <t>嘉德公寓底商</t>
    <phoneticPr fontId="247" type="noConversion"/>
  </si>
  <si>
    <t>北京市海淀区复兴路甲38号</t>
    <phoneticPr fontId="247" type="noConversion"/>
  </si>
  <si>
    <t>永定路街道</t>
    <phoneticPr fontId="247" type="noConversion"/>
  </si>
  <si>
    <t>美容美发</t>
  </si>
  <si>
    <t>楼层修正</t>
  </si>
  <si>
    <t>出让</t>
  </si>
  <si>
    <t>2023-1-0445</t>
    <phoneticPr fontId="247" type="noConversion"/>
  </si>
  <si>
    <t>西城晶华</t>
    <phoneticPr fontId="247" type="noConversion"/>
  </si>
  <si>
    <t>西城区太平桥大街8号院3号楼1至2层10</t>
    <phoneticPr fontId="247" type="noConversion"/>
  </si>
  <si>
    <t>北京市</t>
    <phoneticPr fontId="247" type="noConversion"/>
  </si>
  <si>
    <t>西城区</t>
    <phoneticPr fontId="247" type="noConversion"/>
  </si>
  <si>
    <t>金融街街道</t>
    <phoneticPr fontId="247" type="noConversion"/>
  </si>
  <si>
    <t>2环内</t>
  </si>
  <si>
    <t>商业</t>
    <phoneticPr fontId="247" type="noConversion"/>
  </si>
  <si>
    <t>/</t>
    <phoneticPr fontId="247" type="noConversion"/>
  </si>
  <si>
    <t>1-2层</t>
    <phoneticPr fontId="247" type="noConversion"/>
  </si>
  <si>
    <t>教培</t>
  </si>
  <si>
    <t>现状空置</t>
    <phoneticPr fontId="247" type="noConversion"/>
  </si>
  <si>
    <t>本户中介报价，临支路砖塔胡同</t>
    <phoneticPr fontId="247" type="noConversion"/>
  </si>
  <si>
    <t>崔丽新</t>
    <phoneticPr fontId="247" type="noConversion"/>
  </si>
  <si>
    <t>邢轲</t>
    <phoneticPr fontId="247" type="noConversion"/>
  </si>
  <si>
    <t>西城区太平桥大街8号院</t>
    <phoneticPr fontId="247" type="noConversion"/>
  </si>
  <si>
    <t>负1-2层</t>
    <phoneticPr fontId="247" type="noConversion"/>
  </si>
  <si>
    <t>房产中介</t>
  </si>
  <si>
    <t>租赁和商务服务业</t>
  </si>
  <si>
    <t>本户中介报价，临主路太平桥大街</t>
    <phoneticPr fontId="247" type="noConversion"/>
  </si>
  <si>
    <t>2023-1-0467</t>
    <phoneticPr fontId="247" type="noConversion"/>
  </si>
  <si>
    <t>西单佳慧雅园</t>
    <phoneticPr fontId="247" type="noConversion"/>
  </si>
  <si>
    <t>西城区西绒线胡同26号院1-13号1层10、13号,2层11、12号商业用房；西城区油坊胡同2号楼1层101、2层210商业及办公用房</t>
    <phoneticPr fontId="247" type="noConversion"/>
  </si>
  <si>
    <t>商业及办公</t>
    <phoneticPr fontId="247" type="noConversion"/>
  </si>
  <si>
    <t>彩彩（北京）酒业有限公司</t>
    <phoneticPr fontId="247" type="noConversion"/>
  </si>
  <si>
    <t>烟酒销售</t>
  </si>
  <si>
    <t>每2年5%</t>
    <phoneticPr fontId="247" type="noConversion"/>
  </si>
  <si>
    <t>经营类型</t>
    <phoneticPr fontId="30" type="noConversion"/>
  </si>
  <si>
    <t>银行</t>
    <phoneticPr fontId="30" type="noConversion"/>
  </si>
  <si>
    <t>餐饮</t>
    <phoneticPr fontId="30" type="noConversion"/>
  </si>
  <si>
    <t>售价</t>
  </si>
  <si>
    <t>挂牌</t>
  </si>
  <si>
    <t>普通装修</t>
  </si>
  <si>
    <t>10-15</t>
    <phoneticPr fontId="134" type="noConversion"/>
  </si>
  <si>
    <t>20-25</t>
    <phoneticPr fontId="134" type="noConversion"/>
  </si>
  <si>
    <t>15-20</t>
    <phoneticPr fontId="134" type="noConversion"/>
  </si>
  <si>
    <t>25-30</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</si>
  <si>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</si>
  <si>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</si>
  <si>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</si>
  <si>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</si>
  <si>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中国银行网点租金（仰源大厦1层）初步结果13.4~16元/建筑平方米·天（含税）</t>
    <phoneticPr fontId="134" type="noConversion"/>
  </si>
  <si>
    <t>报吴姐</t>
    <phoneticPr fontId="134" type="noConversion"/>
  </si>
  <si>
    <t>多面临街</t>
    <phoneticPr fontId="3" type="noConversion"/>
  </si>
  <si>
    <t>奥森天地出租情况</t>
  </si>
  <si>
    <t>序号</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</si>
  <si>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</si>
  <si>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</si>
  <si>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</si>
  <si>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</si>
  <si>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</si>
  <si>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</si>
  <si>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</si>
  <si>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</si>
  <si>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</si>
  <si>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</si>
  <si>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</si>
  <si>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</si>
  <si>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</si>
  <si>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</si>
  <si>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</si>
  <si>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</si>
  <si>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</si>
  <si>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phoneticPr fontId="134" type="noConversion"/>
  </si>
  <si>
    <t>现签约公司</t>
    <phoneticPr fontId="134" type="noConversion"/>
  </si>
  <si>
    <t>北京盒马网络科技有限公司</t>
  </si>
  <si>
    <t>盒马</t>
  </si>
  <si>
    <t xml:space="preserve"> 10年 </t>
  </si>
  <si>
    <t>8个月</t>
  </si>
  <si>
    <t>每三年按6%递增</t>
  </si>
  <si>
    <t>正式</t>
  </si>
  <si>
    <t>运达</t>
    <phoneticPr fontId="134" type="noConversion"/>
  </si>
  <si>
    <t>10个车位</t>
    <phoneticPr fontId="134" type="noConversion"/>
  </si>
  <si>
    <t>固定</t>
    <phoneticPr fontId="134" type="noConversion"/>
  </si>
  <si>
    <t>无增长</t>
  </si>
  <si>
    <t>锅炉房</t>
    <phoneticPr fontId="134" type="noConversion"/>
  </si>
  <si>
    <t>每两年按8%递增</t>
    <phoneticPr fontId="134" type="noConversion"/>
  </si>
  <si>
    <t>渤海银行股份有限公司北京分行</t>
  </si>
  <si>
    <t>渤海银行</t>
  </si>
  <si>
    <t xml:space="preserve"> 8年 </t>
  </si>
  <si>
    <t>4个月</t>
  </si>
  <si>
    <t>每年按5%递增</t>
  </si>
  <si>
    <t>运达</t>
    <phoneticPr fontId="134" type="noConversion"/>
  </si>
  <si>
    <t>北京如山企业管理有限公司</t>
  </si>
  <si>
    <t>喜家德水饺</t>
  </si>
  <si>
    <t xml:space="preserve">月付 </t>
  </si>
  <si>
    <t xml:space="preserve"> 5年 </t>
  </si>
  <si>
    <t>1个月</t>
  </si>
  <si>
    <t>每二年按8%递增</t>
  </si>
  <si>
    <t>北京元樽商贸有限公司</t>
  </si>
  <si>
    <t>梦之蓝</t>
  </si>
  <si>
    <t xml:space="preserve"> 3年 </t>
  </si>
  <si>
    <t>呷哺呷哺餐饮管理有限公司</t>
  </si>
  <si>
    <t>呷哺呷哺</t>
  </si>
  <si>
    <t>2个月</t>
  </si>
  <si>
    <t>精英假日（北京）体育发展有限公司</t>
  </si>
  <si>
    <t>全明星</t>
  </si>
  <si>
    <t xml:space="preserve"> 20年 </t>
  </si>
  <si>
    <t>11个月</t>
  </si>
  <si>
    <t>每年按3%递增</t>
  </si>
  <si>
    <t>意向</t>
  </si>
  <si>
    <t>北京麻辣诱惑食品有限公司</t>
  </si>
  <si>
    <t>热辣生活</t>
  </si>
  <si>
    <t>每年按10%递增</t>
  </si>
  <si>
    <t>北京牛角村餐饮管理有限公司</t>
  </si>
  <si>
    <t>牛角村</t>
  </si>
  <si>
    <t>每年按8%递增</t>
  </si>
  <si>
    <t>北京祥扬餐饮管理有限公司</t>
  </si>
  <si>
    <t>涨公子新派手工水果茶</t>
  </si>
  <si>
    <t>0个月</t>
  </si>
  <si>
    <t>北京阳光撒露投资发展有限公司</t>
  </si>
  <si>
    <t>撒露SALUD</t>
  </si>
  <si>
    <t>北京丽家丽婴婴童用品股份有限公司</t>
  </si>
  <si>
    <t>丽家宝贝</t>
  </si>
  <si>
    <t>2月</t>
  </si>
  <si>
    <t>每年按7%递增</t>
  </si>
  <si>
    <t>北京麦当劳有限公司</t>
    <phoneticPr fontId="247" type="noConversion"/>
  </si>
  <si>
    <t>麦当劳</t>
    <phoneticPr fontId="247" type="noConversion"/>
  </si>
  <si>
    <t>月付</t>
  </si>
  <si>
    <t>15年</t>
    <phoneticPr fontId="134" type="noConversion"/>
  </si>
  <si>
    <t>5月</t>
  </si>
  <si>
    <t>年销售额800万（含以下），年租金按年销售额7%计提；年销售额800万-1000万（含）之间的，年租金按年销售额8%计提；年销售额1000万-1300万（含）之间的，年租金按年销售额9%计提；年销售额高于1300万，年租金按年销售额10%计提</t>
    <phoneticPr fontId="134" type="noConversion"/>
  </si>
  <si>
    <t>正式</t>
    <phoneticPr fontId="134" type="noConversion"/>
  </si>
  <si>
    <t>运达</t>
    <phoneticPr fontId="134" type="noConversion"/>
  </si>
  <si>
    <t>商业</t>
    <phoneticPr fontId="134" type="noConversion"/>
  </si>
  <si>
    <t>北京山海一品文化传播有限公司</t>
    <phoneticPr fontId="247" type="noConversion"/>
  </si>
  <si>
    <t>悦客电子烟/K9</t>
    <phoneticPr fontId="247" type="noConversion"/>
  </si>
  <si>
    <t>3年</t>
    <phoneticPr fontId="134" type="noConversion"/>
  </si>
  <si>
    <t>固定</t>
    <phoneticPr fontId="134" type="noConversion"/>
  </si>
  <si>
    <t>无增长</t>
    <phoneticPr fontId="134" type="noConversion"/>
  </si>
  <si>
    <t>北京珍味世家餐饮管理有限公司</t>
    <phoneticPr fontId="134" type="noConversion"/>
  </si>
  <si>
    <t>翠屿火锅</t>
    <phoneticPr fontId="134" type="noConversion"/>
  </si>
  <si>
    <t>6年</t>
    <phoneticPr fontId="134" type="noConversion"/>
  </si>
  <si>
    <t>5月</t>
    <phoneticPr fontId="134" type="noConversion"/>
  </si>
  <si>
    <t>每两年按5%递增</t>
    <phoneticPr fontId="134" type="noConversion"/>
  </si>
  <si>
    <t>北京耶一体育俱乐部有限公司</t>
    <phoneticPr fontId="134" type="noConversion"/>
  </si>
  <si>
    <t>高尔夫</t>
    <phoneticPr fontId="134" type="noConversion"/>
  </si>
  <si>
    <t>季付</t>
    <phoneticPr fontId="134" type="noConversion"/>
  </si>
  <si>
    <t>7月</t>
    <phoneticPr fontId="134" type="noConversion"/>
  </si>
  <si>
    <t>北京武将体育文化有限公司</t>
    <phoneticPr fontId="134" type="noConversion"/>
  </si>
  <si>
    <t>武术</t>
    <phoneticPr fontId="134" type="noConversion"/>
  </si>
  <si>
    <t>2年</t>
    <phoneticPr fontId="134" type="noConversion"/>
  </si>
  <si>
    <t>北京乐动静武堂体育文化发展有限公司清林东路分公司</t>
    <phoneticPr fontId="134" type="noConversion"/>
  </si>
  <si>
    <t>散打，泰拳，拳击</t>
    <phoneticPr fontId="134" type="noConversion"/>
  </si>
  <si>
    <t>中若尚合（北京）文化传播有限公司</t>
    <phoneticPr fontId="247" type="noConversion"/>
  </si>
  <si>
    <t>乐园，体适能</t>
    <phoneticPr fontId="134" type="noConversion"/>
  </si>
  <si>
    <t>第三年递增5%</t>
    <phoneticPr fontId="134" type="noConversion"/>
  </si>
  <si>
    <t>北京林奥宝贝家体育文化发展有限公司</t>
    <phoneticPr fontId="134" type="noConversion"/>
  </si>
  <si>
    <t>宝贝家</t>
    <phoneticPr fontId="134" type="noConversion"/>
  </si>
  <si>
    <t>北京弓矢道体育文化发展有限公司</t>
    <phoneticPr fontId="134" type="noConversion"/>
  </si>
  <si>
    <t>弓矢道</t>
    <phoneticPr fontId="247" type="noConversion"/>
  </si>
  <si>
    <t>月付</t>
    <phoneticPr fontId="134" type="noConversion"/>
  </si>
  <si>
    <t>3+2年</t>
    <phoneticPr fontId="134" type="noConversion"/>
  </si>
  <si>
    <t>4月</t>
    <phoneticPr fontId="134" type="noConversion"/>
  </si>
  <si>
    <t>正式</t>
    <phoneticPr fontId="134" type="noConversion"/>
  </si>
  <si>
    <t>商业</t>
    <phoneticPr fontId="134" type="noConversion"/>
  </si>
  <si>
    <t>北京鑫汇峰商贸有限公司</t>
    <phoneticPr fontId="247" type="noConversion"/>
  </si>
  <si>
    <t>老凤祥</t>
    <phoneticPr fontId="247" type="noConversion"/>
  </si>
  <si>
    <t>2年</t>
    <phoneticPr fontId="134" type="noConversion"/>
  </si>
  <si>
    <t>3月</t>
    <phoneticPr fontId="134" type="noConversion"/>
  </si>
  <si>
    <t>每年按5%递增</t>
    <phoneticPr fontId="134" type="noConversion"/>
  </si>
  <si>
    <t>未来区（北京）教育咨询有限公司</t>
    <phoneticPr fontId="134" type="noConversion"/>
  </si>
  <si>
    <t>超级驾驶员</t>
    <phoneticPr fontId="134" type="noConversion"/>
  </si>
  <si>
    <t>2月</t>
    <phoneticPr fontId="134" type="noConversion"/>
  </si>
  <si>
    <t>年递增17%</t>
    <phoneticPr fontId="134" type="noConversion"/>
  </si>
  <si>
    <t>北京未艾方兴体育文化发展有限公司</t>
    <phoneticPr fontId="134" type="noConversion"/>
  </si>
  <si>
    <t>跑酷、体能、攀岩</t>
    <phoneticPr fontId="134" type="noConversion"/>
  </si>
  <si>
    <t>3年</t>
    <phoneticPr fontId="134" type="noConversion"/>
  </si>
  <si>
    <t>第三年递增5%</t>
    <phoneticPr fontId="134" type="noConversion"/>
  </si>
  <si>
    <t>北京丰盈众科技有限公司</t>
    <phoneticPr fontId="247" type="noConversion"/>
  </si>
  <si>
    <t>小米</t>
    <phoneticPr fontId="247" type="noConversion"/>
  </si>
  <si>
    <t>4月</t>
  </si>
  <si>
    <t>每年按6%递增</t>
    <phoneticPr fontId="134" type="noConversion"/>
  </si>
  <si>
    <t>北京德华永胜商贸有限公司</t>
    <phoneticPr fontId="134" type="noConversion"/>
  </si>
  <si>
    <t>茅台</t>
    <phoneticPr fontId="247" type="noConversion"/>
  </si>
  <si>
    <t>10年</t>
    <phoneticPr fontId="134" type="noConversion"/>
  </si>
  <si>
    <t>4.5月</t>
    <phoneticPr fontId="134" type="noConversion"/>
  </si>
  <si>
    <t>每二年按5%递增</t>
    <phoneticPr fontId="134" type="noConversion"/>
  </si>
  <si>
    <t>4.5月</t>
  </si>
  <si>
    <t>北京名媛医疗美容有限责任公司</t>
    <phoneticPr fontId="134" type="noConversion"/>
  </si>
  <si>
    <t>健康美容</t>
    <phoneticPr fontId="247" type="noConversion"/>
  </si>
  <si>
    <t>北京赫石体育文化发展有限公司</t>
    <phoneticPr fontId="247" type="noConversion"/>
  </si>
  <si>
    <t>3月</t>
  </si>
  <si>
    <t>每年按5%递增</t>
    <phoneticPr fontId="134" type="noConversion"/>
  </si>
  <si>
    <t>奥迈嘉海林奥文化产业（北京）有限公司</t>
    <phoneticPr fontId="134" type="noConversion"/>
  </si>
  <si>
    <t>奥迈嘉海</t>
    <phoneticPr fontId="247" type="noConversion"/>
  </si>
  <si>
    <t>6月</t>
    <phoneticPr fontId="134" type="noConversion"/>
  </si>
  <si>
    <t>超凡聚力体育文化发展（北京）有限公司</t>
    <phoneticPr fontId="247" type="noConversion"/>
  </si>
  <si>
    <t>超凡聚力</t>
    <phoneticPr fontId="247" type="noConversion"/>
  </si>
  <si>
    <t>每三年按16%递增</t>
    <phoneticPr fontId="134" type="noConversion"/>
  </si>
  <si>
    <t>超凡聚力体育文化发展（北京）有限公司</t>
  </si>
  <si>
    <t>美山林奥（北京）餐饮管理有限责任公司</t>
    <phoneticPr fontId="134" type="noConversion"/>
  </si>
  <si>
    <t>烤悦</t>
    <phoneticPr fontId="247" type="noConversion"/>
  </si>
  <si>
    <t>6月</t>
  </si>
  <si>
    <t>北京念亓音乐有限公司</t>
    <phoneticPr fontId="134" type="noConversion"/>
  </si>
  <si>
    <t>乐器销售，培训</t>
    <phoneticPr fontId="134" type="noConversion"/>
  </si>
  <si>
    <t>年递增17%</t>
    <phoneticPr fontId="134" type="noConversion"/>
  </si>
  <si>
    <t>赵雪容</t>
    <phoneticPr fontId="247" type="noConversion"/>
  </si>
  <si>
    <t>大澳</t>
    <phoneticPr fontId="247" type="noConversion"/>
  </si>
  <si>
    <t>甘甜</t>
    <phoneticPr fontId="247" type="noConversion"/>
  </si>
  <si>
    <t>养生调理</t>
    <phoneticPr fontId="247" type="noConversion"/>
  </si>
  <si>
    <t>人气倒计时（北京）造型艺术有限公司</t>
    <phoneticPr fontId="247" type="noConversion"/>
  </si>
  <si>
    <t>日式造型护法沙龙</t>
    <phoneticPr fontId="247" type="noConversion"/>
  </si>
  <si>
    <t>5年</t>
  </si>
  <si>
    <t>每年按2%递增</t>
    <phoneticPr fontId="134" type="noConversion"/>
  </si>
  <si>
    <t>北京悦趣童童游乐设备有限公司</t>
    <phoneticPr fontId="134" type="noConversion"/>
  </si>
  <si>
    <t>儿童乐园</t>
    <phoneticPr fontId="247" type="noConversion"/>
  </si>
  <si>
    <t>年递增10%、9%，8%</t>
    <phoneticPr fontId="134" type="noConversion"/>
  </si>
  <si>
    <t>北京澳林橙服装店</t>
    <phoneticPr fontId="247" type="noConversion"/>
  </si>
  <si>
    <t>BODY JAZZ</t>
    <phoneticPr fontId="247" type="noConversion"/>
  </si>
  <si>
    <t>3年</t>
  </si>
  <si>
    <t>每年按3%递增</t>
    <phoneticPr fontId="134" type="noConversion"/>
  </si>
  <si>
    <t>正式</t>
    <phoneticPr fontId="134" type="noConversion"/>
  </si>
  <si>
    <t>运达</t>
    <phoneticPr fontId="134" type="noConversion"/>
  </si>
  <si>
    <t>北京优益汇便利店有限公司</t>
    <phoneticPr fontId="134" type="noConversion"/>
  </si>
  <si>
    <t>7-11</t>
    <phoneticPr fontId="247" type="noConversion"/>
  </si>
  <si>
    <t>每二年按6%递增</t>
    <phoneticPr fontId="134" type="noConversion"/>
  </si>
  <si>
    <t>商业</t>
    <phoneticPr fontId="134" type="noConversion"/>
  </si>
  <si>
    <t>北京万木同春影视文化有限公司</t>
    <phoneticPr fontId="247" type="noConversion"/>
  </si>
  <si>
    <t>观华国际影城</t>
    <phoneticPr fontId="247" type="noConversion"/>
  </si>
  <si>
    <t>10年</t>
    <phoneticPr fontId="134" type="noConversion"/>
  </si>
  <si>
    <t>每二年按5%递增</t>
    <phoneticPr fontId="134" type="noConversion"/>
  </si>
  <si>
    <t>张庭玮</t>
    <phoneticPr fontId="247" type="noConversion"/>
  </si>
  <si>
    <t>树小面</t>
    <phoneticPr fontId="247" type="noConversion"/>
  </si>
  <si>
    <t>每年按2.5%递增</t>
    <phoneticPr fontId="134" type="noConversion"/>
  </si>
  <si>
    <t>北京丽享晟世餐饮管理有限公司</t>
    <phoneticPr fontId="247" type="noConversion"/>
  </si>
  <si>
    <t>咏饮</t>
    <phoneticPr fontId="247" type="noConversion"/>
  </si>
  <si>
    <t>2年</t>
    <phoneticPr fontId="134" type="noConversion"/>
  </si>
  <si>
    <t>1月</t>
  </si>
  <si>
    <t>固定</t>
    <phoneticPr fontId="134" type="noConversion"/>
  </si>
  <si>
    <t>无增长</t>
    <phoneticPr fontId="134" type="noConversion"/>
  </si>
  <si>
    <t>北京禹翔鹤文化传播有限公司</t>
    <phoneticPr fontId="134" type="noConversion"/>
  </si>
  <si>
    <t>光影剧场酒吧威士忌博物馆</t>
    <phoneticPr fontId="247" type="noConversion"/>
  </si>
  <si>
    <t>光影剧场酒吧威士忌博物馆</t>
  </si>
  <si>
    <t>北京星巴克咖啡有限公司</t>
    <phoneticPr fontId="247" type="noConversion"/>
  </si>
  <si>
    <t>星巴克咖啡</t>
    <phoneticPr fontId="247" type="noConversion"/>
  </si>
  <si>
    <t>12年</t>
    <phoneticPr fontId="134" type="noConversion"/>
  </si>
  <si>
    <t>0月</t>
  </si>
  <si>
    <t>1-3年月净销售额提8%，4-6年月净销售额提9%，7-9年月净销售额提10%，10-初始结束期，月净销售额11%</t>
    <phoneticPr fontId="247" type="noConversion"/>
  </si>
  <si>
    <t>北京玖零煜林儿童游乐有限公司</t>
    <phoneticPr fontId="134" type="noConversion"/>
  </si>
  <si>
    <t>淘矿鱼趣泡泡乐园</t>
    <phoneticPr fontId="247" type="noConversion"/>
  </si>
  <si>
    <t>6月</t>
    <phoneticPr fontId="134" type="noConversion"/>
  </si>
  <si>
    <t>第三年开始每年按5%递增</t>
    <phoneticPr fontId="134" type="noConversion"/>
  </si>
  <si>
    <t>北京玖零超海儿童游乐有限公司</t>
    <phoneticPr fontId="134" type="noConversion"/>
  </si>
  <si>
    <t>少儿岩洞，探矿</t>
    <phoneticPr fontId="247" type="noConversion"/>
  </si>
  <si>
    <t>6年</t>
  </si>
  <si>
    <t>小火车</t>
    <phoneticPr fontId="247" type="noConversion"/>
  </si>
  <si>
    <t>固定</t>
    <phoneticPr fontId="134" type="noConversion"/>
  </si>
  <si>
    <t>无增长</t>
    <phoneticPr fontId="134" type="noConversion"/>
  </si>
  <si>
    <t>北京满好餐饮管理有限责任公司</t>
    <phoneticPr fontId="134" type="noConversion"/>
  </si>
  <si>
    <t>三元梅园</t>
    <phoneticPr fontId="247" type="noConversion"/>
  </si>
  <si>
    <t>三元梅园库房</t>
    <phoneticPr fontId="247" type="noConversion"/>
  </si>
  <si>
    <t>北京雾非雾餐饮有限公司</t>
    <phoneticPr fontId="134" type="noConversion"/>
  </si>
  <si>
    <t>本宫的茶</t>
    <phoneticPr fontId="247" type="noConversion"/>
  </si>
  <si>
    <t>每年按6%递增</t>
    <phoneticPr fontId="134" type="noConversion"/>
  </si>
  <si>
    <t>天好（北京）餐饮服务有限公司</t>
  </si>
  <si>
    <t>Tim Hortons</t>
    <phoneticPr fontId="247" type="noConversion"/>
  </si>
  <si>
    <t>6年</t>
    <phoneticPr fontId="134" type="noConversion"/>
  </si>
  <si>
    <t>每二年按8%递增</t>
    <phoneticPr fontId="134" type="noConversion"/>
  </si>
  <si>
    <t>北京优昂林奥体育发展有限公司</t>
    <phoneticPr fontId="134" type="noConversion"/>
  </si>
  <si>
    <t>优昂健身</t>
    <phoneticPr fontId="247" type="noConversion"/>
  </si>
  <si>
    <t>7月</t>
    <phoneticPr fontId="134" type="noConversion"/>
  </si>
  <si>
    <t>租金每2年分别递增11%、10%、9%、8%</t>
    <phoneticPr fontId="134" type="noConversion"/>
  </si>
  <si>
    <t>北京梨树下小吃店</t>
    <phoneticPr fontId="247" type="noConversion"/>
  </si>
  <si>
    <t>膳梨堂</t>
    <phoneticPr fontId="247" type="noConversion"/>
  </si>
  <si>
    <t>北京闻彰海参店</t>
    <phoneticPr fontId="247" type="noConversion"/>
  </si>
  <si>
    <t>老尹家</t>
    <phoneticPr fontId="247" type="noConversion"/>
  </si>
  <si>
    <t>北京轻与柔舞蹈艺术有限公司</t>
    <phoneticPr fontId="247" type="noConversion"/>
  </si>
  <si>
    <t>少儿舞蹈</t>
    <phoneticPr fontId="247" type="noConversion"/>
  </si>
  <si>
    <t>2月</t>
    <phoneticPr fontId="134" type="noConversion"/>
  </si>
  <si>
    <t>年递增10%、9%</t>
    <phoneticPr fontId="134" type="noConversion"/>
  </si>
  <si>
    <t>北京墨巷餐饮中心</t>
    <phoneticPr fontId="247" type="noConversion"/>
  </si>
  <si>
    <t>墨西哥餐饮及酒水饮料</t>
    <phoneticPr fontId="247" type="noConversion"/>
  </si>
  <si>
    <t>每二年按7%递增</t>
    <phoneticPr fontId="134" type="noConversion"/>
  </si>
  <si>
    <t>北京成美口腔门诊部有限公司</t>
    <phoneticPr fontId="134" type="noConversion"/>
  </si>
  <si>
    <t>赛德口腔</t>
  </si>
  <si>
    <t>8年</t>
    <phoneticPr fontId="134" type="noConversion"/>
  </si>
  <si>
    <t>北京吉可托育服务有限公司</t>
  </si>
  <si>
    <t>金睿家</t>
  </si>
  <si>
    <t>每二年按7%递增</t>
    <phoneticPr fontId="134" type="noConversion"/>
  </si>
  <si>
    <t>张鲁巍</t>
  </si>
  <si>
    <t>乐高，机器人，编程课程</t>
  </si>
  <si>
    <t>第3年递增17%</t>
    <phoneticPr fontId="134" type="noConversion"/>
  </si>
  <si>
    <t>北京海簋餐饮管理有限公司第一分公司</t>
    <phoneticPr fontId="134" type="noConversion"/>
  </si>
  <si>
    <t>海簋蒸汽海鲜</t>
  </si>
  <si>
    <t>6年</t>
    <phoneticPr fontId="134" type="noConversion"/>
  </si>
  <si>
    <t>租金每2年递增8%，抽成每2年分别递增5%、6%、7%</t>
  </si>
  <si>
    <t>正式</t>
    <phoneticPr fontId="134" type="noConversion"/>
  </si>
  <si>
    <t>运达</t>
    <phoneticPr fontId="134" type="noConversion"/>
  </si>
  <si>
    <t>商业</t>
    <phoneticPr fontId="134" type="noConversion"/>
  </si>
  <si>
    <t>滇香八斗（北京）餐饮管理有限公司</t>
    <phoneticPr fontId="134" type="noConversion"/>
  </si>
  <si>
    <t>云南菜特色菜</t>
  </si>
  <si>
    <t>3月</t>
    <phoneticPr fontId="134" type="noConversion"/>
  </si>
  <si>
    <t>租金每2年分别递增14%、13%，抽成每2年分别5%，6%，7%</t>
  </si>
  <si>
    <t>黎顺芳</t>
    <phoneticPr fontId="247" type="noConversion"/>
  </si>
  <si>
    <t>木北</t>
  </si>
  <si>
    <t>4月</t>
    <phoneticPr fontId="134" type="noConversion"/>
  </si>
  <si>
    <t>每2年分别递增11%，10%</t>
  </si>
  <si>
    <t>北京京华大鼎餐饮管理有限公司朝阳第一分公司</t>
    <phoneticPr fontId="134" type="noConversion"/>
  </si>
  <si>
    <t>大鼎东北菜</t>
  </si>
  <si>
    <t>租金每2年分别递增7%、6%，抽成每2年分别8%，9%，10%</t>
  </si>
  <si>
    <t>北京茶忆餐饮管理有限公司北京第一分公司</t>
    <phoneticPr fontId="247" type="noConversion"/>
  </si>
  <si>
    <t>恋爱公式</t>
  </si>
  <si>
    <t>3.5月</t>
    <phoneticPr fontId="134" type="noConversion"/>
  </si>
  <si>
    <t>第3年递增8%</t>
    <phoneticPr fontId="134" type="noConversion"/>
  </si>
  <si>
    <t>任雪</t>
  </si>
  <si>
    <t>麒麟阁涮肉</t>
  </si>
  <si>
    <t>8年</t>
    <phoneticPr fontId="134" type="noConversion"/>
  </si>
  <si>
    <t>每二年分别递增6%、6%、5%</t>
    <phoneticPr fontId="134" type="noConversion"/>
  </si>
  <si>
    <t>北京源聚盛餐饮中心</t>
    <phoneticPr fontId="134" type="noConversion"/>
  </si>
  <si>
    <t>牧场能量</t>
  </si>
  <si>
    <t>2年</t>
    <phoneticPr fontId="134" type="noConversion"/>
  </si>
  <si>
    <t>固定</t>
    <phoneticPr fontId="134" type="noConversion"/>
  </si>
  <si>
    <t>无增长</t>
    <phoneticPr fontId="134" type="noConversion"/>
  </si>
  <si>
    <t>北京我爱我家房地产经纪有限公司</t>
    <phoneticPr fontId="134" type="noConversion"/>
  </si>
  <si>
    <t>我爱我家</t>
  </si>
  <si>
    <t>北京静雅美娜健康管理有限公司</t>
    <phoneticPr fontId="134" type="noConversion"/>
  </si>
  <si>
    <t>漂亮妈妈</t>
    <phoneticPr fontId="247" type="noConversion"/>
  </si>
  <si>
    <t>4月</t>
    <phoneticPr fontId="134" type="noConversion"/>
  </si>
  <si>
    <t>每二年分别递增6%</t>
    <phoneticPr fontId="134" type="noConversion"/>
  </si>
  <si>
    <t>北京汀悦比邻家居用品有限公司</t>
    <phoneticPr fontId="134" type="noConversion"/>
  </si>
  <si>
    <t>雅赞</t>
    <phoneticPr fontId="247" type="noConversion"/>
  </si>
  <si>
    <t>第3年递增10%</t>
    <phoneticPr fontId="134" type="noConversion"/>
  </si>
  <si>
    <t>北京酷尚餐饮有限公司</t>
    <phoneticPr fontId="134" type="noConversion"/>
  </si>
  <si>
    <t>电音烤吧</t>
    <phoneticPr fontId="247" type="noConversion"/>
  </si>
  <si>
    <t>6年</t>
    <phoneticPr fontId="134" type="noConversion"/>
  </si>
  <si>
    <t>8月</t>
    <phoneticPr fontId="134" type="noConversion"/>
  </si>
  <si>
    <t>租金每两年递增1元，分别递增20%、17%，第四年开始抽成7%8%9%</t>
    <phoneticPr fontId="134" type="noConversion"/>
  </si>
  <si>
    <t>库房</t>
    <phoneticPr fontId="247" type="noConversion"/>
  </si>
  <si>
    <t>北京肯德基有限公司</t>
    <phoneticPr fontId="247" type="noConversion"/>
  </si>
  <si>
    <t>肯德基</t>
    <phoneticPr fontId="247" type="noConversion"/>
  </si>
  <si>
    <t>年度净营业额800万一下8%抽成801-1000万9%抽成1001-1300万10%抽成1300万以上11%抽成</t>
  </si>
  <si>
    <t>意百咖啡（上海）有限公司北京分公司</t>
    <phoneticPr fontId="247" type="noConversion"/>
  </si>
  <si>
    <t>LAVAZZA咖啡</t>
    <phoneticPr fontId="247" type="noConversion"/>
  </si>
  <si>
    <t>1.2年8%抽成/3.4年9%/5.6年10%/7.8年11%与固定 租金取高</t>
  </si>
  <si>
    <t>北京必胜客比萨饼有限公司</t>
    <phoneticPr fontId="247" type="noConversion"/>
  </si>
  <si>
    <t>必胜客披萨</t>
    <phoneticPr fontId="247" type="noConversion"/>
  </si>
  <si>
    <t>8年</t>
  </si>
  <si>
    <t>1.2年8%抽成/3.4年9%/5.6年10%/7.8年11%抽成收取</t>
  </si>
  <si>
    <t>北京茗扬鹊起茶艺有限公司</t>
    <phoneticPr fontId="247" type="noConversion"/>
  </si>
  <si>
    <t>茶馆，棋牌</t>
    <phoneticPr fontId="247" type="noConversion"/>
  </si>
  <si>
    <t>每二年分别递增6%、5%</t>
    <phoneticPr fontId="134" type="noConversion"/>
  </si>
  <si>
    <t>纯友丽（北京）餐饮管理有限公司</t>
    <phoneticPr fontId="134" type="noConversion"/>
  </si>
  <si>
    <t>西式烤肉西餐吧
下午茶</t>
    <phoneticPr fontId="247" type="noConversion"/>
  </si>
  <si>
    <t>租金第四年每年增加1元，增长11%、10%，抽成每两年增长5%、6%、7%</t>
    <phoneticPr fontId="134" type="noConversion"/>
  </si>
  <si>
    <t>北京蜜糖星球科技有限公司</t>
    <phoneticPr fontId="247" type="noConversion"/>
  </si>
  <si>
    <t>3月</t>
    <phoneticPr fontId="134" type="noConversion"/>
  </si>
  <si>
    <t>每年递增0.5元，每年递增10%、9%</t>
    <phoneticPr fontId="134" type="noConversion"/>
  </si>
  <si>
    <t>北京庆余年餐饮店</t>
    <phoneticPr fontId="134" type="noConversion"/>
  </si>
  <si>
    <t>啤酒</t>
    <phoneticPr fontId="247" type="noConversion"/>
  </si>
  <si>
    <t>北京链家置地房地产经纪有限公司</t>
    <phoneticPr fontId="247" type="noConversion"/>
  </si>
  <si>
    <t>链家</t>
    <phoneticPr fontId="247" type="noConversion"/>
  </si>
  <si>
    <t>4年</t>
    <phoneticPr fontId="134" type="noConversion"/>
  </si>
  <si>
    <t>两年递增6%</t>
    <phoneticPr fontId="134" type="noConversion"/>
  </si>
  <si>
    <t>郭帅</t>
    <phoneticPr fontId="247" type="noConversion"/>
  </si>
  <si>
    <t>自助盲盒销售</t>
    <phoneticPr fontId="247" type="noConversion"/>
  </si>
  <si>
    <t>无</t>
    <phoneticPr fontId="134" type="noConversion"/>
  </si>
  <si>
    <t>茶庭书道（北京）文化有限公司</t>
    <phoneticPr fontId="134" type="noConversion"/>
  </si>
  <si>
    <t>茶叶</t>
    <phoneticPr fontId="247" type="noConversion"/>
  </si>
  <si>
    <t>每两年递增5%</t>
    <phoneticPr fontId="134" type="noConversion"/>
  </si>
  <si>
    <t>姚文倩</t>
    <phoneticPr fontId="247" type="noConversion"/>
  </si>
  <si>
    <t>婚庆策划</t>
    <phoneticPr fontId="247" type="noConversion"/>
  </si>
  <si>
    <t>第二年增长0.5元，第三年增长1元，分别增长10%，18%</t>
    <phoneticPr fontId="134" type="noConversion"/>
  </si>
  <si>
    <t>星熙海体育文化发展（北京）有限责任公司</t>
    <phoneticPr fontId="247" type="noConversion"/>
  </si>
  <si>
    <t>NIN JAZONE</t>
    <phoneticPr fontId="247" type="noConversion"/>
  </si>
  <si>
    <t>每两年递增5%</t>
  </si>
  <si>
    <t>藏猫猫（北京）商贸有限公司</t>
    <phoneticPr fontId="134" type="noConversion"/>
  </si>
  <si>
    <t>猫咖、狗咖</t>
    <phoneticPr fontId="247" type="noConversion"/>
  </si>
  <si>
    <t>第三年增长0.5元，分别增长10%</t>
    <phoneticPr fontId="134" type="noConversion"/>
  </si>
  <si>
    <t>桐欣语传（北京）文化艺术有限公司</t>
    <phoneticPr fontId="247" type="noConversion"/>
  </si>
  <si>
    <t>青少年口语传播、艺术交流、口才表演</t>
    <phoneticPr fontId="247" type="noConversion"/>
  </si>
  <si>
    <t>海南艾利维森健身文化有限公司北京分公司</t>
    <phoneticPr fontId="134" type="noConversion"/>
  </si>
  <si>
    <t>瑜伽普拉提</t>
    <phoneticPr fontId="247" type="noConversion"/>
  </si>
  <si>
    <t>每年按8%递增</t>
    <phoneticPr fontId="134" type="noConversion"/>
  </si>
  <si>
    <t>金豆豆爱阅读，玩具屋</t>
    <phoneticPr fontId="247" type="noConversion"/>
  </si>
  <si>
    <t>北京天阳丽晟文化产业有限公司</t>
    <phoneticPr fontId="134" type="noConversion"/>
  </si>
  <si>
    <t>舞蹈培训</t>
    <phoneticPr fontId="247" type="noConversion"/>
  </si>
  <si>
    <t>歌斯蒂（北京）形象设计有限公司</t>
    <phoneticPr fontId="134" type="noConversion"/>
  </si>
  <si>
    <t>Girl’s Day</t>
    <phoneticPr fontId="247" type="noConversion"/>
  </si>
  <si>
    <t>每两年递增6%</t>
    <phoneticPr fontId="134" type="noConversion"/>
  </si>
  <si>
    <t>北京茵赫餐饮管理有限公司</t>
    <phoneticPr fontId="134" type="noConversion"/>
  </si>
  <si>
    <t>烘焙</t>
    <phoneticPr fontId="247" type="noConversion"/>
  </si>
  <si>
    <t>2.5月</t>
    <phoneticPr fontId="134" type="noConversion"/>
  </si>
  <si>
    <t>每两年递增4.8%</t>
    <phoneticPr fontId="134" type="noConversion"/>
  </si>
  <si>
    <t>北京韵竹餐饮管理有限公司</t>
    <phoneticPr fontId="134" type="noConversion"/>
  </si>
  <si>
    <t>私房牛肉面</t>
    <phoneticPr fontId="247" type="noConversion"/>
  </si>
  <si>
    <t>年递增10%、9%</t>
    <phoneticPr fontId="134" type="noConversion"/>
  </si>
  <si>
    <t>量达（北京）科贸有限公司</t>
    <phoneticPr fontId="134" type="noConversion"/>
  </si>
  <si>
    <t>自助机（娃娃机、扭蛋机、唱吧）</t>
    <phoneticPr fontId="247" type="noConversion"/>
  </si>
  <si>
    <t>收入20%提成</t>
    <phoneticPr fontId="134" type="noConversion"/>
  </si>
  <si>
    <t>0.8年</t>
    <phoneticPr fontId="134" type="noConversion"/>
  </si>
  <si>
    <t>收入20%抽成</t>
    <phoneticPr fontId="134" type="noConversion"/>
  </si>
  <si>
    <t>北京味道江湖餐饮有限公司</t>
    <phoneticPr fontId="134" type="noConversion"/>
  </si>
  <si>
    <t>包烧米线</t>
    <phoneticPr fontId="247" type="noConversion"/>
  </si>
  <si>
    <t>年递增1元，分别递增7.7%，7.1%</t>
    <phoneticPr fontId="134" type="noConversion"/>
  </si>
  <si>
    <t>衡水兴诚信息技术有限公司</t>
    <phoneticPr fontId="134" type="noConversion"/>
  </si>
  <si>
    <t>按摩椅</t>
    <phoneticPr fontId="247" type="noConversion"/>
  </si>
  <si>
    <t>1年</t>
    <phoneticPr fontId="134" type="noConversion"/>
  </si>
  <si>
    <t>北京明知商贸有限公司</t>
    <phoneticPr fontId="134" type="noConversion"/>
  </si>
  <si>
    <t>亿度烧坊</t>
    <phoneticPr fontId="247" type="noConversion"/>
  </si>
  <si>
    <t>5年</t>
    <phoneticPr fontId="134" type="noConversion"/>
  </si>
  <si>
    <t>每两年递增0.5元，分别递增12.5%、11%</t>
    <phoneticPr fontId="134" type="noConversion"/>
  </si>
  <si>
    <t>北京宾客如归餐饮管理有限公司</t>
    <phoneticPr fontId="134" type="noConversion"/>
  </si>
  <si>
    <t>烤鱼，小龙虾</t>
    <phoneticPr fontId="247" type="noConversion"/>
  </si>
  <si>
    <t>租金单价每年递增1元，年递增12%、11%，抽成比例8%、9%、10%</t>
    <phoneticPr fontId="134" type="noConversion"/>
  </si>
  <si>
    <t>北京裕浓香叆食品有限公司</t>
    <phoneticPr fontId="134" type="noConversion"/>
  </si>
  <si>
    <t>面包、点心</t>
    <phoneticPr fontId="247" type="noConversion"/>
  </si>
  <si>
    <t>租金单价每年递增1元，年递增14%、12%，抽成比例10%</t>
    <phoneticPr fontId="134" type="noConversion"/>
  </si>
  <si>
    <t>北京森雾科技有限公司</t>
    <phoneticPr fontId="134" type="noConversion"/>
  </si>
  <si>
    <t>乐刻VR</t>
    <phoneticPr fontId="247" type="noConversion"/>
  </si>
  <si>
    <t>1.4年</t>
    <phoneticPr fontId="134" type="noConversion"/>
  </si>
  <si>
    <t>保乐加（北京）商贸有限公司</t>
    <phoneticPr fontId="134" type="noConversion"/>
  </si>
  <si>
    <t>红酒，洋酒，雪茄</t>
    <phoneticPr fontId="247" type="noConversion"/>
  </si>
  <si>
    <t>北京尼奥体育有限责任公司</t>
    <phoneticPr fontId="134" type="noConversion"/>
  </si>
  <si>
    <t>网球培训，体育用品销售</t>
    <phoneticPr fontId="247" type="noConversion"/>
  </si>
  <si>
    <t>第三年开始递增6%、18%，10%</t>
    <phoneticPr fontId="134" type="noConversion"/>
  </si>
  <si>
    <t>北京蒂都餐饮服务有限公司</t>
    <phoneticPr fontId="134" type="noConversion"/>
  </si>
  <si>
    <t>德式餐厅</t>
  </si>
  <si>
    <t>每两年递增1元，递增8%</t>
    <phoneticPr fontId="134" type="noConversion"/>
  </si>
  <si>
    <t>北京蒂都餐饮服务有限公司-后勤区</t>
    <phoneticPr fontId="134" type="noConversion"/>
  </si>
  <si>
    <t>德式餐厅后勤区</t>
  </si>
  <si>
    <t>北京味道沂蒙餐饮管理有限公司</t>
    <phoneticPr fontId="134" type="noConversion"/>
  </si>
  <si>
    <t>餐饮</t>
  </si>
  <si>
    <t>每年递增5%</t>
    <phoneticPr fontId="134" type="noConversion"/>
  </si>
  <si>
    <t>北京铂林北苑眼科诊所有限公司</t>
    <phoneticPr fontId="134" type="noConversion"/>
  </si>
  <si>
    <t>医疗服务</t>
  </si>
  <si>
    <t>北京威芃台球俱乐部</t>
    <phoneticPr fontId="247" type="noConversion"/>
  </si>
  <si>
    <t>台球</t>
    <phoneticPr fontId="134" type="noConversion"/>
  </si>
  <si>
    <t>每两年分别递增12.5%、11.1%</t>
    <phoneticPr fontId="134" type="noConversion"/>
  </si>
  <si>
    <t>瑞普特加勒里（北京）文化传播有限责任公司</t>
    <phoneticPr fontId="134" type="noConversion"/>
  </si>
  <si>
    <t>爬虫画廊</t>
    <phoneticPr fontId="247" type="noConversion"/>
  </si>
  <si>
    <t>门票收入60%，二次消费收入10%</t>
    <phoneticPr fontId="247" type="noConversion"/>
  </si>
  <si>
    <t>北京自如住房租赁有限公司</t>
    <phoneticPr fontId="134" type="noConversion"/>
  </si>
  <si>
    <t>房产经纪</t>
    <phoneticPr fontId="134" type="noConversion"/>
  </si>
  <si>
    <t>4年</t>
    <phoneticPr fontId="134" type="noConversion"/>
  </si>
  <si>
    <t>两年递增6%</t>
    <phoneticPr fontId="134" type="noConversion"/>
  </si>
  <si>
    <t>北京德华永胜商贸有限公司228</t>
    <phoneticPr fontId="134" type="noConversion"/>
  </si>
  <si>
    <t>茅台体验店</t>
    <phoneticPr fontId="134" type="noConversion"/>
  </si>
  <si>
    <t>9年</t>
    <phoneticPr fontId="134" type="noConversion"/>
  </si>
  <si>
    <t>每三年开始逐年递增12.5%、11%、20%、8%、7%</t>
    <phoneticPr fontId="134" type="noConversion"/>
  </si>
  <si>
    <t>北京德华永胜商贸有限公司229</t>
    <phoneticPr fontId="134" type="noConversion"/>
  </si>
  <si>
    <t>焱悦（北京）餐饮管理有限公司</t>
    <phoneticPr fontId="247" type="noConversion"/>
  </si>
  <si>
    <t>一点点</t>
    <phoneticPr fontId="134" type="noConversion"/>
  </si>
  <si>
    <t>3年</t>
    <phoneticPr fontId="134" type="noConversion"/>
  </si>
  <si>
    <t>4月</t>
    <phoneticPr fontId="134" type="noConversion"/>
  </si>
  <si>
    <t>两年递增5%</t>
    <phoneticPr fontId="134" type="noConversion"/>
  </si>
  <si>
    <t>范晶洁</t>
    <phoneticPr fontId="247" type="noConversion"/>
  </si>
  <si>
    <t>俄餐</t>
    <phoneticPr fontId="134" type="noConversion"/>
  </si>
  <si>
    <t>5年</t>
    <phoneticPr fontId="134" type="noConversion"/>
  </si>
  <si>
    <t>6月</t>
    <phoneticPr fontId="134" type="noConversion"/>
  </si>
  <si>
    <t>每两年分别递增7.6%、7.1%</t>
    <phoneticPr fontId="134" type="noConversion"/>
  </si>
  <si>
    <t>北京动感乐宫体育健身活动有限公司</t>
    <phoneticPr fontId="247" type="noConversion"/>
  </si>
  <si>
    <t>轮滑</t>
    <phoneticPr fontId="247" type="noConversion"/>
  </si>
  <si>
    <t>门票收入35%，二消收入10%</t>
    <phoneticPr fontId="134" type="noConversion"/>
  </si>
  <si>
    <t>周结</t>
    <phoneticPr fontId="247" type="noConversion"/>
  </si>
  <si>
    <t>6.5年</t>
    <phoneticPr fontId="134" type="noConversion"/>
  </si>
  <si>
    <t>安飞飞</t>
    <phoneticPr fontId="134" type="noConversion"/>
  </si>
  <si>
    <t>樊文花</t>
    <phoneticPr fontId="247" type="noConversion"/>
  </si>
  <si>
    <t>3.5月</t>
    <phoneticPr fontId="134" type="noConversion"/>
  </si>
  <si>
    <t>第三年开始递增10%</t>
    <phoneticPr fontId="134" type="noConversion"/>
  </si>
  <si>
    <t>燃动冰雪（北京）体育运动有限公司</t>
    <phoneticPr fontId="247" type="noConversion"/>
  </si>
  <si>
    <t>轮滑、平衡车</t>
    <phoneticPr fontId="134" type="noConversion"/>
  </si>
  <si>
    <t>云睿鼎祥（北京）商业有限责任公司</t>
    <phoneticPr fontId="134" type="noConversion"/>
  </si>
  <si>
    <t>琳达惠选</t>
    <phoneticPr fontId="247" type="noConversion"/>
  </si>
  <si>
    <t>每年分别递增15%、13%</t>
    <phoneticPr fontId="134" type="noConversion"/>
  </si>
  <si>
    <t>北京百济餐饮服务有限公司</t>
    <phoneticPr fontId="134" type="noConversion"/>
  </si>
  <si>
    <t>烤肉、烤鳗鱼</t>
    <phoneticPr fontId="247" type="noConversion"/>
  </si>
  <si>
    <t>北京林奥嘉年华文化发展有限公司</t>
    <phoneticPr fontId="247" type="noConversion"/>
  </si>
  <si>
    <t>儿童嘉年华</t>
    <phoneticPr fontId="134" type="noConversion"/>
  </si>
  <si>
    <t>收入10%分成</t>
    <phoneticPr fontId="134" type="noConversion"/>
  </si>
  <si>
    <t>侯德建</t>
    <phoneticPr fontId="247" type="noConversion"/>
  </si>
  <si>
    <t>高尔夫球零售</t>
    <phoneticPr fontId="247" type="noConversion"/>
  </si>
  <si>
    <t>北京今天丽人长红美甲有限公司</t>
    <phoneticPr fontId="134" type="noConversion"/>
  </si>
  <si>
    <t>美甲美睫，手部护理</t>
    <phoneticPr fontId="247" type="noConversion"/>
  </si>
  <si>
    <t>5年6个月</t>
    <phoneticPr fontId="247" type="noConversion"/>
  </si>
  <si>
    <t>北京泰雅春秋面包店</t>
    <phoneticPr fontId="247" type="noConversion"/>
  </si>
  <si>
    <t>春种秋藏手工烘焙</t>
    <phoneticPr fontId="247" type="noConversion"/>
  </si>
  <si>
    <t>年递增8%</t>
    <phoneticPr fontId="134" type="noConversion"/>
  </si>
  <si>
    <t>纯友丽（北京）餐饮管理有限公司</t>
    <phoneticPr fontId="134" type="noConversion"/>
  </si>
  <si>
    <t>库房</t>
    <phoneticPr fontId="247" type="noConversion"/>
  </si>
  <si>
    <t>4年</t>
  </si>
  <si>
    <t>北京雨麟鸿餐饮管理有限公司</t>
    <phoneticPr fontId="247" type="noConversion"/>
  </si>
  <si>
    <t>日本料理</t>
    <phoneticPr fontId="247" type="noConversion"/>
  </si>
  <si>
    <t>8月</t>
    <phoneticPr fontId="134" type="noConversion"/>
  </si>
  <si>
    <t>每年递增5%</t>
  </si>
  <si>
    <t>北京小雨滴海洋文化创意有限公司</t>
    <phoneticPr fontId="247" type="noConversion"/>
  </si>
  <si>
    <t>儿童卡丁车</t>
    <phoneticPr fontId="247" type="noConversion"/>
  </si>
  <si>
    <t>收入15%分成</t>
    <phoneticPr fontId="134" type="noConversion"/>
  </si>
  <si>
    <t>1年</t>
    <phoneticPr fontId="134" type="noConversion"/>
  </si>
  <si>
    <t>1月</t>
    <phoneticPr fontId="134" type="noConversion"/>
  </si>
  <si>
    <t>收入15%分成</t>
  </si>
  <si>
    <t>北京华文桐行艺术文化有限公司</t>
    <phoneticPr fontId="247" type="noConversion"/>
  </si>
  <si>
    <t>音乐培训</t>
    <phoneticPr fontId="247" type="noConversion"/>
  </si>
  <si>
    <t>2年</t>
  </si>
  <si>
    <t>5月</t>
    <phoneticPr fontId="134" type="noConversion"/>
  </si>
  <si>
    <t>北京动因体育科技有限公司</t>
    <phoneticPr fontId="134" type="noConversion"/>
  </si>
  <si>
    <t>羽毛球、篮球培训</t>
    <phoneticPr fontId="247" type="noConversion"/>
  </si>
  <si>
    <t>每两年递增5%</t>
    <phoneticPr fontId="134" type="noConversion"/>
  </si>
  <si>
    <t>张然</t>
    <phoneticPr fontId="247" type="noConversion"/>
  </si>
  <si>
    <t>铁板烧</t>
    <phoneticPr fontId="247" type="noConversion"/>
  </si>
  <si>
    <t>李俊楠</t>
    <phoneticPr fontId="247" type="noConversion"/>
  </si>
  <si>
    <r>
      <t xml:space="preserve">舞 </t>
    </r>
    <r>
      <rPr>
        <sz val="11"/>
        <color theme="1"/>
        <rFont val="Calibri"/>
        <family val="2"/>
        <charset val="161"/>
      </rPr>
      <t>π</t>
    </r>
    <r>
      <rPr>
        <sz val="12"/>
        <color theme="1"/>
        <rFont val="宋体"/>
        <family val="3"/>
        <charset val="134"/>
        <scheme val="minor"/>
      </rPr>
      <t xml:space="preserve"> 舞蹈工作室</t>
    </r>
    <phoneticPr fontId="247" type="noConversion"/>
  </si>
  <si>
    <t>每三年开始逐年递增12.5%、11%</t>
    <phoneticPr fontId="134" type="noConversion"/>
  </si>
  <si>
    <t>北京阔禹体育管理有限公司</t>
    <phoneticPr fontId="134" type="noConversion"/>
  </si>
  <si>
    <t>乒乓球培训</t>
    <phoneticPr fontId="247" type="noConversion"/>
  </si>
  <si>
    <t>逐年递增10%、9%</t>
    <phoneticPr fontId="134" type="noConversion"/>
  </si>
  <si>
    <t>可租面积</t>
  </si>
  <si>
    <t>全部签约率</t>
  </si>
  <si>
    <t>正式签约率</t>
  </si>
  <si>
    <t>意向签约率</t>
  </si>
  <si>
    <t>合计</t>
  </si>
  <si>
    <r>
      <rPr>
        <b/>
        <sz val="12"/>
        <color theme="1"/>
        <rFont val="Source Sans Pro"/>
        <family val="1"/>
      </rPr>
      <t xml:space="preserve">
</t>
    </r>
    <r>
      <rPr>
        <b/>
        <sz val="12"/>
        <color theme="1"/>
        <rFont val="宋体"/>
        <family val="3"/>
        <charset val="134"/>
      </rPr>
      <t>租户名称</t>
    </r>
  </si>
  <si>
    <t>位置</t>
  </si>
  <si>
    <t>经营管理模式</t>
  </si>
  <si>
    <r>
      <rPr>
        <b/>
        <sz val="12"/>
        <color theme="1"/>
        <rFont val="宋体"/>
        <family val="3"/>
        <charset val="134"/>
      </rPr>
      <t xml:space="preserve">
可出租面积</t>
    </r>
    <r>
      <rPr>
        <b/>
        <sz val="12"/>
        <color theme="1"/>
        <rFont val="Source Sans Pro"/>
        <family val="1"/>
      </rPr>
      <t xml:space="preserve"> (</t>
    </r>
    <r>
      <rPr>
        <b/>
        <sz val="12"/>
        <color theme="1"/>
        <rFont val="宋体"/>
        <family val="3"/>
        <charset val="134"/>
      </rPr>
      <t>平米</t>
    </r>
    <r>
      <rPr>
        <b/>
        <sz val="12"/>
        <color theme="1"/>
        <rFont val="Source Sans Pro"/>
        <family val="1"/>
      </rPr>
      <t>)</t>
    </r>
  </si>
  <si>
    <t>起始日期</t>
  </si>
  <si>
    <r>
      <rPr>
        <b/>
        <sz val="12"/>
        <color theme="1"/>
        <rFont val="宋体"/>
        <family val="3"/>
        <charset val="134"/>
      </rPr>
      <t>租金（元</t>
    </r>
    <r>
      <rPr>
        <b/>
        <sz val="12"/>
        <color theme="1"/>
        <rFont val="Source Sans Pro"/>
        <family val="1"/>
      </rPr>
      <t>/</t>
    </r>
    <r>
      <rPr>
        <b/>
        <sz val="12"/>
        <color theme="1"/>
        <rFont val="宋体"/>
        <family val="3"/>
        <charset val="134"/>
      </rPr>
      <t>天</t>
    </r>
    <r>
      <rPr>
        <b/>
        <sz val="12"/>
        <color theme="1"/>
        <rFont val="Source Sans Pro"/>
        <family val="1"/>
      </rPr>
      <t>/</t>
    </r>
    <r>
      <rPr>
        <b/>
        <sz val="12"/>
        <color theme="1"/>
        <rFont val="宋体"/>
        <family val="3"/>
        <charset val="134"/>
      </rPr>
      <t>平方米）</t>
    </r>
  </si>
  <si>
    <t>月租金收入</t>
  </si>
  <si>
    <t>增长率</t>
  </si>
  <si>
    <t>B101</t>
  </si>
  <si>
    <t>经营租赁</t>
  </si>
  <si>
    <t>第3年增长5%,第5年增长5%</t>
  </si>
  <si>
    <t>餐饮/甜品饮品</t>
  </si>
  <si>
    <t>B102</t>
  </si>
  <si>
    <t>该租户为纯抽20%</t>
  </si>
  <si>
    <t>体育场馆经营、射击体验</t>
  </si>
  <si>
    <t>B103</t>
  </si>
  <si>
    <t>B104A</t>
  </si>
  <si>
    <t>第2年增长5%</t>
  </si>
  <si>
    <t>B104B</t>
  </si>
  <si>
    <t>第2年增长4%</t>
  </si>
  <si>
    <t>B105</t>
  </si>
  <si>
    <t>第2年增长6%</t>
  </si>
  <si>
    <t>零售餐饮</t>
  </si>
  <si>
    <t>B106</t>
  </si>
  <si>
    <t>第2年增长7%,第3年增长7%</t>
  </si>
  <si>
    <t>B107</t>
  </si>
  <si>
    <t>第2年增长11%,第3年增长5%,第5年增长14%</t>
  </si>
  <si>
    <t>正餐</t>
  </si>
  <si>
    <t>B108</t>
  </si>
  <si>
    <t>第2年增长5%,第3年增长5%</t>
  </si>
  <si>
    <t>儿童教育</t>
  </si>
  <si>
    <t>B109-B110</t>
  </si>
  <si>
    <t>第2年增长5%,第3年增长4%</t>
  </si>
  <si>
    <t>服装、鞋、配饰</t>
  </si>
  <si>
    <t>B111-B112</t>
  </si>
  <si>
    <t>服装、鞋、帽等零售</t>
  </si>
  <si>
    <t>B113-B114</t>
  </si>
  <si>
    <t>第2年增长20%</t>
  </si>
  <si>
    <t>B115</t>
  </si>
  <si>
    <t>首年租金为0，第2年租金为19819.8,第3年增长11%</t>
  </si>
  <si>
    <t>衣服、配饰、鞋</t>
  </si>
  <si>
    <t>B116</t>
  </si>
  <si>
    <t>首年分段计租（月销售额＜200000元，基本租金0元，或上述期间零售额的12%；如月零售额≥200000元，则基本租金29175.5元（150元每平米），或当月零售额的12%。），第2年租金为32097.45,第3年增长6%,第4年增长6%,第5年增长5%</t>
  </si>
  <si>
    <t>服饰零售</t>
  </si>
  <si>
    <t>B117A</t>
  </si>
  <si>
    <t>B117B</t>
  </si>
  <si>
    <t>首年租金为0，第2年租金为65427.2,第3年增长13%</t>
  </si>
  <si>
    <t>B118</t>
  </si>
  <si>
    <t>B119</t>
  </si>
  <si>
    <t>第2年增长6%,第3年增长6%</t>
  </si>
  <si>
    <t>服装</t>
  </si>
  <si>
    <t>B120</t>
  </si>
  <si>
    <t>第2年增长17%</t>
  </si>
  <si>
    <t>服装零售</t>
  </si>
  <si>
    <t>B121</t>
  </si>
  <si>
    <t>第3年增长6%</t>
  </si>
  <si>
    <t>B122</t>
  </si>
  <si>
    <t>休闲游乐</t>
  </si>
  <si>
    <t>B123</t>
  </si>
  <si>
    <t>精品礼品</t>
  </si>
  <si>
    <t>仅签约1年，无租金递增</t>
  </si>
  <si>
    <t>B124</t>
  </si>
  <si>
    <t>第2年增长3%,第3年增长3%,第4年增长3%</t>
  </si>
  <si>
    <t>B125</t>
  </si>
  <si>
    <t>B126</t>
  </si>
  <si>
    <t>第2年增长4%,第3年增长4%</t>
  </si>
  <si>
    <t>B127</t>
  </si>
  <si>
    <t>第2年增长7%,第4年增长7%,第6年增长7%</t>
  </si>
  <si>
    <t>B128</t>
  </si>
  <si>
    <t>第2年增长8%,第3年增长7%</t>
  </si>
  <si>
    <t>B129</t>
  </si>
  <si>
    <t>潮玩杂货</t>
  </si>
  <si>
    <t>B130A</t>
  </si>
  <si>
    <t>第2年增长2%</t>
  </si>
  <si>
    <t>眼镜</t>
  </si>
  <si>
    <t>B130B</t>
  </si>
  <si>
    <t>第2年增长3%</t>
  </si>
  <si>
    <t>B130</t>
  </si>
  <si>
    <t>第2年增长9%</t>
  </si>
  <si>
    <t>B131</t>
  </si>
  <si>
    <t>腕表</t>
  </si>
  <si>
    <t>B132</t>
  </si>
  <si>
    <t>首年租金为0，第2年租金为55860,第3年增长11%</t>
  </si>
  <si>
    <t>B134</t>
  </si>
  <si>
    <t>服装、配饰等零售</t>
  </si>
  <si>
    <t>B135</t>
  </si>
  <si>
    <t>第2年增长7%</t>
  </si>
  <si>
    <t>B201-B224</t>
  </si>
  <si>
    <t>第4年增长2%,第5年增长8%</t>
  </si>
  <si>
    <t>生活便利</t>
  </si>
  <si>
    <t>B202</t>
  </si>
  <si>
    <t>射箭馆</t>
  </si>
  <si>
    <t>B203</t>
  </si>
  <si>
    <t>第2年增长8%</t>
  </si>
  <si>
    <t>个人护理</t>
  </si>
  <si>
    <t>B204</t>
  </si>
  <si>
    <t>第2年增长6%,第5年增长6%,第8年增长5%</t>
  </si>
  <si>
    <t>B205A</t>
  </si>
  <si>
    <t>B205C</t>
  </si>
  <si>
    <t>电子产品零售</t>
  </si>
  <si>
    <t>B205</t>
  </si>
  <si>
    <t>第2年增长11%</t>
  </si>
  <si>
    <t>B206A</t>
  </si>
  <si>
    <t>零售</t>
  </si>
  <si>
    <t>B206C</t>
  </si>
  <si>
    <t>B206D</t>
  </si>
  <si>
    <t>B206B</t>
  </si>
  <si>
    <t>花草、观赏植物、观赏鱼等</t>
  </si>
  <si>
    <t>B207</t>
  </si>
  <si>
    <t>茶叶、保健品、海参等</t>
  </si>
  <si>
    <t>B208</t>
  </si>
  <si>
    <t>B209</t>
  </si>
  <si>
    <t>家用精品</t>
  </si>
  <si>
    <t>B210A</t>
  </si>
  <si>
    <t>日用杂货</t>
  </si>
  <si>
    <t>B210</t>
  </si>
  <si>
    <t>B211</t>
  </si>
  <si>
    <t>零售食品</t>
  </si>
  <si>
    <t>B211A</t>
  </si>
  <si>
    <t>保健品</t>
  </si>
  <si>
    <t>B211B</t>
  </si>
  <si>
    <t>礼品</t>
  </si>
  <si>
    <t>B214</t>
  </si>
  <si>
    <t>第2年增长10%</t>
  </si>
  <si>
    <t>B215</t>
  </si>
  <si>
    <t>零售药店</t>
  </si>
  <si>
    <t>B216</t>
  </si>
  <si>
    <t>B217</t>
  </si>
  <si>
    <t>该租户为纯抽30%</t>
  </si>
  <si>
    <t>垒球体验</t>
  </si>
  <si>
    <t>B218</t>
  </si>
  <si>
    <t>B219</t>
  </si>
  <si>
    <t>第3年增长7%</t>
  </si>
  <si>
    <t>家居精品</t>
  </si>
  <si>
    <t>B220</t>
  </si>
  <si>
    <t>B221</t>
  </si>
  <si>
    <t>美容美体</t>
  </si>
  <si>
    <t>B222</t>
  </si>
  <si>
    <t>生活方式</t>
  </si>
  <si>
    <t>B223</t>
  </si>
  <si>
    <t>第2年增长5%,第3年增长13%</t>
  </si>
  <si>
    <t>化妆品</t>
  </si>
  <si>
    <t>B301</t>
  </si>
  <si>
    <t>第2年增长9%,第3年增长8%</t>
  </si>
  <si>
    <t>洗车房</t>
  </si>
  <si>
    <t>L101A</t>
  </si>
  <si>
    <t>第3年增长6%,第5年增长5%</t>
  </si>
  <si>
    <t>L101</t>
  </si>
  <si>
    <t>生活方式/车</t>
  </si>
  <si>
    <t>L102</t>
  </si>
  <si>
    <t>L103-L104</t>
  </si>
  <si>
    <t>L105</t>
  </si>
  <si>
    <t>首年分段计租（月零售额小于180000，则基本租金为0，或上述期间零售额的12%；月零售额大于等于180000，则基本租金为25564元（220元/平方米）或上述期间零售额的15%），第2年租金为26842.2,第3年增长5%</t>
  </si>
  <si>
    <t>L106</t>
  </si>
  <si>
    <t>该租户为纯抽14%</t>
  </si>
  <si>
    <t>L107</t>
  </si>
  <si>
    <t>清洁用品等生活方式类零售</t>
  </si>
  <si>
    <t>L108</t>
  </si>
  <si>
    <t>汽车零售、承办展览展示</t>
  </si>
  <si>
    <t>L109</t>
  </si>
  <si>
    <t>第3年增长2%</t>
  </si>
  <si>
    <t>眼镜等配饰</t>
  </si>
  <si>
    <t>L110</t>
  </si>
  <si>
    <t>该租户为纯抽6%</t>
  </si>
  <si>
    <t>L114-L115</t>
  </si>
  <si>
    <t>第2年增长8.17%，第三年增长7.56%</t>
  </si>
  <si>
    <t>电子数码产品</t>
  </si>
  <si>
    <t>L116</t>
  </si>
  <si>
    <t>第2年增长3%,第3年增长3%</t>
  </si>
  <si>
    <t>L117</t>
  </si>
  <si>
    <t>首年分段计租（月销售＜150000元，每月基本租金0元，或当月零售额的12%；月销售额≥150000，每月基本租金18139元（220元每平米），或当月零售额的15%。），第2年租金为19045.95,第3年增长5%</t>
  </si>
  <si>
    <t>皮具、鞋、配饰</t>
  </si>
  <si>
    <t>L118</t>
  </si>
  <si>
    <t>第2年增长10%，第三年增长9.09%</t>
  </si>
  <si>
    <t>L119A</t>
  </si>
  <si>
    <t>第2年增长10%,第3年增长10%</t>
  </si>
  <si>
    <t>儿童用品</t>
  </si>
  <si>
    <t>L119B-L119C</t>
  </si>
  <si>
    <t>L119</t>
  </si>
  <si>
    <t>L120</t>
  </si>
  <si>
    <t>首年前6个月租金为0，首年后六个月租金为21267,第2年增长7%</t>
  </si>
  <si>
    <t>L120A</t>
  </si>
  <si>
    <t>第2年增长5%,第3年增长5%,第4年增长5%,第5年增长5%</t>
  </si>
  <si>
    <t>L121</t>
  </si>
  <si>
    <t>首年分段计租(月销售＜100000元，每月基本租金0元，或当月零售额的10%；月销售额≥100000，每月基本租金12665元（100元每平米），或当月零售额的12%。)，第2年租金为12665</t>
  </si>
  <si>
    <t>L122</t>
  </si>
  <si>
    <t>第2年增长4%,第3年增长3%</t>
  </si>
  <si>
    <t>L123</t>
  </si>
  <si>
    <t>服装、鞋、帽、袜等零售</t>
  </si>
  <si>
    <t>L124</t>
  </si>
  <si>
    <t>L125</t>
  </si>
  <si>
    <t>L126</t>
  </si>
  <si>
    <t>第2年增长10%,第5年增长10%</t>
  </si>
  <si>
    <t>L131</t>
  </si>
  <si>
    <t>L201</t>
  </si>
  <si>
    <t>第2年增长6%,第3年增长6%,第4年增长5%,第5年增长5%</t>
  </si>
  <si>
    <t>照相馆</t>
  </si>
  <si>
    <t>L203</t>
  </si>
  <si>
    <t>第2年增长7%,第3年增长6%</t>
  </si>
  <si>
    <t>L204</t>
  </si>
  <si>
    <t>L205</t>
  </si>
  <si>
    <t>L206</t>
  </si>
  <si>
    <t>首年分段计租(月零售额＜180000元，每月基本租金0元，或上述期间零售额的12%；月零售额≥180000，每月基本租金26127.4元（260元每平米），或当月零售额的15%。)，第2年租金为27433.77,第3年增长3%</t>
  </si>
  <si>
    <t>L207</t>
  </si>
  <si>
    <t>L208</t>
  </si>
  <si>
    <t>首年租金为0，第2年租金为17550,第3年增长20%</t>
  </si>
  <si>
    <t>L209</t>
  </si>
  <si>
    <t>L210</t>
  </si>
  <si>
    <t>第2年增长3%,第3年增长2%</t>
  </si>
  <si>
    <t>眼镜等</t>
  </si>
  <si>
    <t>L211</t>
  </si>
  <si>
    <t>黄金、珠宝、钟表、箱包等配饰</t>
  </si>
  <si>
    <t>L212</t>
  </si>
  <si>
    <t>第2年增长2%,第3年增长2%</t>
  </si>
  <si>
    <t>黄金珠宝首饰</t>
  </si>
  <si>
    <t>L212A</t>
  </si>
  <si>
    <t>黄金珠宝配饰</t>
  </si>
  <si>
    <t>L213A</t>
  </si>
  <si>
    <t>第2年增长8%,第3年增长8%</t>
  </si>
  <si>
    <t>L213C</t>
  </si>
  <si>
    <t>第3年增长3%,第5年增长3%</t>
  </si>
  <si>
    <t>健身</t>
  </si>
  <si>
    <t>L213D</t>
  </si>
  <si>
    <t>L214</t>
  </si>
  <si>
    <t>L215</t>
  </si>
  <si>
    <t>第2年增长2%,第3年增长7%</t>
  </si>
  <si>
    <t>L216</t>
  </si>
  <si>
    <t>配饰</t>
  </si>
  <si>
    <t>L217</t>
  </si>
  <si>
    <t>L218</t>
  </si>
  <si>
    <t>L219</t>
  </si>
  <si>
    <t>L220A</t>
  </si>
  <si>
    <t>L220</t>
  </si>
  <si>
    <t>该租户为分段计租，首段基本租金为0</t>
  </si>
  <si>
    <t>书店、咖啡</t>
  </si>
  <si>
    <t>L221</t>
  </si>
  <si>
    <t>L222</t>
  </si>
  <si>
    <t>第2年增长11.76%</t>
  </si>
  <si>
    <t>L223</t>
  </si>
  <si>
    <t>L224</t>
  </si>
  <si>
    <t>L225</t>
  </si>
  <si>
    <t>第2年增长7%,第3年增长7%,第4年增长6%</t>
  </si>
  <si>
    <t>L226</t>
  </si>
  <si>
    <t>L227</t>
  </si>
  <si>
    <t>假发、配饰等零售</t>
  </si>
  <si>
    <t>L228</t>
  </si>
  <si>
    <t>首年分段计租(月零售额12万元及以下，基本租金0元，或上述期间零售额的12%；月零售额12万元及以上，基本租金17701.2（220元每平米），或上述期间零售额的15%)，第2年租金为18586.26,第3年增长5%</t>
  </si>
  <si>
    <t>L301</t>
  </si>
  <si>
    <t>第2年增长3%,第3年增长5%,第4年增长10%</t>
  </si>
  <si>
    <t>体育</t>
  </si>
  <si>
    <t>L302</t>
  </si>
  <si>
    <t>L303</t>
  </si>
  <si>
    <t>第2年增长12%</t>
  </si>
  <si>
    <t>L304</t>
  </si>
  <si>
    <t>首年分段计租(月零售额12万元及以下，基本租金0元，或上述期间零售额的12%；月零售额12万元及以上，基本租金17897（220元每平米），或上述期间零售额的15%)，第2年租金为18791.85,第3年增长5%</t>
  </si>
  <si>
    <t>L305</t>
  </si>
  <si>
    <t>首年分段计租(月零售额12万元及以下，基本租金0元，或上述期间零售额的12%；月零售额12万元及以上，基本租金15617.8（220元每平米），或上述期间零售额的15%)，第2年租金为16398.69,第3年增长5%</t>
  </si>
  <si>
    <t>L306</t>
  </si>
  <si>
    <t>L307</t>
  </si>
  <si>
    <t>首年分段计租(月零售额15万元及以下，基本租金11396元（100元每平米），或上述期间零售额的16%；月零售额15万元以上，基本租金25071.2元（220元每平米），或上述期间零售额的16%)，第2年租金为27350.4,第3年增长8%</t>
  </si>
  <si>
    <t>L308</t>
  </si>
  <si>
    <t>L309</t>
  </si>
  <si>
    <t>服装等零售</t>
  </si>
  <si>
    <t>L310</t>
  </si>
  <si>
    <t>服装、帽、袜等零售</t>
  </si>
  <si>
    <t>L311</t>
  </si>
  <si>
    <t>第2年增长4.81%，第3年增长4.59%</t>
  </si>
  <si>
    <t>书法、美术培训</t>
  </si>
  <si>
    <t>L313</t>
  </si>
  <si>
    <t>第3年增长7%,第5年增长6%,第7年增长6%</t>
  </si>
  <si>
    <t>儿童游乐</t>
  </si>
  <si>
    <t>L315-L317</t>
  </si>
  <si>
    <t>L318</t>
  </si>
  <si>
    <t>第2年增长4%,第3年增长6%</t>
  </si>
  <si>
    <t>L319B</t>
  </si>
  <si>
    <t>儿童零售</t>
  </si>
  <si>
    <t>L320</t>
  </si>
  <si>
    <t>L321A</t>
  </si>
  <si>
    <t>第3年增长7%,第5年增长7%,第7年增长6%</t>
  </si>
  <si>
    <t>L321b</t>
  </si>
  <si>
    <t>首年及第二年为分段计租(交付日至2025.5.18，月零售额≤45万，基本租金13646.75元（65/平方米），或5.5%，二者取高；月零售额＞45万，基本租金16796元（80/平方米），或4.5%，二者取高)，第3年租金为20995</t>
  </si>
  <si>
    <t>便利店等综合</t>
  </si>
  <si>
    <t>L322</t>
  </si>
  <si>
    <t>L323</t>
  </si>
  <si>
    <t>L324</t>
  </si>
  <si>
    <t>L325</t>
  </si>
  <si>
    <t>第2年增长6%,第3年增长5%</t>
  </si>
  <si>
    <t>L326</t>
  </si>
  <si>
    <t>L327</t>
  </si>
  <si>
    <t>L328</t>
  </si>
  <si>
    <t>女装</t>
  </si>
  <si>
    <t>L401</t>
  </si>
  <si>
    <t>L404</t>
  </si>
  <si>
    <t>儿童服务</t>
  </si>
  <si>
    <t>L405</t>
  </si>
  <si>
    <t>L406</t>
  </si>
  <si>
    <t>儿童</t>
  </si>
  <si>
    <t>L407</t>
  </si>
  <si>
    <t>L408</t>
  </si>
  <si>
    <t>首年分段计租(月零售额10万元及以下，0元；10万元以上，基本租金13269元（150元每平米）)，第2年租金为14153.6</t>
  </si>
  <si>
    <t>L409A</t>
  </si>
  <si>
    <t>首年分段计租(月零售额12万元及以下，0元；12万元以上，基本租金12217.5元（150元每平米）)，第2年租金为13032</t>
  </si>
  <si>
    <t>儿童服装</t>
  </si>
  <si>
    <t>L409B</t>
  </si>
  <si>
    <t>娱乐运动</t>
  </si>
  <si>
    <t>L410</t>
  </si>
  <si>
    <t>L411A</t>
  </si>
  <si>
    <t>DIY手工</t>
  </si>
  <si>
    <t>L411B</t>
  </si>
  <si>
    <t>L412</t>
  </si>
  <si>
    <t>L413-L414</t>
  </si>
  <si>
    <t>第3年增长14%,第5年增长13%,第7年增长11%</t>
  </si>
  <si>
    <t>L414A</t>
  </si>
  <si>
    <t>儿童家具等零售</t>
  </si>
  <si>
    <t>L415</t>
  </si>
  <si>
    <t>L416</t>
  </si>
  <si>
    <t>第2年增长7%,第3年增长11%</t>
  </si>
  <si>
    <t>L417</t>
  </si>
  <si>
    <t>第2年增长40%,第3年增长7%</t>
  </si>
  <si>
    <t>L418</t>
  </si>
  <si>
    <t>L419</t>
  </si>
  <si>
    <t>L420</t>
  </si>
  <si>
    <t>儿童服饰</t>
  </si>
  <si>
    <t>L421A</t>
  </si>
  <si>
    <t>L421B</t>
  </si>
  <si>
    <t>首年分段计租(月销售＜100000元，每月基本租金0元，或当月零售额的10%；月销售额≥100000，每月基本租金13188元（100元每平米），或当月零售额的12%。)，第2年租金为13188</t>
  </si>
  <si>
    <t>儿童鞋服</t>
  </si>
  <si>
    <t>L422</t>
  </si>
  <si>
    <t>第3年增长11%</t>
  </si>
  <si>
    <t>L423</t>
  </si>
  <si>
    <t>L424-L425</t>
  </si>
  <si>
    <t>第2年增长4%,第3年增长4%,第4年增长4%</t>
  </si>
  <si>
    <t>母婴零售</t>
  </si>
  <si>
    <t>L426</t>
  </si>
  <si>
    <t>L427</t>
  </si>
  <si>
    <t>L428</t>
  </si>
  <si>
    <t>L501</t>
  </si>
  <si>
    <t>第3年增长7%,第5年增长13%</t>
  </si>
  <si>
    <t>健身运动</t>
  </si>
  <si>
    <t>L502</t>
  </si>
  <si>
    <t>第2年增长5%,第3年增长4%,第4年增长4%</t>
  </si>
  <si>
    <t>L503</t>
  </si>
  <si>
    <t>L504A</t>
  </si>
  <si>
    <t>L504</t>
  </si>
  <si>
    <t>L505</t>
  </si>
  <si>
    <t>L506</t>
  </si>
  <si>
    <t>L507</t>
  </si>
  <si>
    <t>首年租金为0，第2年租金为11343</t>
  </si>
  <si>
    <t>数码零售</t>
  </si>
  <si>
    <t>L508</t>
  </si>
  <si>
    <t>生活方式零售</t>
  </si>
  <si>
    <t>L508A</t>
  </si>
  <si>
    <t>第2年增长14%</t>
  </si>
  <si>
    <t>L509</t>
  </si>
  <si>
    <t>L509A</t>
  </si>
  <si>
    <t>厨房收纳产品、厨房收纳服务</t>
  </si>
  <si>
    <t>L510</t>
  </si>
  <si>
    <t>第2年增长6%,第3年增长6%,第4年增长5%</t>
  </si>
  <si>
    <t>教育培训</t>
  </si>
  <si>
    <t>L511B</t>
  </si>
  <si>
    <t>第2年增长7%,第3年增长3%</t>
  </si>
  <si>
    <t>L512</t>
  </si>
  <si>
    <t>L513-L514</t>
  </si>
  <si>
    <t>首年租金为0，第2年租金为97000,第3年增长10%,第5年增长9%</t>
  </si>
  <si>
    <t>L515</t>
  </si>
  <si>
    <t>L516</t>
  </si>
  <si>
    <t>L517</t>
  </si>
  <si>
    <t>家用电器、电子产品、玩具等</t>
  </si>
  <si>
    <t>L518-L519</t>
  </si>
  <si>
    <t>该租户为分段计租。前两年：月销售X≤50万：基本租金18432元（80元每平米），或上述期间零售额的4%；月销售额50万＜X≤80万：基本租金：23040元（100元每平米），或上述期间零售额的4%；月销售额X＞80万：基本租金：48384元（210元每平米），或上述期间零售额的6%。第三年：月销售X≤80万：基本租金27648元（120元每平米），或上述期间零售额的4%；月销售额X＞80万：基本租金：50688元（220元每平米），或上述期间零售额的6%。</t>
  </si>
  <si>
    <t>家居家电及烘焙体验</t>
  </si>
  <si>
    <t>L520</t>
  </si>
  <si>
    <t>玩具销售</t>
  </si>
  <si>
    <t>L521A-L521B</t>
  </si>
  <si>
    <t>第3年增长6%,第5年增长6%</t>
  </si>
  <si>
    <t>L521C</t>
  </si>
  <si>
    <t>L522A</t>
  </si>
  <si>
    <t>L522B</t>
  </si>
  <si>
    <t>第2年增长5%,第3年增长5%,第4年增长5%</t>
  </si>
  <si>
    <t>L523</t>
  </si>
  <si>
    <t>该租户为纯抽16%</t>
  </si>
  <si>
    <t>L524</t>
  </si>
  <si>
    <t>3C数码</t>
  </si>
  <si>
    <t>L525</t>
  </si>
  <si>
    <t>第3年增长10%</t>
  </si>
  <si>
    <t>L526</t>
  </si>
  <si>
    <t>L527-L528</t>
  </si>
  <si>
    <t>泰拳格斗馆</t>
  </si>
  <si>
    <t>L601</t>
  </si>
  <si>
    <t>第2年增长5%,第3年增长4%,第4年增长4%,第5年增长4%</t>
  </si>
  <si>
    <t>L602-L603</t>
  </si>
  <si>
    <t>第3年增长8%,第5年增长7%</t>
  </si>
  <si>
    <t>L604</t>
  </si>
  <si>
    <t>无人游戏机等体验综合</t>
  </si>
  <si>
    <t>L605-L606</t>
  </si>
  <si>
    <t>L607</t>
  </si>
  <si>
    <t>L608A</t>
  </si>
  <si>
    <t>L608b</t>
  </si>
  <si>
    <t>L609-L610</t>
  </si>
  <si>
    <t>第3年增长9%,第4年增长8%</t>
  </si>
  <si>
    <t>L611</t>
  </si>
  <si>
    <t>L612-L613</t>
  </si>
  <si>
    <t>第3年增长7%,第5年增长7%</t>
  </si>
  <si>
    <t>L614</t>
  </si>
  <si>
    <t>第2年增长5%,第3年增长5%,第4年增长4%,第5年增长4%</t>
  </si>
  <si>
    <t>L615</t>
  </si>
  <si>
    <t>L616</t>
  </si>
  <si>
    <t>L617</t>
  </si>
  <si>
    <t>L618</t>
  </si>
  <si>
    <t>第3年增长4%,第5年增长4%</t>
  </si>
  <si>
    <t>L619</t>
  </si>
  <si>
    <t>第3年增长15%,第5年增长13%</t>
  </si>
  <si>
    <t>L620</t>
  </si>
  <si>
    <t>第3年增长5%,第5年增长5%,第7年增长5%</t>
  </si>
  <si>
    <t>L622</t>
  </si>
  <si>
    <t>L624</t>
  </si>
  <si>
    <t>L701</t>
  </si>
  <si>
    <t>L702-L703</t>
  </si>
  <si>
    <t>L704</t>
  </si>
  <si>
    <t>L705-L706</t>
  </si>
  <si>
    <t>第2年增长7%,第3年增长6%,第4年增长6%,第5年增长6%</t>
  </si>
  <si>
    <t>L707</t>
  </si>
  <si>
    <t>第3年增长4%,第4年增长12%</t>
  </si>
  <si>
    <t>L708</t>
  </si>
  <si>
    <t>该租户前3年为纯抽，第4年基本租金为2025年5月19日至2026年5月18日实缴租金的85%，第7年增长10%，第10年增长10%，第13年增长10%，第16年增长10%</t>
  </si>
  <si>
    <t>影城</t>
  </si>
  <si>
    <t>L709A</t>
  </si>
  <si>
    <t>L710</t>
  </si>
  <si>
    <t>第3年增长8%</t>
  </si>
  <si>
    <t>L711</t>
  </si>
  <si>
    <t>L712-L713</t>
  </si>
  <si>
    <t>第3年增长8%,第5年增长8%</t>
  </si>
  <si>
    <t>L714</t>
  </si>
  <si>
    <t>第2年增长6%,第3年增长5%,第4年增长10%</t>
  </si>
  <si>
    <t>L716</t>
  </si>
  <si>
    <t>L717</t>
  </si>
  <si>
    <t>第2年增长6%,第3年增长5%,第4年增长5%,第5年增长5%</t>
  </si>
  <si>
    <t>L718</t>
  </si>
  <si>
    <t>L719</t>
  </si>
  <si>
    <t>上林溪</t>
    <phoneticPr fontId="134" type="noConversion"/>
  </si>
  <si>
    <t>昌发展云智中心</t>
    <phoneticPr fontId="134" type="noConversion"/>
  </si>
  <si>
    <t>京投银泰公园悦府</t>
    <phoneticPr fontId="134" type="noConversion"/>
  </si>
  <si>
    <t>东升科技园</t>
    <phoneticPr fontId="134" type="noConversion"/>
  </si>
  <si>
    <t>《不动产权证书》</t>
  </si>
  <si>
    <t>复印件</t>
  </si>
  <si>
    <t>一般</t>
    <phoneticPr fontId="3" type="noConversion"/>
  </si>
  <si>
    <t>一般</t>
    <phoneticPr fontId="3" type="noConversion"/>
  </si>
  <si>
    <t>东升科技园</t>
    <phoneticPr fontId="3" type="noConversion"/>
  </si>
  <si>
    <t>一般</t>
    <phoneticPr fontId="3" type="noConversion"/>
  </si>
  <si>
    <t>育新花园</t>
    <phoneticPr fontId="30" type="noConversion"/>
  </si>
  <si>
    <t>中介</t>
    <phoneticPr fontId="30" type="noConversion"/>
  </si>
  <si>
    <t>西三旗万象汇</t>
    <phoneticPr fontId="30" type="noConversion"/>
  </si>
  <si>
    <t>林奥CITYPARK购物中心</t>
    <phoneticPr fontId="30" type="noConversion"/>
  </si>
  <si>
    <t>中介</t>
    <phoneticPr fontId="30" type="noConversion"/>
  </si>
  <si>
    <t>购物中心</t>
  </si>
  <si>
    <t>购物中心</t>
    <phoneticPr fontId="3" type="noConversion"/>
  </si>
  <si>
    <t>写字楼配套</t>
    <phoneticPr fontId="3" type="noConversion"/>
  </si>
  <si>
    <t>住宅配套</t>
    <phoneticPr fontId="30" type="noConversion"/>
  </si>
  <si>
    <t>面积类型</t>
    <phoneticPr fontId="30" type="noConversion"/>
  </si>
  <si>
    <t>建筑面积</t>
    <phoneticPr fontId="30" type="noConversion"/>
  </si>
  <si>
    <t>使用面积</t>
    <phoneticPr fontId="30" type="noConversion"/>
  </si>
  <si>
    <t>使用面积</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</si>
</sst>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_-* #,##0.00_-;\-* #,##0.00_-;_-* &quot;-&quot;??_-;_-@_-"/>
    <numFmt numFmtId="198" formatCode="0.0"/>
    <numFmt numFmtId="199" formatCode="yyyy/mm/dd"/>
    <numFmt numFmtId="200" formatCode="#."/>
    <numFmt numFmtId="201" formatCode="_-* #,##0_-;\-* #,##0_-;_-* &quot;-&quot;??_-;_-@_-"/>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9"/>
      <color indexed="8"/>
      <name val="微软雅黑"/>
      <family val="2"/>
      <charset val="134"/>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0"/>
      <color rgb="FF0070C0"/>
      <name val="宋体"/>
      <family val="3"/>
      <charset val="134"/>
      <scheme val="minor"/>
    </font>
    <font>
      <sz val="11"/>
      <color rgb="FFFF0000"/>
      <name val="宋体"/>
      <family val="3"/>
      <charset val="134"/>
      <scheme val="minor"/>
    </font>
    <font>
      <u/>
      <sz val="12"/>
      <color theme="10"/>
      <name val="宋体"/>
      <family val="3"/>
      <charset val="134"/>
    </font>
    <font>
      <sz val="10"/>
      <color rgb="FF000000"/>
      <name val="宋体"/>
      <family val="3"/>
      <charset val="134"/>
      <scheme val="minor"/>
    </font>
    <font>
      <sz val="10"/>
      <name val="宋体"/>
      <family val="3"/>
      <charset val="134"/>
      <scheme val="minor"/>
    </font>
    <font>
      <sz val="12"/>
      <color theme="1"/>
      <name val="楷体"/>
      <family val="3"/>
      <charset val="134"/>
    </font>
    <font>
      <sz val="11"/>
      <color theme="1"/>
      <name val="Calibri"/>
      <family val="2"/>
      <charset val="161"/>
    </font>
    <font>
      <b/>
      <sz val="10"/>
      <name val="宋体"/>
      <family val="3"/>
      <charset val="134"/>
      <scheme val="minor"/>
    </font>
    <font>
      <b/>
      <sz val="12"/>
      <color theme="1"/>
      <name val="Source Sans Pro"/>
      <family val="1"/>
    </font>
    <font>
      <sz val="12"/>
      <color theme="1"/>
      <name val="Source Sans Pro"/>
      <family val="1"/>
    </font>
    <font>
      <sz val="11"/>
      <name val="Source Sans Pro"/>
      <family val="1"/>
    </font>
    <font>
      <sz val="11"/>
      <color theme="1"/>
      <name val="Source Sans Pro"/>
      <family val="1"/>
    </font>
    <font>
      <b/>
      <sz val="10"/>
      <color rgb="FFFF0000"/>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64"/>
      </left>
      <right style="thin">
        <color indexed="64"/>
      </right>
      <top style="mediumDashDotDot">
        <color rgb="FFFF0000"/>
      </top>
      <bottom style="thick">
        <color indexed="64"/>
      </bottom>
      <diagonal/>
    </border>
    <border>
      <left style="thin">
        <color indexed="64"/>
      </left>
      <right style="thin">
        <color indexed="64"/>
      </right>
      <top style="mediumDashDotDot">
        <color rgb="FFFF0000"/>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5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197" fontId="36" fillId="0" borderId="0" applyFont="0" applyFill="0" applyBorder="0" applyAlignment="0" applyProtection="0">
      <alignment vertical="center"/>
    </xf>
    <xf numFmtId="0" fontId="147" fillId="0" borderId="0">
      <alignment vertical="center"/>
    </xf>
    <xf numFmtId="0" fontId="293" fillId="0" borderId="0" applyNumberFormat="0" applyFill="0" applyBorder="0" applyAlignment="0" applyProtection="0">
      <alignment vertical="top"/>
      <protection locked="0"/>
    </xf>
    <xf numFmtId="9" fontId="147" fillId="0" borderId="0" applyFont="0" applyFill="0" applyBorder="0" applyAlignment="0" applyProtection="0">
      <alignment vertical="center"/>
    </xf>
    <xf numFmtId="0" fontId="95" fillId="0" borderId="0"/>
    <xf numFmtId="197" fontId="95" fillId="0" borderId="0" applyFont="0" applyFill="0" applyBorder="0" applyAlignment="0" applyProtection="0"/>
  </cellStyleXfs>
  <cellXfs count="42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10" applyFont="1" applyBorder="1" applyAlignment="1">
      <alignment vertical="center"/>
    </xf>
    <xf numFmtId="0" fontId="269" fillId="0" borderId="1" xfId="10" applyNumberFormat="1"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3" fillId="5" borderId="1" xfId="10" applyNumberFormat="1" applyFont="1" applyFill="1" applyBorder="1" applyAlignment="1">
      <alignment horizontal="center" vertical="center" wrapText="1" shrinkToFit="1"/>
    </xf>
    <xf numFmtId="9" fontId="274" fillId="0" borderId="1" xfId="10" applyNumberFormat="1" applyFont="1" applyFill="1" applyBorder="1" applyAlignment="1">
      <alignment horizontal="center" vertical="center" wrapText="1"/>
    </xf>
    <xf numFmtId="179" fontId="273"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69"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76"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77" fillId="0" borderId="0" xfId="10" applyFont="1" applyFill="1" applyAlignment="1">
      <alignment vertical="center"/>
    </xf>
    <xf numFmtId="182" fontId="110" fillId="0" borderId="0" xfId="10" applyNumberFormat="1" applyFont="1" applyFill="1" applyBorder="1" applyAlignment="1">
      <alignment horizontal="center" vertical="center"/>
    </xf>
    <xf numFmtId="9" fontId="273"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76" fillId="0" borderId="0" xfId="10" applyFont="1" applyFill="1" applyAlignment="1">
      <alignment horizontal="center" vertical="center" wrapText="1"/>
    </xf>
    <xf numFmtId="0" fontId="276"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76" fillId="0" borderId="0" xfId="10" applyNumberFormat="1" applyFont="1" applyFill="1" applyAlignment="1">
      <alignment horizontal="center" vertical="center" wrapText="1"/>
    </xf>
    <xf numFmtId="0" fontId="282" fillId="0" borderId="0" xfId="10" applyFont="1" applyFill="1" applyAlignment="1">
      <alignment vertical="center" wrapText="1"/>
    </xf>
    <xf numFmtId="0" fontId="283"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76" fillId="0" borderId="0" xfId="10" applyFont="1" applyAlignment="1">
      <alignment horizontal="center" vertical="center" wrapText="1"/>
    </xf>
    <xf numFmtId="0" fontId="282"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76" fillId="0" borderId="1" xfId="10" applyFont="1" applyBorder="1" applyAlignment="1">
      <alignment horizontal="center" vertical="center" wrapText="1"/>
    </xf>
    <xf numFmtId="0" fontId="276" fillId="0" borderId="0" xfId="10" applyFont="1" applyAlignment="1">
      <alignment horizontal="left" vertical="center" wrapText="1"/>
    </xf>
    <xf numFmtId="179" fontId="276" fillId="0" borderId="0" xfId="10" applyNumberFormat="1" applyFont="1" applyFill="1" applyAlignment="1">
      <alignment vertical="center" wrapText="1"/>
    </xf>
    <xf numFmtId="0" fontId="276"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14" fontId="47" fillId="7" borderId="13"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9" fontId="54" fillId="0" borderId="0" xfId="17" applyFont="1" applyFill="1" applyAlignment="1" applyProtection="1">
      <alignment vertical="center"/>
      <protection locked="0"/>
    </xf>
    <xf numFmtId="0" fontId="80" fillId="0" borderId="0" xfId="0" applyFont="1" applyFill="1" applyAlignment="1" applyProtection="1">
      <alignment vertical="center"/>
      <protection locked="0"/>
    </xf>
    <xf numFmtId="181" fontId="159" fillId="12" borderId="1" xfId="12" applyNumberFormat="1" applyFill="1" applyBorder="1" applyAlignment="1" applyProtection="1">
      <alignment horizontal="left"/>
      <protection locked="0"/>
    </xf>
    <xf numFmtId="9" fontId="47" fillId="12" borderId="0" xfId="0" applyNumberFormat="1" applyFont="1" applyFill="1" applyAlignment="1" applyProtection="1">
      <alignment vertical="center"/>
      <protection locked="0"/>
    </xf>
    <xf numFmtId="0" fontId="19" fillId="0" borderId="1" xfId="20" applyFont="1" applyBorder="1" applyAlignment="1">
      <alignment horizontal="left" vertical="center" wrapText="1"/>
    </xf>
    <xf numFmtId="0" fontId="19" fillId="0" borderId="4" xfId="20" applyFont="1" applyBorder="1" applyAlignment="1">
      <alignment horizontal="left" vertical="center" wrapText="1"/>
    </xf>
    <xf numFmtId="0" fontId="19" fillId="0" borderId="7" xfId="20" applyFont="1" applyBorder="1" applyAlignment="1">
      <alignment horizontal="left" vertical="center" wrapText="1"/>
    </xf>
    <xf numFmtId="0" fontId="19" fillId="0" borderId="0" xfId="20" applyFont="1" applyAlignment="1">
      <alignment horizontal="left" vertical="center" wrapText="1"/>
    </xf>
    <xf numFmtId="0" fontId="19" fillId="0" borderId="1" xfId="20" applyFont="1" applyBorder="1" applyAlignment="1">
      <alignment horizontal="center" vertical="center"/>
    </xf>
    <xf numFmtId="49" fontId="284" fillId="7" borderId="176" xfId="20" applyNumberFormat="1" applyFont="1" applyFill="1" applyBorder="1" applyAlignment="1">
      <alignment vertical="center"/>
    </xf>
    <xf numFmtId="49" fontId="284" fillId="0" borderId="176" xfId="20" applyNumberFormat="1" applyFont="1" applyFill="1" applyBorder="1" applyAlignment="1">
      <alignment vertical="center"/>
    </xf>
    <xf numFmtId="196" fontId="284" fillId="3" borderId="176" xfId="20" applyNumberFormat="1" applyFont="1" applyFill="1" applyBorder="1" applyAlignment="1">
      <alignment horizontal="right" vertical="center"/>
    </xf>
    <xf numFmtId="197" fontId="284" fillId="3" borderId="176" xfId="53" applyFont="1" applyFill="1" applyBorder="1" applyAlignment="1">
      <alignment horizontal="right" vertical="center"/>
    </xf>
    <xf numFmtId="49" fontId="284" fillId="3" borderId="176" xfId="20" applyNumberFormat="1" applyFont="1" applyFill="1" applyBorder="1" applyAlignment="1">
      <alignment horizontal="right" vertical="center"/>
    </xf>
    <xf numFmtId="0" fontId="19" fillId="0" borderId="1" xfId="20" applyFont="1" applyBorder="1" applyAlignment="1">
      <alignment horizontal="left" vertical="center"/>
    </xf>
    <xf numFmtId="197" fontId="19" fillId="0" borderId="1" xfId="53" applyFont="1" applyBorder="1" applyAlignment="1">
      <alignment horizontal="left" vertical="center"/>
    </xf>
    <xf numFmtId="43" fontId="19" fillId="0" borderId="1" xfId="20" applyNumberFormat="1" applyFont="1" applyBorder="1" applyAlignment="1">
      <alignment horizontal="left" vertical="center"/>
    </xf>
    <xf numFmtId="0" fontId="19" fillId="0" borderId="0" xfId="20" applyFont="1" applyAlignment="1">
      <alignment horizontal="left" vertical="center"/>
    </xf>
    <xf numFmtId="49" fontId="284" fillId="3" borderId="176" xfId="20" applyNumberFormat="1" applyFont="1" applyFill="1" applyBorder="1" applyAlignment="1">
      <alignment vertical="center"/>
    </xf>
    <xf numFmtId="14" fontId="19" fillId="0" borderId="1" xfId="20" applyNumberFormat="1" applyFont="1" applyBorder="1" applyAlignment="1">
      <alignment horizontal="right" vertical="center"/>
    </xf>
    <xf numFmtId="197" fontId="284" fillId="3" borderId="0" xfId="53" applyFont="1" applyFill="1" applyBorder="1" applyAlignment="1">
      <alignment vertical="center"/>
    </xf>
    <xf numFmtId="197" fontId="284" fillId="3" borderId="177" xfId="53" applyFont="1" applyFill="1" applyBorder="1" applyAlignment="1">
      <alignment horizontal="right" vertical="center"/>
    </xf>
    <xf numFmtId="197" fontId="284" fillId="3" borderId="1" xfId="53" applyFont="1" applyFill="1" applyBorder="1" applyAlignment="1">
      <alignment vertical="center"/>
    </xf>
    <xf numFmtId="14" fontId="284" fillId="3" borderId="176" xfId="20" applyNumberFormat="1" applyFont="1" applyFill="1" applyBorder="1" applyAlignment="1">
      <alignment horizontal="right" vertical="center"/>
    </xf>
    <xf numFmtId="0" fontId="36" fillId="0" borderId="1" xfId="20" applyFont="1" applyBorder="1" applyAlignment="1">
      <alignment vertical="center" wrapText="1"/>
    </xf>
    <xf numFmtId="0" fontId="36" fillId="7" borderId="1" xfId="20" applyFont="1" applyFill="1" applyBorder="1" applyAlignment="1">
      <alignment vertical="center" wrapText="1"/>
    </xf>
    <xf numFmtId="0" fontId="19" fillId="0" borderId="0" xfId="20" applyFont="1" applyBorder="1" applyAlignment="1">
      <alignment horizontal="left" vertical="center"/>
    </xf>
    <xf numFmtId="197" fontId="19" fillId="0" borderId="0" xfId="53" applyFont="1" applyBorder="1" applyAlignment="1">
      <alignment horizontal="left" vertical="center"/>
    </xf>
    <xf numFmtId="0" fontId="19" fillId="5" borderId="1" xfId="20" applyFont="1" applyFill="1" applyBorder="1" applyAlignment="1">
      <alignment horizontal="center" vertical="center"/>
    </xf>
    <xf numFmtId="49" fontId="284" fillId="5" borderId="176" xfId="20" applyNumberFormat="1" applyFont="1" applyFill="1" applyBorder="1" applyAlignment="1">
      <alignment vertical="center"/>
    </xf>
    <xf numFmtId="196" fontId="284" fillId="5" borderId="176" xfId="20" applyNumberFormat="1" applyFont="1" applyFill="1" applyBorder="1" applyAlignment="1">
      <alignment horizontal="right" vertical="center"/>
    </xf>
    <xf numFmtId="14" fontId="284" fillId="5" borderId="176" xfId="20" applyNumberFormat="1" applyFont="1" applyFill="1" applyBorder="1" applyAlignment="1">
      <alignment horizontal="right" vertical="center"/>
    </xf>
    <xf numFmtId="0" fontId="19" fillId="5" borderId="1" xfId="20" applyFont="1" applyFill="1" applyBorder="1" applyAlignment="1">
      <alignment horizontal="left" vertical="center"/>
    </xf>
    <xf numFmtId="197" fontId="284" fillId="5" borderId="176" xfId="53" applyFont="1" applyFill="1" applyBorder="1" applyAlignment="1">
      <alignment horizontal="right" vertical="center"/>
    </xf>
    <xf numFmtId="197" fontId="19" fillId="5" borderId="1" xfId="53" applyFont="1" applyFill="1" applyBorder="1" applyAlignment="1">
      <alignment horizontal="left" vertical="center"/>
    </xf>
    <xf numFmtId="0" fontId="19" fillId="5" borderId="0" xfId="20" applyFont="1" applyFill="1" applyAlignment="1">
      <alignment horizontal="left" vertical="center"/>
    </xf>
    <xf numFmtId="49" fontId="284" fillId="5" borderId="176" xfId="20" applyNumberFormat="1" applyFont="1" applyFill="1" applyBorder="1" applyAlignment="1">
      <alignment horizontal="right" vertical="center"/>
    </xf>
    <xf numFmtId="0" fontId="107" fillId="6" borderId="67" xfId="0" applyFont="1" applyFill="1" applyBorder="1" applyAlignment="1" applyProtection="1">
      <alignment horizontal="left" vertical="center"/>
      <protection locked="0"/>
    </xf>
    <xf numFmtId="0" fontId="107" fillId="25" borderId="28" xfId="0" applyFont="1" applyFill="1" applyBorder="1" applyAlignment="1" applyProtection="1">
      <alignment horizontal="left" vertical="center"/>
      <protection locked="0"/>
    </xf>
    <xf numFmtId="0" fontId="107" fillId="25" borderId="4" xfId="0" applyFont="1" applyFill="1" applyBorder="1" applyAlignment="1" applyProtection="1">
      <alignment horizontal="left" vertical="center"/>
      <protection locked="0"/>
    </xf>
    <xf numFmtId="0" fontId="107" fillId="25" borderId="5" xfId="0" applyFont="1" applyFill="1" applyBorder="1" applyAlignment="1" applyProtection="1">
      <alignment horizontal="left" vertical="center"/>
      <protection locked="0"/>
    </xf>
    <xf numFmtId="0" fontId="107" fillId="26" borderId="75" xfId="0" applyFont="1" applyFill="1" applyBorder="1" applyAlignment="1" applyProtection="1">
      <alignment horizontal="left" vertical="center"/>
      <protection locked="0"/>
    </xf>
    <xf numFmtId="0" fontId="107" fillId="26" borderId="34" xfId="0" applyFont="1" applyFill="1" applyBorder="1" applyAlignment="1" applyProtection="1">
      <alignment horizontal="left" vertical="center"/>
      <protection locked="0"/>
    </xf>
    <xf numFmtId="0" fontId="107" fillId="27" borderId="28" xfId="0" applyFont="1" applyFill="1" applyBorder="1" applyAlignment="1" applyProtection="1">
      <alignment horizontal="left" vertical="center"/>
      <protection locked="0"/>
    </xf>
    <xf numFmtId="0" fontId="107" fillId="26" borderId="4" xfId="0" applyFont="1" applyFill="1" applyBorder="1" applyAlignment="1" applyProtection="1">
      <alignment horizontal="left" vertical="center"/>
      <protection locked="0"/>
    </xf>
    <xf numFmtId="0" fontId="107" fillId="26" borderId="5" xfId="0" applyFont="1" applyFill="1" applyBorder="1" applyAlignment="1" applyProtection="1">
      <alignment horizontal="left" vertical="center"/>
      <protection locked="0"/>
    </xf>
    <xf numFmtId="0" fontId="107" fillId="27" borderId="4" xfId="0" applyFont="1" applyFill="1" applyBorder="1" applyAlignment="1" applyProtection="1">
      <alignment horizontal="left" vertical="center"/>
      <protection locked="0"/>
    </xf>
    <xf numFmtId="49" fontId="107" fillId="27" borderId="4" xfId="0" applyNumberFormat="1" applyFont="1" applyFill="1" applyBorder="1" applyAlignment="1" applyProtection="1">
      <alignment horizontal="left" vertical="center"/>
      <protection locked="0"/>
    </xf>
    <xf numFmtId="14" fontId="107" fillId="27" borderId="4" xfId="0" applyNumberFormat="1" applyFont="1" applyFill="1" applyBorder="1" applyAlignment="1" applyProtection="1">
      <alignment horizontal="left" vertical="center"/>
      <protection locked="0"/>
    </xf>
    <xf numFmtId="0" fontId="107" fillId="28" borderId="4" xfId="0" applyFont="1" applyFill="1" applyBorder="1" applyAlignment="1" applyProtection="1">
      <alignment horizontal="left" vertical="center"/>
      <protection locked="0"/>
    </xf>
    <xf numFmtId="0" fontId="107" fillId="28" borderId="5" xfId="0" applyFont="1" applyFill="1" applyBorder="1" applyAlignment="1" applyProtection="1">
      <alignment horizontal="left" vertical="center"/>
      <protection locked="0"/>
    </xf>
    <xf numFmtId="181" fontId="107" fillId="29" borderId="4" xfId="17" applyNumberFormat="1" applyFont="1" applyFill="1" applyBorder="1" applyAlignment="1" applyProtection="1">
      <alignment horizontal="left" vertical="center"/>
      <protection locked="0"/>
    </xf>
    <xf numFmtId="0" fontId="285" fillId="26" borderId="4" xfId="0" applyFont="1" applyFill="1" applyBorder="1" applyAlignment="1" applyProtection="1">
      <alignment horizontal="left" vertical="center"/>
      <protection locked="0"/>
    </xf>
    <xf numFmtId="2" fontId="107" fillId="29" borderId="4" xfId="0" applyNumberFormat="1" applyFont="1" applyFill="1" applyBorder="1" applyAlignment="1" applyProtection="1">
      <alignment horizontal="left" vertical="center"/>
      <protection locked="0"/>
    </xf>
    <xf numFmtId="9" fontId="107" fillId="26" borderId="4" xfId="0" applyNumberFormat="1" applyFont="1" applyFill="1" applyBorder="1" applyAlignment="1" applyProtection="1">
      <alignment horizontal="left" vertical="center"/>
      <protection locked="0"/>
    </xf>
    <xf numFmtId="14" fontId="107" fillId="28" borderId="4" xfId="0" applyNumberFormat="1" applyFont="1" applyFill="1" applyBorder="1" applyAlignment="1" applyProtection="1">
      <alignment horizontal="left" vertical="center"/>
      <protection locked="0"/>
    </xf>
    <xf numFmtId="10" fontId="107" fillId="28" borderId="4" xfId="0" applyNumberFormat="1" applyFont="1" applyFill="1" applyBorder="1" applyAlignment="1" applyProtection="1">
      <alignment horizontal="left" vertical="center"/>
      <protection locked="0"/>
    </xf>
    <xf numFmtId="0" fontId="107" fillId="0" borderId="28" xfId="0" applyFont="1" applyFill="1" applyBorder="1" applyAlignment="1" applyProtection="1">
      <alignment horizontal="left" vertical="center"/>
      <protection locked="0"/>
    </xf>
    <xf numFmtId="9" fontId="107" fillId="26" borderId="5" xfId="0" applyNumberFormat="1" applyFont="1" applyFill="1" applyBorder="1" applyAlignment="1" applyProtection="1">
      <alignment horizontal="left" vertical="center"/>
      <protection locked="0"/>
    </xf>
    <xf numFmtId="0" fontId="107" fillId="0" borderId="5" xfId="0" applyFont="1" applyFill="1" applyBorder="1" applyAlignment="1" applyProtection="1">
      <alignment horizontal="left" vertical="center"/>
      <protection locked="0"/>
    </xf>
    <xf numFmtId="0" fontId="107" fillId="0" borderId="4" xfId="0" applyFont="1" applyBorder="1" applyAlignment="1" applyProtection="1">
      <alignment horizontal="left" vertical="center"/>
      <protection locked="0"/>
    </xf>
    <xf numFmtId="0" fontId="107" fillId="0" borderId="4" xfId="0" applyFont="1" applyFill="1" applyBorder="1" applyAlignment="1" applyProtection="1">
      <alignment horizontal="left" vertical="center"/>
      <protection locked="0"/>
    </xf>
    <xf numFmtId="14" fontId="107" fillId="0" borderId="4" xfId="0" applyNumberFormat="1" applyFont="1" applyFill="1" applyBorder="1" applyAlignment="1" applyProtection="1">
      <alignment horizontal="left" vertical="center"/>
      <protection locked="0"/>
    </xf>
    <xf numFmtId="0" fontId="107" fillId="0" borderId="178" xfId="0" applyFont="1" applyBorder="1" applyAlignment="1" applyProtection="1">
      <alignment horizontal="left" vertical="center"/>
      <protection locked="0"/>
    </xf>
    <xf numFmtId="14" fontId="107" fillId="0" borderId="178" xfId="0" applyNumberFormat="1" applyFont="1" applyBorder="1" applyAlignment="1" applyProtection="1">
      <alignment horizontal="left" vertical="center"/>
      <protection locked="0"/>
    </xf>
    <xf numFmtId="0" fontId="107" fillId="0" borderId="0" xfId="0" applyFont="1" applyAlignment="1" applyProtection="1">
      <alignment horizontal="left" vertical="center"/>
      <protection locked="0"/>
    </xf>
    <xf numFmtId="0" fontId="289" fillId="28" borderId="17" xfId="0" applyFont="1" applyFill="1" applyBorder="1" applyAlignment="1" applyProtection="1">
      <alignment vertical="center" wrapText="1"/>
    </xf>
    <xf numFmtId="0" fontId="289" fillId="0" borderId="0" xfId="0" applyFont="1" applyAlignment="1" applyProtection="1">
      <alignment horizontal="left" vertical="center" wrapText="1"/>
    </xf>
    <xf numFmtId="0" fontId="288" fillId="25" borderId="13" xfId="0" applyFont="1" applyFill="1" applyBorder="1" applyAlignment="1" applyProtection="1">
      <alignment horizontal="left" vertical="center" wrapText="1"/>
    </xf>
    <xf numFmtId="0" fontId="287" fillId="25" borderId="13" xfId="0" applyFont="1" applyFill="1" applyBorder="1" applyAlignment="1" applyProtection="1">
      <alignment horizontal="left" vertical="center" wrapText="1"/>
    </xf>
    <xf numFmtId="0" fontId="287" fillId="27" borderId="11" xfId="0" applyFont="1" applyFill="1" applyBorder="1" applyAlignment="1" applyProtection="1">
      <alignment horizontal="left" vertical="center" wrapText="1"/>
    </xf>
    <xf numFmtId="0" fontId="287" fillId="27" borderId="13" xfId="0" applyFont="1" applyFill="1" applyBorder="1" applyAlignment="1" applyProtection="1">
      <alignment horizontal="left" vertical="center" wrapText="1"/>
    </xf>
    <xf numFmtId="0" fontId="289" fillId="27" borderId="13" xfId="0" applyFont="1" applyFill="1" applyBorder="1" applyAlignment="1" applyProtection="1">
      <alignment horizontal="left" vertical="center" wrapText="1"/>
    </xf>
    <xf numFmtId="0" fontId="289" fillId="28" borderId="11" xfId="0" applyFont="1" applyFill="1" applyBorder="1" applyAlignment="1" applyProtection="1">
      <alignment horizontal="left" vertical="center" wrapText="1"/>
    </xf>
    <xf numFmtId="0" fontId="289" fillId="28" borderId="13" xfId="0" applyFont="1" applyFill="1" applyBorder="1" applyAlignment="1" applyProtection="1">
      <alignment horizontal="left" vertical="center" wrapText="1"/>
    </xf>
    <xf numFmtId="0" fontId="287" fillId="28" borderId="13" xfId="0" applyFont="1" applyFill="1" applyBorder="1" applyAlignment="1" applyProtection="1">
      <alignment horizontal="left" vertical="center" wrapText="1"/>
    </xf>
    <xf numFmtId="0" fontId="289" fillId="28" borderId="15" xfId="0" applyFont="1" applyFill="1" applyBorder="1" applyAlignment="1" applyProtection="1">
      <alignment vertical="center" wrapText="1"/>
    </xf>
    <xf numFmtId="0" fontId="287" fillId="28" borderId="15" xfId="0" applyFont="1" applyFill="1" applyBorder="1" applyAlignment="1" applyProtection="1">
      <alignment vertical="center" wrapText="1"/>
    </xf>
    <xf numFmtId="0" fontId="289" fillId="28" borderId="61" xfId="0" applyFont="1" applyFill="1" applyBorder="1" applyAlignment="1" applyProtection="1">
      <alignment horizontal="left" vertical="center" wrapText="1"/>
    </xf>
    <xf numFmtId="0" fontId="289" fillId="0" borderId="15" xfId="0" applyFont="1" applyFill="1" applyBorder="1" applyAlignment="1" applyProtection="1">
      <alignment vertical="center" wrapText="1"/>
    </xf>
    <xf numFmtId="0" fontId="289" fillId="0" borderId="13" xfId="0" applyFont="1" applyFill="1" applyBorder="1" applyAlignment="1" applyProtection="1">
      <alignment horizontal="left" vertical="center" wrapText="1"/>
    </xf>
    <xf numFmtId="0" fontId="289" fillId="0" borderId="61" xfId="0" applyFont="1" applyFill="1" applyBorder="1" applyAlignment="1" applyProtection="1">
      <alignment horizontal="left" vertical="center" wrapText="1"/>
    </xf>
    <xf numFmtId="0" fontId="107" fillId="27" borderId="4" xfId="0" applyNumberFormat="1" applyFont="1" applyFill="1" applyBorder="1" applyAlignment="1" applyProtection="1">
      <alignment horizontal="left" vertical="center"/>
      <protection locked="0"/>
    </xf>
    <xf numFmtId="14" fontId="107" fillId="27" borderId="75" xfId="0" applyNumberFormat="1" applyFont="1" applyFill="1" applyBorder="1" applyAlignment="1" applyProtection="1">
      <alignment horizontal="left" vertical="center"/>
      <protection locked="0"/>
    </xf>
    <xf numFmtId="9" fontId="107" fillId="28" borderId="5" xfId="0" applyNumberFormat="1" applyFont="1" applyFill="1" applyBorder="1" applyAlignment="1" applyProtection="1">
      <alignment horizontal="left" vertical="center"/>
      <protection locked="0"/>
    </xf>
    <xf numFmtId="0" fontId="107" fillId="28" borderId="75" xfId="0" applyFont="1" applyFill="1" applyBorder="1" applyAlignment="1" applyProtection="1">
      <alignment horizontal="left" vertical="center"/>
      <protection locked="0"/>
    </xf>
    <xf numFmtId="0" fontId="107" fillId="0" borderId="33" xfId="0" applyFont="1" applyFill="1" applyBorder="1" applyAlignment="1" applyProtection="1">
      <alignment horizontal="left" vertical="center"/>
      <protection locked="0"/>
    </xf>
    <xf numFmtId="14" fontId="107" fillId="0" borderId="75" xfId="0" applyNumberFormat="1" applyFont="1" applyBorder="1" applyAlignment="1" applyProtection="1">
      <alignment horizontal="left" vertical="center"/>
      <protection locked="0"/>
    </xf>
    <xf numFmtId="0" fontId="107" fillId="27" borderId="75" xfId="0" applyFont="1" applyFill="1" applyBorder="1" applyAlignment="1" applyProtection="1">
      <alignment horizontal="left" vertical="center"/>
      <protection locked="0"/>
    </xf>
    <xf numFmtId="0" fontId="0" fillId="0" borderId="0" xfId="0" applyAlignment="1" applyProtection="1">
      <alignment horizontal="left" vertical="center"/>
      <protection locked="0"/>
    </xf>
    <xf numFmtId="0" fontId="107" fillId="6" borderId="67" xfId="0" quotePrefix="1" applyFont="1" applyFill="1" applyBorder="1" applyAlignment="1" applyProtection="1">
      <alignment horizontal="lef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58" fontId="107" fillId="27" borderId="4" xfId="0" applyNumberFormat="1" applyFont="1" applyFill="1" applyBorder="1" applyAlignment="1" applyProtection="1">
      <alignment horizontal="left" vertical="center"/>
      <protection locked="0"/>
    </xf>
    <xf numFmtId="0" fontId="291" fillId="26" borderId="179" xfId="0" applyFont="1" applyFill="1" applyBorder="1" applyAlignment="1" applyProtection="1">
      <alignment horizontal="left"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2" fontId="95" fillId="0" borderId="0" xfId="10" applyNumberFormat="1" applyFont="1" applyAlignment="1">
      <alignment vertical="center" wrapText="1" shrinkToFit="1"/>
    </xf>
    <xf numFmtId="198" fontId="95" fillId="0" borderId="0" xfId="10" applyNumberFormat="1" applyFont="1" applyAlignment="1">
      <alignment vertical="center" wrapText="1" shrinkToFit="1"/>
    </xf>
    <xf numFmtId="1" fontId="95" fillId="0" borderId="0" xfId="10" applyNumberFormat="1" applyFont="1" applyAlignment="1">
      <alignment vertical="center" wrapText="1" shrinkToFit="1"/>
    </xf>
    <xf numFmtId="2" fontId="95" fillId="0" borderId="0" xfId="10" applyNumberFormat="1" applyFont="1" applyAlignment="1">
      <alignment vertical="center"/>
    </xf>
    <xf numFmtId="181" fontId="95" fillId="0" borderId="0" xfId="10" applyNumberFormat="1" applyFont="1" applyAlignment="1">
      <alignment vertical="center" wrapText="1" shrinkToFit="1"/>
    </xf>
    <xf numFmtId="181" fontId="292" fillId="0" borderId="0" xfId="10" applyNumberFormat="1" applyFont="1" applyAlignment="1">
      <alignment vertical="center" wrapText="1" shrinkToFit="1"/>
    </xf>
    <xf numFmtId="0" fontId="147" fillId="7" borderId="0" xfId="54" applyFont="1" applyFill="1">
      <alignment vertical="center"/>
    </xf>
    <xf numFmtId="0" fontId="107" fillId="7" borderId="184" xfId="54" applyFont="1" applyFill="1" applyBorder="1" applyAlignment="1">
      <alignment horizontal="center" vertical="center"/>
    </xf>
    <xf numFmtId="199" fontId="107" fillId="7" borderId="184" xfId="54" applyNumberFormat="1" applyFont="1" applyFill="1" applyBorder="1" applyAlignment="1">
      <alignment horizontal="center" vertical="center"/>
    </xf>
    <xf numFmtId="14" fontId="107" fillId="7" borderId="184" xfId="54" applyNumberFormat="1" applyFont="1" applyFill="1" applyBorder="1" applyAlignment="1">
      <alignment horizontal="center" vertical="center"/>
    </xf>
    <xf numFmtId="0" fontId="107" fillId="7" borderId="184" xfId="54" applyFont="1" applyFill="1" applyBorder="1" applyAlignment="1">
      <alignment horizontal="left" vertical="center" wrapText="1"/>
    </xf>
    <xf numFmtId="0" fontId="147" fillId="7" borderId="184" xfId="54" applyFont="1" applyFill="1" applyBorder="1">
      <alignment vertical="center"/>
    </xf>
    <xf numFmtId="0" fontId="107" fillId="7" borderId="184" xfId="54" applyFont="1" applyFill="1" applyBorder="1" applyAlignment="1">
      <alignment vertical="center" wrapText="1"/>
    </xf>
    <xf numFmtId="177" fontId="107" fillId="7" borderId="184" xfId="54" applyNumberFormat="1" applyFont="1" applyFill="1" applyBorder="1" applyAlignment="1">
      <alignment horizontal="right" vertical="center" wrapText="1"/>
    </xf>
    <xf numFmtId="43" fontId="107" fillId="7" borderId="184" xfId="54" applyNumberFormat="1" applyFont="1" applyFill="1" applyBorder="1" applyAlignment="1">
      <alignment horizontal="left" vertical="center"/>
    </xf>
    <xf numFmtId="43" fontId="107" fillId="7" borderId="184" xfId="54" applyNumberFormat="1" applyFont="1" applyFill="1" applyBorder="1" applyAlignment="1">
      <alignment horizontal="left" vertical="center" wrapText="1"/>
    </xf>
    <xf numFmtId="199" fontId="107" fillId="7" borderId="184" xfId="54" applyNumberFormat="1" applyFont="1" applyFill="1" applyBorder="1" applyAlignment="1">
      <alignment horizontal="center" vertical="center" wrapText="1"/>
    </xf>
    <xf numFmtId="199" fontId="107" fillId="7" borderId="184" xfId="54" applyNumberFormat="1" applyFont="1" applyFill="1" applyBorder="1" applyAlignment="1">
      <alignment horizontal="right" vertical="center"/>
    </xf>
    <xf numFmtId="0" fontId="107" fillId="7" borderId="184" xfId="54" applyFont="1" applyFill="1" applyBorder="1" applyAlignment="1">
      <alignment horizontal="center" vertical="center" wrapText="1"/>
    </xf>
    <xf numFmtId="43" fontId="107" fillId="7" borderId="184" xfId="54" applyNumberFormat="1" applyFont="1" applyFill="1" applyBorder="1" applyAlignment="1">
      <alignment horizontal="center" vertical="center"/>
    </xf>
    <xf numFmtId="14" fontId="107" fillId="7" borderId="184" xfId="54" applyNumberFormat="1" applyFont="1" applyFill="1" applyBorder="1" applyAlignment="1">
      <alignment horizontal="left" vertical="center" wrapText="1"/>
    </xf>
    <xf numFmtId="9" fontId="107" fillId="7" borderId="184" xfId="54" applyNumberFormat="1" applyFont="1" applyFill="1" applyBorder="1" applyAlignment="1">
      <alignment horizontal="center" vertical="center"/>
    </xf>
    <xf numFmtId="0" fontId="107" fillId="7" borderId="184" xfId="55" applyFont="1" applyFill="1" applyBorder="1" applyAlignment="1" applyProtection="1">
      <alignment horizontal="center" vertical="center" wrapText="1"/>
    </xf>
    <xf numFmtId="199" fontId="107" fillId="7" borderId="184" xfId="54" applyNumberFormat="1" applyFont="1" applyFill="1" applyBorder="1" applyAlignment="1">
      <alignment horizontal="right" vertical="center" wrapText="1"/>
    </xf>
    <xf numFmtId="0" fontId="107" fillId="5" borderId="184" xfId="54" applyFont="1" applyFill="1" applyBorder="1" applyAlignment="1">
      <alignment horizontal="center" vertical="center"/>
    </xf>
    <xf numFmtId="0" fontId="107" fillId="5" borderId="184" xfId="55" applyFont="1" applyFill="1" applyBorder="1" applyAlignment="1" applyProtection="1">
      <alignment horizontal="left" vertical="center" wrapText="1"/>
    </xf>
    <xf numFmtId="0" fontId="107" fillId="5" borderId="184" xfId="55" applyFont="1" applyFill="1" applyBorder="1" applyAlignment="1" applyProtection="1">
      <alignment vertical="center" wrapText="1"/>
    </xf>
    <xf numFmtId="177" fontId="107" fillId="5" borderId="184" xfId="55" applyNumberFormat="1" applyFont="1" applyFill="1" applyBorder="1" applyAlignment="1" applyProtection="1">
      <alignment horizontal="right" vertical="center" wrapText="1"/>
    </xf>
    <xf numFmtId="43" fontId="107" fillId="5" borderId="184" xfId="54" applyNumberFormat="1" applyFont="1" applyFill="1" applyBorder="1" applyAlignment="1">
      <alignment horizontal="left" vertical="center"/>
    </xf>
    <xf numFmtId="43" fontId="107" fillId="5" borderId="184" xfId="54" applyNumberFormat="1" applyFont="1" applyFill="1" applyBorder="1" applyAlignment="1">
      <alignment horizontal="left" vertical="center" wrapText="1"/>
    </xf>
    <xf numFmtId="199" fontId="107" fillId="5" borderId="184" xfId="55" applyNumberFormat="1" applyFont="1" applyFill="1" applyBorder="1" applyAlignment="1" applyProtection="1">
      <alignment horizontal="center" vertical="center" wrapText="1"/>
    </xf>
    <xf numFmtId="199" fontId="107" fillId="5" borderId="184" xfId="55" applyNumberFormat="1" applyFont="1" applyFill="1" applyBorder="1" applyAlignment="1" applyProtection="1">
      <alignment horizontal="right" vertical="center" wrapText="1"/>
    </xf>
    <xf numFmtId="0" fontId="294" fillId="5" borderId="184" xfId="54" applyFont="1" applyFill="1" applyBorder="1" applyAlignment="1">
      <alignment horizontal="center" vertical="center" wrapText="1"/>
    </xf>
    <xf numFmtId="43" fontId="107" fillId="5" borderId="184" xfId="54" applyNumberFormat="1" applyFont="1" applyFill="1" applyBorder="1" applyAlignment="1">
      <alignment horizontal="center" vertical="center"/>
    </xf>
    <xf numFmtId="199" fontId="107" fillId="5" borderId="184" xfId="54" applyNumberFormat="1" applyFont="1" applyFill="1" applyBorder="1" applyAlignment="1">
      <alignment horizontal="center" vertical="center"/>
    </xf>
    <xf numFmtId="14" fontId="107" fillId="5" borderId="184" xfId="54" applyNumberFormat="1" applyFont="1" applyFill="1" applyBorder="1" applyAlignment="1">
      <alignment horizontal="left" vertical="center" wrapText="1"/>
    </xf>
    <xf numFmtId="9" fontId="107" fillId="5" borderId="184" xfId="54" applyNumberFormat="1" applyFont="1" applyFill="1" applyBorder="1" applyAlignment="1">
      <alignment horizontal="center" vertical="center"/>
    </xf>
    <xf numFmtId="0" fontId="107" fillId="5" borderId="184" xfId="55" applyFont="1" applyFill="1" applyBorder="1" applyAlignment="1" applyProtection="1">
      <alignment horizontal="center" vertical="center" wrapText="1"/>
    </xf>
    <xf numFmtId="0" fontId="147" fillId="5" borderId="184" xfId="54" applyFont="1" applyFill="1" applyBorder="1">
      <alignment vertical="center"/>
    </xf>
    <xf numFmtId="0" fontId="147" fillId="5" borderId="0" xfId="54" applyFont="1" applyFill="1">
      <alignment vertical="center"/>
    </xf>
    <xf numFmtId="14" fontId="107" fillId="7" borderId="184" xfId="54" applyNumberFormat="1" applyFont="1" applyFill="1" applyBorder="1" applyAlignment="1">
      <alignment vertical="center" wrapText="1"/>
    </xf>
    <xf numFmtId="199" fontId="107" fillId="7" borderId="184" xfId="55" applyNumberFormat="1" applyFont="1" applyFill="1" applyBorder="1" applyAlignment="1" applyProtection="1">
      <alignment horizontal="right" vertical="center" wrapText="1"/>
    </xf>
    <xf numFmtId="0" fontId="294" fillId="7" borderId="184" xfId="54" applyFont="1" applyFill="1" applyBorder="1" applyAlignment="1">
      <alignment horizontal="center" vertical="center" wrapText="1"/>
    </xf>
    <xf numFmtId="14" fontId="107" fillId="7" borderId="184" xfId="54" applyNumberFormat="1" applyFont="1" applyFill="1" applyBorder="1" applyAlignment="1">
      <alignment horizontal="center" vertical="center" wrapText="1"/>
    </xf>
    <xf numFmtId="0" fontId="107" fillId="5" borderId="184" xfId="54" applyFont="1" applyFill="1" applyBorder="1" applyAlignment="1">
      <alignment horizontal="left" vertical="center" wrapText="1"/>
    </xf>
    <xf numFmtId="14" fontId="107" fillId="5" borderId="184" xfId="54" applyNumberFormat="1" applyFont="1" applyFill="1" applyBorder="1" applyAlignment="1">
      <alignment vertical="center" wrapText="1"/>
    </xf>
    <xf numFmtId="177" fontId="107" fillId="5" borderId="184" xfId="54" applyNumberFormat="1" applyFont="1" applyFill="1" applyBorder="1" applyAlignment="1">
      <alignment horizontal="right" vertical="center" wrapText="1"/>
    </xf>
    <xf numFmtId="14" fontId="107" fillId="5" borderId="184" xfId="54" applyNumberFormat="1" applyFont="1" applyFill="1" applyBorder="1" applyAlignment="1">
      <alignment horizontal="center" vertical="center" wrapText="1"/>
    </xf>
    <xf numFmtId="199" fontId="107" fillId="7" borderId="184" xfId="55" applyNumberFormat="1" applyFont="1" applyFill="1" applyBorder="1" applyAlignment="1" applyProtection="1">
      <alignment horizontal="center" vertical="center" wrapText="1"/>
    </xf>
    <xf numFmtId="0" fontId="107" fillId="7" borderId="184" xfId="54" applyFont="1" applyFill="1" applyBorder="1">
      <alignment vertical="center"/>
    </xf>
    <xf numFmtId="43" fontId="107" fillId="7" borderId="184" xfId="54" applyNumberFormat="1" applyFont="1" applyFill="1" applyBorder="1" applyAlignment="1">
      <alignment horizontal="right" vertical="center"/>
    </xf>
    <xf numFmtId="43" fontId="107" fillId="7" borderId="180" xfId="54" applyNumberFormat="1" applyFont="1" applyFill="1" applyBorder="1" applyAlignment="1">
      <alignment horizontal="left" vertical="center"/>
    </xf>
    <xf numFmtId="43" fontId="107" fillId="7" borderId="184" xfId="54" applyNumberFormat="1" applyFont="1" applyFill="1" applyBorder="1">
      <alignment vertical="center"/>
    </xf>
    <xf numFmtId="177" fontId="107" fillId="7" borderId="184" xfId="54" applyNumberFormat="1" applyFont="1" applyFill="1" applyBorder="1" applyAlignment="1">
      <alignment horizontal="center" vertical="center"/>
    </xf>
    <xf numFmtId="41" fontId="107" fillId="7" borderId="184" xfId="54" applyNumberFormat="1" applyFont="1" applyFill="1" applyBorder="1" applyAlignment="1">
      <alignment horizontal="center" vertical="center"/>
    </xf>
    <xf numFmtId="0" fontId="107" fillId="7" borderId="0" xfId="54" applyFont="1" applyFill="1">
      <alignment vertical="center"/>
    </xf>
    <xf numFmtId="0" fontId="95" fillId="7" borderId="184" xfId="54" applyFont="1" applyFill="1" applyBorder="1" applyAlignment="1">
      <alignment vertical="center" wrapText="1"/>
    </xf>
    <xf numFmtId="43" fontId="147" fillId="7" borderId="184" xfId="54" applyNumberFormat="1" applyFont="1" applyFill="1" applyBorder="1" applyAlignment="1">
      <alignment horizontal="left" vertical="center"/>
    </xf>
    <xf numFmtId="9" fontId="107" fillId="7" borderId="184" xfId="56" applyFont="1" applyFill="1" applyBorder="1" applyAlignment="1">
      <alignment horizontal="center" vertical="center"/>
    </xf>
    <xf numFmtId="0" fontId="95" fillId="7" borderId="2" xfId="54" applyFont="1" applyFill="1" applyBorder="1" applyAlignment="1">
      <alignment horizontal="left" vertical="center" wrapText="1"/>
    </xf>
    <xf numFmtId="43" fontId="147" fillId="7" borderId="184" xfId="54" applyNumberFormat="1" applyFont="1" applyFill="1" applyBorder="1" applyAlignment="1">
      <alignment vertical="center"/>
    </xf>
    <xf numFmtId="199" fontId="147" fillId="7" borderId="184" xfId="54" applyNumberFormat="1" applyFont="1" applyFill="1" applyBorder="1" applyAlignment="1">
      <alignment vertical="center"/>
    </xf>
    <xf numFmtId="199" fontId="147" fillId="7" borderId="184" xfId="54" applyNumberFormat="1" applyFont="1" applyFill="1" applyBorder="1" applyAlignment="1">
      <alignment vertical="center" wrapText="1"/>
    </xf>
    <xf numFmtId="0" fontId="95" fillId="7" borderId="184" xfId="54" applyFont="1" applyFill="1" applyBorder="1" applyAlignment="1">
      <alignment horizontal="center" vertical="center" wrapText="1"/>
    </xf>
    <xf numFmtId="0" fontId="95" fillId="7" borderId="184" xfId="54" applyFont="1" applyFill="1" applyBorder="1" applyAlignment="1">
      <alignment horizontal="left" vertical="center" wrapText="1"/>
    </xf>
    <xf numFmtId="199" fontId="95" fillId="7" borderId="184" xfId="54" applyNumberFormat="1" applyFont="1" applyFill="1" applyBorder="1" applyAlignment="1">
      <alignment vertical="center" wrapText="1"/>
    </xf>
    <xf numFmtId="43" fontId="147" fillId="7" borderId="2" xfId="54" applyNumberFormat="1" applyFill="1" applyBorder="1" applyAlignment="1">
      <alignment horizontal="center" vertical="center" wrapText="1"/>
    </xf>
    <xf numFmtId="0" fontId="147" fillId="7" borderId="184" xfId="54" applyFont="1" applyFill="1" applyBorder="1" applyAlignment="1">
      <alignment vertical="center" wrapText="1"/>
    </xf>
    <xf numFmtId="41" fontId="95" fillId="7" borderId="184" xfId="54" applyNumberFormat="1" applyFont="1" applyFill="1" applyBorder="1" applyAlignment="1">
      <alignment vertical="center"/>
    </xf>
    <xf numFmtId="9" fontId="107" fillId="7" borderId="184" xfId="56" applyNumberFormat="1" applyFont="1" applyFill="1" applyBorder="1" applyAlignment="1">
      <alignment horizontal="center" vertical="center"/>
    </xf>
    <xf numFmtId="49" fontId="107" fillId="7" borderId="184" xfId="54" applyNumberFormat="1" applyFont="1" applyFill="1" applyBorder="1" applyAlignment="1">
      <alignment horizontal="left" vertical="center" wrapText="1"/>
    </xf>
    <xf numFmtId="0" fontId="147" fillId="7" borderId="184" xfId="54" applyNumberFormat="1" applyFont="1" applyFill="1" applyBorder="1" applyAlignment="1">
      <alignment vertical="center" wrapText="1"/>
    </xf>
    <xf numFmtId="0" fontId="107" fillId="7" borderId="184" xfId="54" applyNumberFormat="1" applyFont="1" applyFill="1" applyBorder="1" applyAlignment="1">
      <alignment horizontal="left" vertical="center" wrapText="1"/>
    </xf>
    <xf numFmtId="199" fontId="107" fillId="7" borderId="184" xfId="54" applyNumberFormat="1" applyFont="1" applyFill="1" applyBorder="1" applyAlignment="1">
      <alignment horizontal="left" vertical="center"/>
    </xf>
    <xf numFmtId="185" fontId="107" fillId="7" borderId="184" xfId="54" applyNumberFormat="1" applyFont="1" applyFill="1" applyBorder="1" applyAlignment="1">
      <alignment horizontal="center" vertical="center"/>
    </xf>
    <xf numFmtId="49" fontId="107" fillId="7" borderId="184" xfId="54" applyNumberFormat="1" applyFont="1" applyFill="1" applyBorder="1" applyAlignment="1">
      <alignment horizontal="center" vertical="center" wrapText="1"/>
    </xf>
    <xf numFmtId="0" fontId="107" fillId="7" borderId="0" xfId="54" applyFont="1" applyFill="1" applyAlignment="1">
      <alignment horizontal="left" vertical="center"/>
    </xf>
    <xf numFmtId="43" fontId="295" fillId="7" borderId="184" xfId="54" applyNumberFormat="1" applyFont="1" applyFill="1" applyBorder="1" applyAlignment="1">
      <alignment horizontal="right" vertical="center"/>
    </xf>
    <xf numFmtId="0" fontId="107" fillId="7" borderId="184" xfId="54" applyFont="1" applyFill="1" applyBorder="1" applyAlignment="1">
      <alignment horizontal="left" vertical="center"/>
    </xf>
    <xf numFmtId="14" fontId="296" fillId="7" borderId="184" xfId="54" applyNumberFormat="1" applyFont="1" applyFill="1" applyBorder="1" applyAlignment="1">
      <alignment horizontal="left" vertical="center" wrapText="1"/>
    </xf>
    <xf numFmtId="43" fontId="296" fillId="7" borderId="184" xfId="54" applyNumberFormat="1" applyFont="1" applyFill="1" applyBorder="1" applyAlignment="1">
      <alignment horizontal="right" vertical="center"/>
    </xf>
    <xf numFmtId="0" fontId="296" fillId="7" borderId="184" xfId="54" applyFont="1" applyFill="1" applyBorder="1" applyAlignment="1">
      <alignment horizontal="left" vertical="center" wrapText="1"/>
    </xf>
    <xf numFmtId="14" fontId="147" fillId="7" borderId="184" xfId="54" applyNumberFormat="1" applyFont="1" applyFill="1" applyBorder="1" applyAlignment="1">
      <alignment vertical="center" wrapText="1"/>
    </xf>
    <xf numFmtId="0" fontId="147" fillId="7" borderId="184" xfId="54" applyNumberFormat="1" applyFont="1" applyFill="1" applyBorder="1" applyAlignment="1">
      <alignment horizontal="center" vertical="center" wrapText="1"/>
    </xf>
    <xf numFmtId="14" fontId="147" fillId="7" borderId="184" xfId="54" applyNumberFormat="1" applyFont="1" applyFill="1" applyBorder="1" applyAlignment="1">
      <alignment horizontal="center" vertical="center"/>
    </xf>
    <xf numFmtId="9" fontId="107" fillId="7" borderId="184" xfId="54" applyNumberFormat="1" applyFont="1" applyFill="1" applyBorder="1" applyAlignment="1">
      <alignment horizontal="center" vertical="center" wrapText="1"/>
    </xf>
    <xf numFmtId="0" fontId="107" fillId="7" borderId="2" xfId="54" applyFont="1" applyFill="1" applyBorder="1" applyAlignment="1">
      <alignment vertical="center" wrapText="1"/>
    </xf>
    <xf numFmtId="0" fontId="295" fillId="7" borderId="2" xfId="54" applyFont="1" applyFill="1" applyBorder="1" applyAlignment="1">
      <alignment vertical="center" wrapText="1"/>
    </xf>
    <xf numFmtId="0" fontId="147" fillId="7" borderId="184" xfId="54" applyFont="1" applyFill="1" applyBorder="1" applyAlignment="1">
      <alignment horizontal="left" vertical="center" wrapText="1"/>
    </xf>
    <xf numFmtId="0" fontId="107" fillId="7" borderId="2" xfId="54" applyFont="1" applyFill="1" applyBorder="1" applyAlignment="1">
      <alignment horizontal="left" vertical="center" wrapText="1"/>
    </xf>
    <xf numFmtId="41" fontId="147" fillId="7" borderId="184" xfId="54" applyNumberFormat="1" applyFont="1" applyFill="1" applyBorder="1" applyAlignment="1">
      <alignment vertical="center"/>
    </xf>
    <xf numFmtId="199" fontId="295" fillId="7" borderId="184" xfId="54" applyNumberFormat="1" applyFont="1" applyFill="1" applyBorder="1" applyAlignment="1">
      <alignment horizontal="center"/>
    </xf>
    <xf numFmtId="176" fontId="295" fillId="7" borderId="180" xfId="54" applyNumberFormat="1" applyFont="1" applyFill="1" applyBorder="1" applyAlignment="1">
      <alignment horizontal="right"/>
    </xf>
    <xf numFmtId="176" fontId="295" fillId="7" borderId="184" xfId="54" applyNumberFormat="1" applyFont="1" applyFill="1" applyBorder="1" applyAlignment="1">
      <alignment horizontal="center"/>
    </xf>
    <xf numFmtId="176" fontId="295" fillId="7" borderId="184" xfId="54" applyNumberFormat="1" applyFont="1" applyFill="1" applyBorder="1" applyAlignment="1">
      <alignment horizontal="left" wrapText="1"/>
    </xf>
    <xf numFmtId="176" fontId="298" fillId="7" borderId="184" xfId="54" applyNumberFormat="1" applyFont="1" applyFill="1" applyBorder="1" applyAlignment="1">
      <alignment horizontal="center"/>
    </xf>
    <xf numFmtId="177" fontId="112" fillId="7" borderId="184" xfId="54" applyNumberFormat="1" applyFont="1" applyFill="1" applyBorder="1" applyAlignment="1">
      <alignment horizontal="center" vertical="center" wrapText="1"/>
    </xf>
    <xf numFmtId="176" fontId="298" fillId="7" borderId="180" xfId="54" applyNumberFormat="1" applyFont="1" applyFill="1" applyBorder="1" applyAlignment="1">
      <alignment horizontal="right"/>
    </xf>
    <xf numFmtId="43" fontId="112" fillId="7" borderId="184" xfId="54" applyNumberFormat="1" applyFont="1" applyFill="1" applyBorder="1" applyAlignment="1">
      <alignment horizontal="left" vertical="center"/>
    </xf>
    <xf numFmtId="199" fontId="147" fillId="7" borderId="184" xfId="54" applyNumberFormat="1" applyFont="1" applyFill="1" applyBorder="1" applyAlignment="1">
      <alignment horizontal="center" vertical="center"/>
    </xf>
    <xf numFmtId="10" fontId="295" fillId="7" borderId="184" xfId="54" applyNumberFormat="1" applyFont="1" applyFill="1" applyBorder="1" applyAlignment="1">
      <alignment horizontal="center"/>
    </xf>
    <xf numFmtId="0" fontId="147" fillId="7" borderId="0" xfId="54" applyFont="1" applyFill="1" applyAlignment="1">
      <alignment horizontal="center" vertical="center"/>
    </xf>
    <xf numFmtId="0" fontId="147" fillId="7" borderId="0" xfId="54" applyFont="1" applyFill="1" applyAlignment="1">
      <alignment horizontal="left" vertical="center"/>
    </xf>
    <xf numFmtId="199" fontId="147" fillId="7" borderId="0" xfId="54" applyNumberFormat="1" applyFont="1" applyFill="1" applyAlignment="1">
      <alignment horizontal="center" vertical="center"/>
    </xf>
    <xf numFmtId="199" fontId="147" fillId="7" borderId="0" xfId="54" applyNumberFormat="1" applyFont="1" applyFill="1">
      <alignment vertical="center"/>
    </xf>
    <xf numFmtId="0" fontId="147" fillId="7" borderId="0" xfId="54" applyFont="1" applyFill="1" applyAlignment="1">
      <alignment horizontal="left" vertical="center" wrapText="1"/>
    </xf>
    <xf numFmtId="0" fontId="299" fillId="0" borderId="0" xfId="57" applyFont="1" applyFill="1" applyAlignment="1">
      <alignment horizontal="center" wrapText="1"/>
    </xf>
    <xf numFmtId="0" fontId="133" fillId="0" borderId="0" xfId="57" applyFont="1" applyFill="1" applyAlignment="1">
      <alignment horizontal="center" wrapText="1"/>
    </xf>
    <xf numFmtId="0" fontId="300" fillId="0" borderId="0" xfId="57" applyFont="1" applyFill="1" applyAlignment="1">
      <alignment horizontal="center"/>
    </xf>
    <xf numFmtId="200" fontId="301" fillId="0" borderId="0" xfId="57" applyNumberFormat="1" applyFont="1" applyFill="1" applyAlignment="1">
      <alignment horizontal="center"/>
    </xf>
    <xf numFmtId="0" fontId="301" fillId="0" borderId="0" xfId="54" applyFont="1" applyFill="1" applyAlignment="1">
      <alignment horizontal="center"/>
    </xf>
    <xf numFmtId="0" fontId="94" fillId="0" borderId="0" xfId="54" applyFont="1" applyFill="1" applyAlignment="1">
      <alignment horizontal="center"/>
    </xf>
    <xf numFmtId="197" fontId="301" fillId="0" borderId="0" xfId="58" applyNumberFormat="1" applyFont="1" applyFill="1" applyAlignment="1">
      <alignment horizontal="center"/>
    </xf>
    <xf numFmtId="14" fontId="301" fillId="0" borderId="0" xfId="54" applyNumberFormat="1" applyFont="1" applyFill="1" applyAlignment="1">
      <alignment horizontal="center"/>
    </xf>
    <xf numFmtId="0" fontId="302" fillId="0" borderId="0" xfId="57" applyFont="1" applyFill="1" applyAlignment="1">
      <alignment horizontal="center"/>
    </xf>
    <xf numFmtId="201" fontId="301" fillId="0" borderId="0" xfId="58" applyNumberFormat="1" applyFont="1" applyFill="1" applyAlignment="1">
      <alignment horizontal="center"/>
    </xf>
    <xf numFmtId="0" fontId="114" fillId="0" borderId="0" xfId="57" applyFont="1" applyFill="1" applyAlignment="1">
      <alignment horizontal="center"/>
    </xf>
    <xf numFmtId="0" fontId="147" fillId="0" borderId="0" xfId="54">
      <alignment vertical="center"/>
    </xf>
    <xf numFmtId="197" fontId="147" fillId="0" borderId="0" xfId="54" applyNumberFormat="1">
      <alignment vertical="center"/>
    </xf>
    <xf numFmtId="200" fontId="302" fillId="0" borderId="0" xfId="57" applyNumberFormat="1" applyFont="1"/>
    <xf numFmtId="200" fontId="301" fillId="5" borderId="0" xfId="57" applyNumberFormat="1" applyFont="1" applyFill="1" applyAlignment="1">
      <alignment horizontal="center"/>
    </xf>
    <xf numFmtId="0" fontId="301" fillId="5" borderId="0" xfId="54" applyFont="1" applyFill="1" applyAlignment="1">
      <alignment horizontal="center"/>
    </xf>
    <xf numFmtId="0" fontId="94" fillId="5" borderId="0" xfId="54" applyFont="1" applyFill="1" applyAlignment="1">
      <alignment horizontal="center"/>
    </xf>
    <xf numFmtId="197" fontId="301" fillId="5" borderId="0" xfId="58" applyNumberFormat="1" applyFont="1" applyFill="1" applyAlignment="1">
      <alignment horizontal="center"/>
    </xf>
    <xf numFmtId="14" fontId="301" fillId="5" borderId="0" xfId="54" applyNumberFormat="1" applyFont="1" applyFill="1" applyAlignment="1">
      <alignment horizontal="center"/>
    </xf>
    <xf numFmtId="0" fontId="302" fillId="5" borderId="0" xfId="57" applyFont="1" applyFill="1" applyAlignment="1">
      <alignment horizontal="center"/>
    </xf>
    <xf numFmtId="201" fontId="301" fillId="5" borderId="0" xfId="58" applyNumberFormat="1" applyFont="1" applyFill="1" applyAlignment="1">
      <alignment horizontal="center"/>
    </xf>
    <xf numFmtId="0" fontId="285" fillId="7" borderId="184" xfId="54" applyFont="1" applyFill="1" applyBorder="1" applyAlignment="1">
      <alignment horizontal="center" vertical="center"/>
    </xf>
    <xf numFmtId="43" fontId="285" fillId="7" borderId="184" xfId="54" applyNumberFormat="1" applyFont="1" applyFill="1" applyBorder="1" applyAlignment="1">
      <alignment horizontal="left" vertical="center"/>
    </xf>
    <xf numFmtId="43" fontId="285" fillId="5" borderId="184" xfId="54" applyNumberFormat="1" applyFont="1" applyFill="1" applyBorder="1" applyAlignment="1">
      <alignment horizontal="left" vertical="center"/>
    </xf>
    <xf numFmtId="43" fontId="248" fillId="7" borderId="184" xfId="54" applyNumberFormat="1" applyFont="1" applyFill="1" applyBorder="1" applyAlignment="1">
      <alignment horizontal="left" vertical="center"/>
    </xf>
    <xf numFmtId="10" fontId="285" fillId="7" borderId="184" xfId="54" applyNumberFormat="1" applyFont="1" applyFill="1" applyBorder="1" applyAlignment="1">
      <alignment horizontal="right" vertical="center"/>
    </xf>
    <xf numFmtId="176" fontId="303" fillId="7" borderId="184" xfId="54" applyNumberFormat="1" applyFont="1" applyFill="1" applyBorder="1" applyAlignment="1">
      <alignment horizontal="right"/>
    </xf>
    <xf numFmtId="0" fontId="248" fillId="7" borderId="0" xfId="54"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6" fillId="7" borderId="180" xfId="54" applyFont="1" applyFill="1" applyBorder="1" applyAlignment="1">
      <alignment horizontal="center" vertical="center"/>
    </xf>
    <xf numFmtId="0" fontId="116" fillId="7" borderId="181" xfId="54" applyFont="1" applyFill="1" applyBorder="1" applyAlignment="1">
      <alignment horizontal="center" vertical="center"/>
    </xf>
    <xf numFmtId="0" fontId="116" fillId="7" borderId="182" xfId="54" applyFont="1" applyFill="1" applyBorder="1" applyAlignment="1">
      <alignment horizontal="center" vertical="center"/>
    </xf>
    <xf numFmtId="0" fontId="116" fillId="7" borderId="183" xfId="54" applyFont="1" applyFill="1" applyBorder="1" applyAlignment="1">
      <alignment horizontal="center" vertical="center"/>
    </xf>
    <xf numFmtId="14" fontId="107" fillId="7" borderId="184" xfId="54" applyNumberFormat="1" applyFont="1" applyFill="1" applyBorder="1" applyAlignment="1">
      <alignment horizontal="center" vertical="center" wrapText="1"/>
    </xf>
    <xf numFmtId="177" fontId="107" fillId="7" borderId="185" xfId="54" applyNumberFormat="1" applyFont="1" applyFill="1" applyBorder="1" applyAlignment="1">
      <alignment horizontal="center" vertical="center" wrapText="1"/>
    </xf>
    <xf numFmtId="177" fontId="107" fillId="7" borderId="15" xfId="54" applyNumberFormat="1" applyFont="1" applyFill="1" applyBorder="1" applyAlignment="1">
      <alignment horizontal="center" vertical="center" wrapText="1"/>
    </xf>
    <xf numFmtId="177" fontId="107" fillId="7" borderId="2" xfId="54" applyNumberFormat="1" applyFont="1" applyFill="1" applyBorder="1" applyAlignment="1">
      <alignment horizontal="center" vertical="center" wrapText="1"/>
    </xf>
    <xf numFmtId="14" fontId="112" fillId="7" borderId="184" xfId="54" applyNumberFormat="1" applyFont="1" applyFill="1" applyBorder="1" applyAlignment="1">
      <alignment horizontal="center" vertical="center" wrapText="1"/>
    </xf>
    <xf numFmtId="0" fontId="287" fillId="0" borderId="1" xfId="0" applyFont="1" applyBorder="1" applyAlignment="1" applyProtection="1">
      <alignment horizontal="left" vertical="center" wrapText="1"/>
    </xf>
    <xf numFmtId="0" fontId="287" fillId="0" borderId="13" xfId="0" applyFont="1" applyBorder="1" applyAlignment="1" applyProtection="1">
      <alignment horizontal="left" vertical="center" wrapText="1"/>
    </xf>
    <xf numFmtId="0" fontId="289" fillId="28" borderId="9" xfId="0" applyFont="1" applyFill="1" applyBorder="1" applyAlignment="1" applyProtection="1">
      <alignment horizontal="left" vertical="center" wrapText="1"/>
    </xf>
    <xf numFmtId="0" fontId="289" fillId="28" borderId="13" xfId="0" applyFont="1" applyFill="1" applyBorder="1" applyAlignment="1" applyProtection="1">
      <alignment horizontal="left" vertical="center" wrapText="1"/>
    </xf>
    <xf numFmtId="0" fontId="289" fillId="28" borderId="10" xfId="0" applyFont="1" applyFill="1" applyBorder="1" applyAlignment="1" applyProtection="1">
      <alignment horizontal="left" vertical="center" wrapText="1"/>
    </xf>
    <xf numFmtId="0" fontId="289" fillId="0" borderId="6" xfId="0" applyFont="1" applyBorder="1" applyAlignment="1" applyProtection="1">
      <alignment horizontal="left" vertical="center" wrapText="1"/>
    </xf>
    <xf numFmtId="0" fontId="289" fillId="0" borderId="9" xfId="0" applyFont="1" applyBorder="1" applyAlignment="1" applyProtection="1">
      <alignment horizontal="left" vertical="center" wrapText="1"/>
    </xf>
    <xf numFmtId="0" fontId="289" fillId="0" borderId="10" xfId="0" applyFont="1" applyBorder="1" applyAlignment="1" applyProtection="1">
      <alignment horizontal="left" vertical="center" wrapText="1"/>
    </xf>
    <xf numFmtId="0" fontId="287" fillId="0" borderId="3" xfId="0" applyFont="1" applyBorder="1" applyAlignment="1" applyProtection="1">
      <alignment horizontal="left" vertical="center" wrapText="1"/>
    </xf>
    <xf numFmtId="0" fontId="287" fillId="0" borderId="22" xfId="0" applyFont="1" applyBorder="1" applyAlignment="1" applyProtection="1">
      <alignment horizontal="left" vertical="center" wrapText="1"/>
    </xf>
    <xf numFmtId="0" fontId="289" fillId="27" borderId="9" xfId="0" applyFont="1" applyFill="1" applyBorder="1" applyAlignment="1" applyProtection="1">
      <alignment horizontal="left" vertical="center" wrapText="1"/>
    </xf>
    <xf numFmtId="0" fontId="289" fillId="27" borderId="10" xfId="0" applyFont="1" applyFill="1" applyBorder="1" applyAlignment="1" applyProtection="1">
      <alignment horizontal="left" vertical="center" wrapText="1"/>
    </xf>
    <xf numFmtId="0" fontId="289" fillId="27" borderId="61" xfId="0" applyFont="1" applyFill="1" applyBorder="1" applyAlignment="1" applyProtection="1">
      <alignment horizontal="left" vertical="center" wrapText="1"/>
    </xf>
    <xf numFmtId="0" fontId="289" fillId="28" borderId="6" xfId="0" applyFont="1" applyFill="1" applyBorder="1" applyAlignment="1" applyProtection="1">
      <alignment horizontal="left" vertical="center" wrapText="1"/>
    </xf>
    <xf numFmtId="0" fontId="287" fillId="28" borderId="9" xfId="0" applyFont="1" applyFill="1" applyBorder="1" applyAlignment="1" applyProtection="1">
      <alignment horizontal="left" vertical="center" wrapText="1"/>
    </xf>
    <xf numFmtId="0" fontId="287" fillId="28" borderId="13" xfId="0" applyFont="1" applyFill="1" applyBorder="1" applyAlignment="1" applyProtection="1">
      <alignment horizontal="left" vertical="center" wrapText="1"/>
    </xf>
    <xf numFmtId="0" fontId="287" fillId="25" borderId="9" xfId="0" applyFont="1" applyFill="1" applyBorder="1" applyAlignment="1" applyProtection="1">
      <alignment horizontal="left" vertical="center" wrapText="1"/>
    </xf>
    <xf numFmtId="0" fontId="287" fillId="25" borderId="13" xfId="0" applyFont="1" applyFill="1" applyBorder="1" applyAlignment="1" applyProtection="1">
      <alignment horizontal="left" vertical="center" wrapText="1"/>
    </xf>
    <xf numFmtId="0" fontId="287" fillId="25" borderId="10" xfId="0" applyFont="1" applyFill="1" applyBorder="1" applyAlignment="1" applyProtection="1">
      <alignment horizontal="left" vertical="center" wrapText="1"/>
    </xf>
    <xf numFmtId="0" fontId="287" fillId="25" borderId="61" xfId="0" applyFont="1" applyFill="1" applyBorder="1" applyAlignment="1" applyProtection="1">
      <alignment horizontal="left" vertical="center" wrapText="1"/>
    </xf>
    <xf numFmtId="0" fontId="287" fillId="30" borderId="95" xfId="0" applyFont="1" applyFill="1" applyBorder="1" applyAlignment="1" applyProtection="1">
      <alignment horizontal="left" vertical="center" wrapText="1"/>
    </xf>
    <xf numFmtId="0" fontId="287" fillId="30" borderId="72" xfId="0" applyFont="1" applyFill="1" applyBorder="1" applyAlignment="1" applyProtection="1">
      <alignment horizontal="left" vertical="center" wrapText="1"/>
    </xf>
    <xf numFmtId="0" fontId="289" fillId="27" borderId="6" xfId="0" applyFont="1" applyFill="1" applyBorder="1" applyAlignment="1" applyProtection="1">
      <alignment horizontal="left" vertical="center" wrapText="1"/>
    </xf>
    <xf numFmtId="0" fontId="286" fillId="6" borderId="5" xfId="0" applyFont="1" applyFill="1" applyBorder="1" applyAlignment="1" applyProtection="1">
      <alignment horizontal="left" vertical="center" wrapText="1"/>
    </xf>
    <xf numFmtId="0" fontId="289" fillId="6" borderId="46" xfId="0" applyFont="1" applyFill="1" applyBorder="1" applyAlignment="1" applyProtection="1">
      <alignment horizontal="left" vertical="center" wrapText="1"/>
    </xf>
    <xf numFmtId="0" fontId="287" fillId="25" borderId="6" xfId="0" applyFont="1" applyFill="1" applyBorder="1" applyAlignment="1" applyProtection="1">
      <alignment horizontal="left" vertical="center" wrapText="1"/>
    </xf>
    <xf numFmtId="0" fontId="287" fillId="25" borderId="11" xfId="0" applyFont="1" applyFill="1" applyBorder="1" applyAlignment="1" applyProtection="1">
      <alignment horizontal="left" vertical="center" wrapText="1"/>
    </xf>
    <xf numFmtId="0" fontId="288" fillId="25" borderId="9" xfId="0" applyFont="1" applyFill="1" applyBorder="1" applyAlignment="1" applyProtection="1">
      <alignment horizontal="left" vertical="center" wrapText="1"/>
    </xf>
    <xf numFmtId="0" fontId="288" fillId="25" borderId="13" xfId="0" applyFont="1" applyFill="1" applyBorder="1" applyAlignment="1" applyProtection="1">
      <alignment horizontal="left" vertical="center" wrapText="1"/>
    </xf>
    <xf numFmtId="0" fontId="19" fillId="0" borderId="13" xfId="20" applyFont="1" applyBorder="1" applyAlignment="1">
      <alignment horizontal="center" vertical="center"/>
    </xf>
    <xf numFmtId="0" fontId="19" fillId="0" borderId="2" xfId="20" applyFont="1" applyBorder="1" applyAlignment="1">
      <alignment horizontal="center" vertical="center"/>
    </xf>
    <xf numFmtId="0" fontId="19" fillId="0" borderId="15" xfId="20" applyFont="1" applyBorder="1" applyAlignment="1">
      <alignment horizontal="center" vertical="center"/>
    </xf>
    <xf numFmtId="0" fontId="19" fillId="0" borderId="13" xfId="20" applyFont="1" applyBorder="1" applyAlignment="1">
      <alignment horizontal="left" vertical="center" wrapText="1"/>
    </xf>
    <xf numFmtId="0" fontId="19" fillId="0" borderId="2" xfId="20" applyFont="1" applyBorder="1" applyAlignment="1">
      <alignment horizontal="left" vertical="center" wrapText="1"/>
    </xf>
    <xf numFmtId="0" fontId="19" fillId="0" borderId="5" xfId="20" applyFont="1" applyBorder="1" applyAlignment="1">
      <alignment horizontal="left" vertical="center" wrapText="1"/>
    </xf>
    <xf numFmtId="0" fontId="19" fillId="0" borderId="3" xfId="20" applyFont="1" applyBorder="1" applyAlignment="1">
      <alignment horizontal="left" vertical="center" wrapTex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79"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0"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4" fontId="110" fillId="0" borderId="54"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3"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95" fillId="0" borderId="0" xfId="0" applyFont="1">
      <alignment vertical="center"/>
    </xf>
    <xf numFmtId="49" fontId="51" fillId="6" borderId="40"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wrapText="1"/>
      <protection locked="0"/>
    </xf>
    <xf numFmtId="0" fontId="296" fillId="5" borderId="184" xfId="54" applyFont="1" applyFill="1" applyBorder="1" applyAlignment="1">
      <alignment horizontal="left" vertical="center" wrapText="1"/>
    </xf>
    <xf numFmtId="14" fontId="296" fillId="5" borderId="184" xfId="54" applyNumberFormat="1" applyFont="1" applyFill="1" applyBorder="1" applyAlignment="1">
      <alignment horizontal="left" vertical="center" wrapText="1"/>
    </xf>
    <xf numFmtId="43" fontId="296" fillId="5" borderId="184" xfId="54" applyNumberFormat="1" applyFont="1" applyFill="1" applyBorder="1" applyAlignment="1">
      <alignment horizontal="right" vertical="center"/>
    </xf>
    <xf numFmtId="43" fontId="147" fillId="5" borderId="184" xfId="54" applyNumberFormat="1" applyFont="1" applyFill="1" applyBorder="1" applyAlignment="1">
      <alignment horizontal="left" vertical="center"/>
    </xf>
    <xf numFmtId="199" fontId="107" fillId="5" borderId="184" xfId="54" applyNumberFormat="1" applyFont="1" applyFill="1" applyBorder="1" applyAlignment="1">
      <alignment horizontal="left" vertical="center"/>
    </xf>
    <xf numFmtId="14" fontId="107" fillId="5" borderId="184" xfId="54" applyNumberFormat="1" applyFont="1" applyFill="1" applyBorder="1" applyAlignment="1">
      <alignment horizontal="center" vertical="center"/>
    </xf>
    <xf numFmtId="0" fontId="107" fillId="5" borderId="184" xfId="54" applyFont="1" applyFill="1" applyBorder="1" applyAlignment="1">
      <alignment horizontal="center" vertical="center" wrapText="1"/>
    </xf>
    <xf numFmtId="177" fontId="107" fillId="5" borderId="184" xfId="54" applyNumberFormat="1" applyFont="1" applyFill="1" applyBorder="1" applyAlignment="1">
      <alignment horizontal="center" vertical="center"/>
    </xf>
    <xf numFmtId="185" fontId="107" fillId="5" borderId="184" xfId="54" applyNumberFormat="1" applyFont="1" applyFill="1" applyBorder="1" applyAlignment="1">
      <alignment horizontal="center" vertical="center"/>
    </xf>
    <xf numFmtId="199" fontId="147" fillId="5" borderId="184" xfId="54" applyNumberFormat="1" applyFont="1" applyFill="1" applyBorder="1" applyAlignment="1">
      <alignment vertical="center" wrapText="1"/>
    </xf>
    <xf numFmtId="49" fontId="107" fillId="5" borderId="184" xfId="54" applyNumberFormat="1" applyFont="1" applyFill="1" applyBorder="1" applyAlignment="1">
      <alignment horizontal="center" vertical="center" wrapText="1"/>
    </xf>
    <xf numFmtId="0" fontId="107" fillId="5" borderId="0" xfId="54" applyFont="1" applyFill="1" applyAlignment="1">
      <alignment horizontal="left" vertical="center"/>
    </xf>
    <xf numFmtId="0" fontId="107" fillId="5" borderId="184" xfId="54" applyFont="1" applyFill="1" applyBorder="1" applyAlignment="1">
      <alignment vertical="center" wrapText="1"/>
    </xf>
    <xf numFmtId="43" fontId="107" fillId="5" borderId="184" xfId="54" applyNumberFormat="1" applyFont="1" applyFill="1" applyBorder="1" applyAlignment="1">
      <alignment horizontal="right" vertical="center"/>
    </xf>
  </cellXfs>
  <cellStyles count="59">
    <cellStyle name="Comma 3" xfId="58"/>
    <cellStyle name="Normal 2" xfId="57"/>
    <cellStyle name="百分比" xfId="17" builtinId="5"/>
    <cellStyle name="百分比 2" xfId="14"/>
    <cellStyle name="百分比 3" xfId="56"/>
    <cellStyle name="常规" xfId="0" builtinId="0"/>
    <cellStyle name="常规 10" xfId="54"/>
    <cellStyle name="常规 11" xfId="18"/>
    <cellStyle name="常规 11 2" xfId="19"/>
    <cellStyle name="常规 16" xfId="10"/>
    <cellStyle name="常规 2" xfId="1"/>
    <cellStyle name="常规 2 2" xfId="8"/>
    <cellStyle name="常规 2 2 2 2 3" xfId="15"/>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8" xfId="11"/>
    <cellStyle name="常规 9" xfId="12"/>
    <cellStyle name="超链接" xfId="55" builtinId="8"/>
    <cellStyle name="千位分隔 2" xfId="53"/>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2.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externalLink" Target="externalLinks/externalLink15.xml"/><Relationship Id="rId5" Type="http://schemas.openxmlformats.org/officeDocument/2006/relationships/worksheet" Target="worksheets/sheet5.xml"/><Relationship Id="rId61" Type="http://schemas.openxmlformats.org/officeDocument/2006/relationships/externalLink" Target="externalLinks/externalLink1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37125</xdr:rowOff>
    </xdr:from>
    <xdr:to>
      <xdr:col>13</xdr:col>
      <xdr:colOff>28575</xdr:colOff>
      <xdr:row>70</xdr:row>
      <xdr:rowOff>118934</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923825"/>
          <a:ext cx="8943975" cy="4196609"/>
        </a:xfrm>
        <a:prstGeom prst="rect">
          <a:avLst/>
        </a:prstGeom>
      </xdr:spPr>
    </xdr:pic>
    <xdr:clientData/>
  </xdr:twoCellAnchor>
  <xdr:twoCellAnchor editAs="oneCell">
    <xdr:from>
      <xdr:col>0</xdr:col>
      <xdr:colOff>0</xdr:colOff>
      <xdr:row>71</xdr:row>
      <xdr:rowOff>143981</xdr:rowOff>
    </xdr:from>
    <xdr:to>
      <xdr:col>12</xdr:col>
      <xdr:colOff>171450</xdr:colOff>
      <xdr:row>108</xdr:row>
      <xdr:rowOff>34299</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316931"/>
          <a:ext cx="8401050" cy="6233968"/>
        </a:xfrm>
        <a:prstGeom prst="rect">
          <a:avLst/>
        </a:prstGeom>
      </xdr:spPr>
    </xdr:pic>
    <xdr:clientData/>
  </xdr:twoCellAnchor>
  <xdr:twoCellAnchor editAs="oneCell">
    <xdr:from>
      <xdr:col>0</xdr:col>
      <xdr:colOff>47625</xdr:colOff>
      <xdr:row>5</xdr:row>
      <xdr:rowOff>122039</xdr:rowOff>
    </xdr:from>
    <xdr:to>
      <xdr:col>13</xdr:col>
      <xdr:colOff>333375</xdr:colOff>
      <xdr:row>46</xdr:row>
      <xdr:rowOff>25400</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25" y="979289"/>
          <a:ext cx="9201150" cy="69328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win10G/Desktop/&#35199;&#19977;&#26071;&#19975;&#35937;&#27719;/2023-1-0861&#35199;&#19977;&#26071;&#19975;&#35937;&#277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E19">
            <v>95274.6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refreshError="1"/>
      <sheetData sheetId="841"/>
      <sheetData sheetId="842"/>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sheetData sheetId="854" refreshError="1"/>
      <sheetData sheetId="855" refreshError="1"/>
      <sheetData sheetId="856" refreshError="1"/>
      <sheetData sheetId="857" refreshError="1"/>
      <sheetData sheetId="858"/>
      <sheetData sheetId="859" refreshError="1"/>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refreshError="1"/>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估价对象为北京市房地产，为所有。根据《国有土地使用证》[]，估价对象（分摊）出让国有建设用地使用权面积为0平方米，建筑面积为468.48平方米。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估价对象为北京市房地产,属开发建设的办公项目，该项目尚在开发建设中。根据《国有土地使用证》[]，估价对象（分摊）出让国有建设用地使用权面积为0平方米，规划建筑面积为468.48平方米。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2024年10月18日（评估专业人员实地查勘之日）</v>
      </c>
    </row>
    <row r="13" spans="1:2" s="1203" customFormat="1">
      <c r="A13" s="1201" t="s">
        <v>529</v>
      </c>
      <c r="B13" s="1202" t="str">
        <f>'预评函-1'!A18</f>
        <v>本次估价的“房地产价值”是指在正常市场情况下，在价值时点2024年10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468.48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2571</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2572</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81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19"/>
      <c r="B54" s="1554" t="s">
        <v>385</v>
      </c>
      <c r="C54" s="1551" t="s">
        <v>583</v>
      </c>
    </row>
    <row r="55" spans="1:4">
      <c r="A55" s="3819"/>
      <c r="B55" s="1554" t="s">
        <v>386</v>
      </c>
      <c r="C55" s="1551" t="s">
        <v>584</v>
      </c>
    </row>
    <row r="56" spans="1:4">
      <c r="A56" s="3819"/>
      <c r="B56" s="1554" t="s">
        <v>387</v>
      </c>
      <c r="C56" s="1551" t="s">
        <v>588</v>
      </c>
    </row>
    <row r="57" spans="1:4">
      <c r="A57" s="381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2494</v>
      </c>
      <c r="B1" s="3012"/>
      <c r="C1" s="3012"/>
      <c r="D1" s="3012"/>
      <c r="E1" s="3012"/>
      <c r="F1" s="3013"/>
      <c r="I1" s="3435" t="s">
        <v>2587</v>
      </c>
      <c r="J1" s="3224"/>
      <c r="K1" s="3224"/>
      <c r="L1" s="3224"/>
      <c r="M1" s="3224"/>
      <c r="N1" s="3436"/>
      <c r="O1" s="3436"/>
      <c r="P1" s="3436"/>
      <c r="Q1" s="3436"/>
      <c r="R1" s="3436"/>
    </row>
    <row r="2" spans="1:18">
      <c r="A2" s="3015"/>
      <c r="B2" s="3016"/>
      <c r="C2" s="3016"/>
      <c r="D2" s="3016"/>
      <c r="E2" s="3016"/>
      <c r="F2" s="3017"/>
      <c r="I2" s="3820" t="s">
        <v>2574</v>
      </c>
      <c r="J2" s="3820"/>
      <c r="K2" s="3820"/>
      <c r="L2" s="3820"/>
      <c r="M2" s="3820"/>
      <c r="N2" s="3820"/>
      <c r="O2" s="3820"/>
      <c r="P2" s="3820"/>
      <c r="Q2" s="3820"/>
      <c r="R2" s="3820"/>
    </row>
    <row r="3" spans="1:18">
      <c r="A3" s="3018" t="s">
        <v>2495</v>
      </c>
      <c r="B3" s="3019">
        <f>项目基本情况!D3</f>
        <v>45583</v>
      </c>
      <c r="C3" s="3021"/>
      <c r="D3" s="3021"/>
      <c r="E3" s="3021"/>
      <c r="F3" s="3017"/>
      <c r="I3" s="3437"/>
      <c r="J3" s="3437" t="s">
        <v>2578</v>
      </c>
      <c r="K3" s="3437" t="s">
        <v>2579</v>
      </c>
      <c r="L3" s="3437" t="s">
        <v>2580</v>
      </c>
      <c r="M3" s="3437" t="s">
        <v>2581</v>
      </c>
      <c r="N3" s="3438" t="s">
        <v>2582</v>
      </c>
      <c r="O3" s="3438" t="s">
        <v>2583</v>
      </c>
      <c r="P3" s="3438" t="s">
        <v>2584</v>
      </c>
      <c r="Q3" s="3438" t="s">
        <v>2585</v>
      </c>
      <c r="R3" s="3438" t="s">
        <v>2586</v>
      </c>
    </row>
    <row r="4" spans="1:18">
      <c r="A4" s="3018" t="s">
        <v>2496</v>
      </c>
      <c r="B4" s="3021" t="s">
        <v>2497</v>
      </c>
      <c r="C4" s="3021" t="s">
        <v>2498</v>
      </c>
      <c r="D4" s="3021" t="s">
        <v>2499</v>
      </c>
      <c r="E4" s="3021" t="s">
        <v>2500</v>
      </c>
      <c r="F4" s="3017"/>
      <c r="I4" s="3437" t="s">
        <v>2575</v>
      </c>
      <c r="J4" s="3437">
        <v>80</v>
      </c>
      <c r="K4" s="3437">
        <v>70</v>
      </c>
      <c r="L4" s="3437">
        <v>20</v>
      </c>
      <c r="M4" s="3437">
        <v>30</v>
      </c>
      <c r="N4" s="3021">
        <v>45</v>
      </c>
      <c r="O4" s="3021">
        <v>60</v>
      </c>
      <c r="P4" s="3021">
        <v>50</v>
      </c>
      <c r="Q4" s="3021">
        <v>20</v>
      </c>
      <c r="R4" s="3021">
        <v>375</v>
      </c>
    </row>
    <row r="5" spans="1:18">
      <c r="A5" s="3022">
        <v>40</v>
      </c>
      <c r="B5" s="3019">
        <v>46375</v>
      </c>
      <c r="C5" s="3021">
        <f>ROUNDDOWN(MIN((B5-B3)/365,A5),2)</f>
        <v>2.16</v>
      </c>
      <c r="D5" s="3023">
        <f>IF(ISERROR(ROUND(POWER(1+E5,A5-C5)*(POWER(1+E5,C5)-1)/(POWER(1+E5,A5)-1),3)),0,ROUND(POWER(1+E5,A5-C5)*(POWER(1+E5,C5)-1)/(POWER(1+E5,A5)-1),4))</f>
        <v>0.1026</v>
      </c>
      <c r="E5" s="3024">
        <v>0.04</v>
      </c>
      <c r="F5" s="3017"/>
      <c r="I5" s="3437" t="s">
        <v>2576</v>
      </c>
      <c r="J5" s="3437">
        <v>70</v>
      </c>
      <c r="K5" s="3437">
        <v>60</v>
      </c>
      <c r="L5" s="3437">
        <v>15</v>
      </c>
      <c r="M5" s="3437">
        <v>25</v>
      </c>
      <c r="N5" s="3021">
        <v>40</v>
      </c>
      <c r="O5" s="3021">
        <v>50</v>
      </c>
      <c r="P5" s="3021">
        <v>40</v>
      </c>
      <c r="Q5" s="3021">
        <v>15</v>
      </c>
      <c r="R5" s="3021">
        <v>315</v>
      </c>
    </row>
    <row r="6" spans="1:18">
      <c r="A6" s="3022">
        <v>50</v>
      </c>
      <c r="B6" s="3019">
        <v>50028</v>
      </c>
      <c r="C6" s="3021">
        <f>ROUNDDOWN(MIN((B6-B3)/365,A6),2)</f>
        <v>12.17</v>
      </c>
      <c r="D6" s="3023">
        <f>IF(ISERROR(ROUND(POWER(1+E6,A6-C6)*(POWER(1+E6,C6)-1)/(POWER(1+E6,A6)-1),3)),0,ROUND(POWER(1+E6,A6-C6)*(POWER(1+E6,C6)-1)/(POWER(1+E6,A6)-1),4))</f>
        <v>0.44169999999999998</v>
      </c>
      <c r="E6" s="3024">
        <v>0.04</v>
      </c>
      <c r="F6" s="3017"/>
      <c r="I6" s="3437" t="s">
        <v>2577</v>
      </c>
      <c r="J6" s="3437">
        <v>60</v>
      </c>
      <c r="K6" s="3437">
        <v>50</v>
      </c>
      <c r="L6" s="3437">
        <v>10</v>
      </c>
      <c r="M6" s="3437">
        <v>20</v>
      </c>
      <c r="N6" s="3021">
        <v>35</v>
      </c>
      <c r="O6" s="3021">
        <v>40</v>
      </c>
      <c r="P6" s="3021">
        <v>30</v>
      </c>
      <c r="Q6" s="3021">
        <v>10</v>
      </c>
      <c r="R6" s="3021">
        <v>255</v>
      </c>
    </row>
    <row r="7" spans="1:18">
      <c r="A7" s="3022">
        <v>70</v>
      </c>
      <c r="B7" s="3019">
        <v>57333</v>
      </c>
      <c r="C7" s="3021">
        <f>ROUNDDOWN(MIN((B7-B3)/365,A7),2)</f>
        <v>32.19</v>
      </c>
      <c r="D7" s="3023">
        <f>IF(ISERROR(ROUND(POWER(1+E7,A7-C7)*(POWER(1+E7,C7)-1)/(POWER(1+E7,A7)-1),3)),0,ROUND(POWER(1+E7,A7-C7)*(POWER(1+E7,C7)-1)/(POWER(1+E7,A7)-1),4))</f>
        <v>0.76629999999999998</v>
      </c>
      <c r="E7" s="3024">
        <v>0.04</v>
      </c>
      <c r="F7" s="3017"/>
    </row>
    <row r="8" spans="1:18">
      <c r="A8" s="3015"/>
      <c r="B8" s="3016"/>
      <c r="C8" s="3016"/>
      <c r="D8" s="3016"/>
      <c r="E8" s="3016"/>
      <c r="F8" s="3017"/>
    </row>
    <row r="9" spans="1:18">
      <c r="A9" s="3018" t="s">
        <v>2501</v>
      </c>
      <c r="B9" s="3021"/>
      <c r="C9" s="3021"/>
      <c r="D9" s="3021"/>
      <c r="E9" s="3021"/>
      <c r="F9" s="3025"/>
    </row>
    <row r="10" spans="1:18">
      <c r="A10" s="3018" t="s">
        <v>2502</v>
      </c>
      <c r="B10" s="3021"/>
      <c r="C10" s="3021"/>
      <c r="D10" s="3021" t="s">
        <v>2500</v>
      </c>
      <c r="E10" s="3021"/>
      <c r="F10" s="3025" t="s">
        <v>2499</v>
      </c>
    </row>
    <row r="11" spans="1:18">
      <c r="A11" s="3018" t="s">
        <v>2503</v>
      </c>
      <c r="B11" s="3026">
        <v>70</v>
      </c>
      <c r="C11" s="3021" t="s">
        <v>2504</v>
      </c>
      <c r="D11" s="3027">
        <v>4.4999999999999998E-2</v>
      </c>
      <c r="E11" s="3021" t="s">
        <v>2505</v>
      </c>
      <c r="F11" s="3028">
        <f>ROUND(1-(1/(POWER(1+D11,B11))),4)</f>
        <v>0.95409999999999995</v>
      </c>
    </row>
    <row r="12" spans="1:18">
      <c r="A12" s="3018" t="s">
        <v>2506</v>
      </c>
      <c r="B12" s="3026">
        <v>40</v>
      </c>
      <c r="C12" s="3021" t="s">
        <v>2507</v>
      </c>
      <c r="D12" s="3027">
        <v>4.4999999999999998E-2</v>
      </c>
      <c r="E12" s="3021" t="s">
        <v>2508</v>
      </c>
      <c r="F12" s="3028">
        <f>ROUND(1-(1/(POWER(1+D12,B12))),4)</f>
        <v>0.82809999999999995</v>
      </c>
    </row>
    <row r="13" spans="1:18">
      <c r="A13" s="3018" t="s">
        <v>2509</v>
      </c>
      <c r="B13" s="3021"/>
      <c r="C13" s="3021"/>
      <c r="D13" s="3016"/>
      <c r="E13" s="3016"/>
      <c r="F13" s="3017"/>
    </row>
    <row r="14" spans="1:18">
      <c r="A14" s="3018" t="s">
        <v>2510</v>
      </c>
      <c r="B14" s="3026">
        <v>5000</v>
      </c>
      <c r="C14" s="3020"/>
      <c r="D14" s="3016"/>
      <c r="E14" s="3016"/>
      <c r="F14" s="3017"/>
    </row>
    <row r="15" spans="1:18">
      <c r="A15" s="3018" t="s">
        <v>2511</v>
      </c>
      <c r="B15" s="3021">
        <f>ROUND(B14*F12/F11,2)</f>
        <v>4339.6899999999996</v>
      </c>
      <c r="C15" s="3021">
        <f>ROUND(F12/F11,4)</f>
        <v>0.8679</v>
      </c>
      <c r="D15" s="3016"/>
      <c r="E15" s="3016"/>
      <c r="F15" s="3017"/>
    </row>
    <row r="16" spans="1:18">
      <c r="A16" s="3018" t="s">
        <v>2512</v>
      </c>
      <c r="B16" s="3021"/>
      <c r="C16" s="3021"/>
      <c r="D16" s="3016"/>
      <c r="E16" s="3016"/>
      <c r="F16" s="3017"/>
    </row>
    <row r="17" spans="1:13">
      <c r="A17" s="3018" t="s">
        <v>2511</v>
      </c>
      <c r="B17" s="3027">
        <v>4810</v>
      </c>
      <c r="C17" s="3020"/>
      <c r="D17" s="3016"/>
      <c r="E17" s="3016"/>
      <c r="F17" s="3017"/>
    </row>
    <row r="18" spans="1:13" ht="14.25" thickBot="1">
      <c r="A18" s="3029" t="s">
        <v>2510</v>
      </c>
      <c r="B18" s="3030">
        <f>ROUND(B17*F11/F12,2)</f>
        <v>5541.87</v>
      </c>
      <c r="C18" s="3030">
        <f>ROUND(F11/F12,4)</f>
        <v>1.1521999999999999</v>
      </c>
      <c r="D18" s="3031"/>
      <c r="E18" s="3031"/>
      <c r="F18" s="3032"/>
    </row>
    <row r="19" spans="1:13" ht="14.25" thickBot="1"/>
    <row r="20" spans="1:13" s="3067" customFormat="1" ht="14.25" thickTop="1">
      <c r="A20" s="3064" t="s">
        <v>2513</v>
      </c>
      <c r="B20" s="3065"/>
      <c r="C20" s="3065"/>
      <c r="D20" s="3065"/>
      <c r="E20" s="3065"/>
      <c r="F20" s="3065"/>
      <c r="G20" s="3066"/>
      <c r="I20" s="3068" t="s">
        <v>2558</v>
      </c>
      <c r="J20" s="3068" t="s">
        <v>2563</v>
      </c>
      <c r="K20" s="3068"/>
      <c r="L20" s="3068"/>
      <c r="M20" s="3068"/>
    </row>
    <row r="21" spans="1:13">
      <c r="A21" s="3033"/>
      <c r="B21" s="3034" t="s">
        <v>2514</v>
      </c>
      <c r="C21" s="3034" t="s">
        <v>2515</v>
      </c>
      <c r="D21" s="3034" t="s">
        <v>2516</v>
      </c>
      <c r="E21" s="3034" t="s">
        <v>2517</v>
      </c>
      <c r="F21" s="3034" t="s">
        <v>2518</v>
      </c>
      <c r="G21" s="3035" t="s">
        <v>2519</v>
      </c>
      <c r="I21" s="3056">
        <v>5</v>
      </c>
      <c r="J21" s="3056">
        <v>54.2</v>
      </c>
    </row>
    <row r="22" spans="1:13">
      <c r="A22" s="3033" t="s">
        <v>2520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2561</v>
      </c>
      <c r="M23" s="3056" t="s">
        <v>2562</v>
      </c>
    </row>
    <row r="24" spans="1:13">
      <c r="A24" s="3033" t="s">
        <v>2522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2560</v>
      </c>
      <c r="M24" s="3056">
        <v>10</v>
      </c>
    </row>
    <row r="25" spans="1:13">
      <c r="A25" s="3033" t="s">
        <v>2523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2564</v>
      </c>
      <c r="M25" s="3056">
        <v>8</v>
      </c>
    </row>
    <row r="26" spans="1:13">
      <c r="A26" s="3038"/>
      <c r="B26" s="3039"/>
      <c r="C26" s="3039"/>
      <c r="D26" s="3039"/>
      <c r="E26" s="3039"/>
      <c r="F26" s="3039"/>
      <c r="G26" s="3040"/>
      <c r="I26" s="3056">
        <v>30</v>
      </c>
      <c r="J26" s="3056">
        <v>90.5</v>
      </c>
      <c r="K26" s="3056">
        <f t="shared" si="2"/>
        <v>4.2000000000000028</v>
      </c>
      <c r="L26" s="3056" t="s">
        <v>2565</v>
      </c>
      <c r="M26" s="3056">
        <v>5</v>
      </c>
    </row>
    <row r="27" spans="1:13">
      <c r="A27" s="3038" t="s">
        <v>2524</v>
      </c>
      <c r="B27" s="3039"/>
      <c r="C27" s="3039"/>
      <c r="D27" s="3039"/>
      <c r="E27" s="3039"/>
      <c r="F27" s="3039"/>
      <c r="G27" s="3040"/>
      <c r="I27" s="3056">
        <v>35</v>
      </c>
      <c r="J27" s="3056">
        <v>93.8</v>
      </c>
      <c r="K27" s="3056">
        <f t="shared" si="2"/>
        <v>3.2999999999999972</v>
      </c>
      <c r="L27" s="3056" t="s">
        <v>2566</v>
      </c>
      <c r="M27" s="3056">
        <v>3</v>
      </c>
    </row>
    <row r="28" spans="1:13">
      <c r="A28" s="3038" t="s">
        <v>2525</v>
      </c>
      <c r="B28" s="3039"/>
      <c r="C28" s="3039"/>
      <c r="D28" s="3039"/>
      <c r="E28" s="3039"/>
      <c r="F28" s="3039"/>
      <c r="G28" s="3040"/>
      <c r="I28" s="3056">
        <v>40</v>
      </c>
      <c r="J28" s="3056">
        <v>96.4</v>
      </c>
      <c r="K28" s="3056">
        <f t="shared" si="2"/>
        <v>2.6000000000000085</v>
      </c>
      <c r="L28" s="3056" t="s">
        <v>2567</v>
      </c>
      <c r="M28" s="3056">
        <v>2</v>
      </c>
    </row>
    <row r="29" spans="1:13">
      <c r="A29" s="3038" t="s">
        <v>2526</v>
      </c>
      <c r="B29" s="3039"/>
      <c r="C29" s="3039"/>
      <c r="D29" s="3039"/>
      <c r="E29" s="3039"/>
      <c r="F29" s="3039"/>
      <c r="G29" s="3040"/>
      <c r="I29" s="3056">
        <v>45</v>
      </c>
      <c r="J29" s="3056">
        <v>98.4</v>
      </c>
      <c r="K29" s="3056">
        <f t="shared" si="2"/>
        <v>2</v>
      </c>
    </row>
    <row r="30" spans="1:13">
      <c r="A30" s="3038" t="s">
        <v>2527</v>
      </c>
      <c r="B30" s="3039"/>
      <c r="C30" s="3039"/>
      <c r="D30" s="3039"/>
      <c r="E30" s="3039"/>
      <c r="F30" s="3039"/>
      <c r="G30" s="3040"/>
      <c r="I30" s="3056">
        <v>50</v>
      </c>
      <c r="J30" s="3056">
        <v>100</v>
      </c>
      <c r="K30" s="3056">
        <f t="shared" si="2"/>
        <v>1.5999999999999943</v>
      </c>
    </row>
    <row r="31" spans="1:13">
      <c r="A31" s="3038" t="s">
        <v>2528</v>
      </c>
      <c r="B31" s="3039"/>
      <c r="C31" s="3039"/>
      <c r="D31" s="3039"/>
      <c r="E31" s="3039"/>
      <c r="F31" s="3039"/>
      <c r="G31" s="3040"/>
      <c r="I31" s="3056" t="s">
        <v>2559</v>
      </c>
    </row>
    <row r="32" spans="1:13">
      <c r="A32" s="3038" t="s">
        <v>2529</v>
      </c>
      <c r="B32" s="3039"/>
      <c r="C32" s="3039"/>
      <c r="D32" s="3039"/>
      <c r="E32" s="3039"/>
      <c r="F32" s="3039"/>
      <c r="G32" s="3040"/>
    </row>
    <row r="33" spans="1:13">
      <c r="A33" s="3038" t="s">
        <v>2530</v>
      </c>
      <c r="B33" s="3039"/>
      <c r="C33" s="3039"/>
      <c r="D33" s="3039"/>
      <c r="E33" s="3039"/>
      <c r="F33" s="3039"/>
      <c r="G33" s="3040"/>
      <c r="I33" s="3056" t="s">
        <v>2558</v>
      </c>
      <c r="J33" s="3056" t="s">
        <v>2568</v>
      </c>
    </row>
    <row r="34" spans="1:13">
      <c r="A34" s="3038" t="s">
        <v>2531</v>
      </c>
      <c r="B34" s="3039"/>
      <c r="C34" s="3039"/>
      <c r="D34" s="3039"/>
      <c r="E34" s="3039"/>
      <c r="F34" s="3039"/>
      <c r="G34" s="3040"/>
      <c r="I34" s="3056">
        <v>5</v>
      </c>
      <c r="J34" s="3056">
        <v>55.1</v>
      </c>
    </row>
    <row r="35" spans="1:13">
      <c r="A35" s="3038" t="s">
        <v>2532</v>
      </c>
      <c r="B35" s="3039"/>
      <c r="C35" s="3039"/>
      <c r="D35" s="3039"/>
      <c r="E35" s="3039"/>
      <c r="F35" s="3039"/>
      <c r="G35" s="3040"/>
      <c r="I35" s="3056">
        <v>10</v>
      </c>
      <c r="J35" s="3056">
        <v>67</v>
      </c>
      <c r="K35" s="3056">
        <f>J35-J34</f>
        <v>11.899999999999999</v>
      </c>
    </row>
    <row r="36" spans="1:13">
      <c r="A36" s="3038" t="s">
        <v>2533</v>
      </c>
      <c r="B36" s="3039"/>
      <c r="C36" s="3039"/>
      <c r="D36" s="3039"/>
      <c r="E36" s="3039"/>
      <c r="F36" s="3039"/>
      <c r="G36" s="3040"/>
      <c r="I36" s="3056">
        <v>15</v>
      </c>
      <c r="J36" s="3056">
        <v>76.3</v>
      </c>
      <c r="K36" s="3056">
        <f t="shared" ref="K36:K41" si="3">J36-J35</f>
        <v>9.2999999999999972</v>
      </c>
      <c r="L36" s="3056" t="s">
        <v>2561</v>
      </c>
      <c r="M36" s="3056" t="s">
        <v>2562</v>
      </c>
    </row>
    <row r="37" spans="1:13">
      <c r="A37" s="3038" t="s">
        <v>2534</v>
      </c>
      <c r="B37" s="3039"/>
      <c r="C37" s="3039"/>
      <c r="D37" s="3039"/>
      <c r="E37" s="3039"/>
      <c r="F37" s="3039"/>
      <c r="G37" s="3040"/>
      <c r="I37" s="3056">
        <v>20</v>
      </c>
      <c r="J37" s="3056">
        <v>83.6</v>
      </c>
      <c r="K37" s="3056">
        <f t="shared" si="3"/>
        <v>7.2999999999999972</v>
      </c>
      <c r="L37" s="3056" t="s">
        <v>2560</v>
      </c>
      <c r="M37" s="3056">
        <v>10</v>
      </c>
    </row>
    <row r="38" spans="1:13">
      <c r="A38" s="3038" t="s">
        <v>2535</v>
      </c>
      <c r="B38" s="3039"/>
      <c r="C38" s="3039"/>
      <c r="D38" s="3039"/>
      <c r="E38" s="3039"/>
      <c r="F38" s="3039"/>
      <c r="G38" s="3040"/>
      <c r="I38" s="3056">
        <v>25</v>
      </c>
      <c r="J38" s="3056">
        <v>89.3</v>
      </c>
      <c r="K38" s="3056">
        <f t="shared" si="3"/>
        <v>5.7000000000000028</v>
      </c>
      <c r="L38" s="3056" t="s">
        <v>2564</v>
      </c>
      <c r="M38" s="3056">
        <v>8</v>
      </c>
    </row>
    <row r="39" spans="1:13">
      <c r="A39" s="3038"/>
      <c r="B39" s="3039"/>
      <c r="C39" s="3039"/>
      <c r="D39" s="3039"/>
      <c r="E39" s="3039"/>
      <c r="F39" s="3039"/>
      <c r="G39" s="3040"/>
      <c r="I39" s="3056">
        <v>30</v>
      </c>
      <c r="J39" s="3056">
        <v>93.8</v>
      </c>
      <c r="K39" s="3056">
        <f t="shared" si="3"/>
        <v>4.5</v>
      </c>
      <c r="L39" s="3056" t="s">
        <v>2565</v>
      </c>
      <c r="M39" s="3056">
        <v>6</v>
      </c>
    </row>
    <row r="40" spans="1:13">
      <c r="A40" s="3041" t="s">
        <v>2536</v>
      </c>
      <c r="B40" s="3042"/>
      <c r="C40" s="3042"/>
      <c r="D40" s="3042"/>
      <c r="E40" s="3042"/>
      <c r="F40" s="3042"/>
      <c r="G40" s="3043"/>
      <c r="I40" s="3056">
        <v>35</v>
      </c>
      <c r="J40" s="3056">
        <v>97.2</v>
      </c>
      <c r="K40" s="3056">
        <f t="shared" si="3"/>
        <v>3.4000000000000057</v>
      </c>
      <c r="L40" s="3056" t="s">
        <v>2566</v>
      </c>
      <c r="M40" s="3056">
        <v>3</v>
      </c>
    </row>
    <row r="41" spans="1:13">
      <c r="A41" s="3044" t="s">
        <v>2537</v>
      </c>
      <c r="B41" s="3045" t="s">
        <v>2538</v>
      </c>
      <c r="C41" s="3046" t="s">
        <v>2539</v>
      </c>
      <c r="D41" s="3046" t="s">
        <v>2540</v>
      </c>
      <c r="E41" s="3047"/>
      <c r="F41" s="3048"/>
      <c r="G41" s="3049"/>
      <c r="I41" s="3056">
        <v>40</v>
      </c>
      <c r="J41" s="3056">
        <v>100</v>
      </c>
      <c r="K41" s="3056">
        <f t="shared" si="3"/>
        <v>2.7999999999999972</v>
      </c>
    </row>
    <row r="42" spans="1:13">
      <c r="A42" s="3044" t="s">
        <v>2541</v>
      </c>
      <c r="B42" s="3045" t="s">
        <v>2542</v>
      </c>
      <c r="C42" s="3046" t="s">
        <v>2543</v>
      </c>
      <c r="D42" s="3050" t="s">
        <v>2544</v>
      </c>
      <c r="E42" s="3042" t="s">
        <v>2545</v>
      </c>
      <c r="F42" s="3042"/>
      <c r="G42" s="3043"/>
    </row>
    <row r="43" spans="1:13">
      <c r="A43" s="3044" t="s">
        <v>2546</v>
      </c>
      <c r="B43" s="3045" t="s">
        <v>2547</v>
      </c>
      <c r="C43" s="3046" t="s">
        <v>2548</v>
      </c>
      <c r="D43" s="3046" t="s">
        <v>2549</v>
      </c>
      <c r="E43" s="3047" t="s">
        <v>2550</v>
      </c>
      <c r="F43" s="3048"/>
      <c r="G43" s="3049"/>
      <c r="I43" s="3056" t="s">
        <v>2558</v>
      </c>
      <c r="J43" s="3056" t="s">
        <v>2569</v>
      </c>
    </row>
    <row r="44" spans="1:13">
      <c r="A44" s="3044" t="s">
        <v>2551</v>
      </c>
      <c r="B44" s="3045" t="s">
        <v>2552</v>
      </c>
      <c r="C44" s="3046" t="s">
        <v>2553</v>
      </c>
      <c r="D44" s="3050">
        <v>0.5</v>
      </c>
      <c r="E44" s="3047" t="s">
        <v>2554</v>
      </c>
      <c r="F44" s="3048"/>
      <c r="G44" s="3049"/>
      <c r="I44" s="3056">
        <v>30</v>
      </c>
      <c r="J44" s="3056">
        <v>81.7</v>
      </c>
    </row>
    <row r="45" spans="1:13" ht="14.25" thickBot="1">
      <c r="A45" s="3051" t="s">
        <v>2555</v>
      </c>
      <c r="B45" s="3052" t="s">
        <v>2542</v>
      </c>
      <c r="C45" s="3053" t="s">
        <v>2542</v>
      </c>
      <c r="D45" s="3053" t="s">
        <v>2556</v>
      </c>
      <c r="E45" s="3054" t="s">
        <v>2557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90" zoomScaleNormal="100" zoomScaleSheetLayoutView="90" workbookViewId="0">
      <selection activeCell="B37" sqref="B37: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829" t="str">
        <f>IF(B10="北京市","北京市",C10)&amp;F10&amp;IF(结果表!G1="在建","出让国有建设用地使用权及在建建筑物",IF(结果表!G1="土地","出让国有建设用地使用权",))&amp;B9&amp;"预评估"</f>
        <v>北京市房地产市场价值预评估</v>
      </c>
      <c r="C1" s="3830"/>
      <c r="D1" s="3830"/>
      <c r="E1" s="3830"/>
      <c r="F1" s="3830"/>
      <c r="G1" s="3830"/>
      <c r="H1" s="3830"/>
      <c r="I1" s="3831"/>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2167</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2168</v>
      </c>
      <c r="B3" s="3528">
        <v>45583</v>
      </c>
      <c r="C3" s="2374" t="s">
        <v>2169</v>
      </c>
      <c r="D3" s="2373">
        <f>B3</f>
        <v>45583</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2173</v>
      </c>
      <c r="B7" s="2387"/>
      <c r="C7" s="2385"/>
      <c r="D7" s="2386"/>
      <c r="E7" s="2660"/>
      <c r="F7" s="2662"/>
      <c r="G7" s="2662"/>
      <c r="H7" s="2662"/>
      <c r="I7" s="2662"/>
      <c r="J7" s="2439"/>
      <c r="K7" s="2614"/>
      <c r="L7" s="2611"/>
      <c r="M7" s="2611"/>
      <c r="N7" s="2439"/>
      <c r="O7" s="2450"/>
      <c r="P7" s="2439"/>
      <c r="Q7" s="2439"/>
      <c r="R7" s="2439"/>
    </row>
    <row r="8" spans="1:30">
      <c r="A8" s="2388" t="s">
        <v>2174</v>
      </c>
      <c r="B8" s="2389" t="s">
        <v>3506</v>
      </c>
      <c r="C8" s="2390"/>
      <c r="D8" s="3832" t="s">
        <v>2175</v>
      </c>
      <c r="E8" s="2391"/>
      <c r="F8" s="2392"/>
      <c r="G8" s="2661"/>
      <c r="H8" s="2661"/>
      <c r="I8" s="2661"/>
      <c r="J8" s="2439"/>
      <c r="K8" s="2612"/>
      <c r="L8" s="2611"/>
      <c r="M8" s="2611"/>
      <c r="N8" s="2439"/>
      <c r="O8" s="2450"/>
      <c r="P8" s="2439"/>
      <c r="Q8" s="2439"/>
      <c r="R8" s="2439"/>
    </row>
    <row r="9" spans="1:30" ht="13.5" thickBot="1">
      <c r="A9" s="2393" t="s">
        <v>2176</v>
      </c>
      <c r="B9" s="2394" t="s">
        <v>3507</v>
      </c>
      <c r="C9" s="2395"/>
      <c r="D9" s="3833"/>
      <c r="E9" s="2394"/>
      <c r="F9" s="2396"/>
      <c r="G9" s="2663"/>
      <c r="H9" s="2663"/>
      <c r="I9" s="2663"/>
      <c r="J9" s="2439"/>
      <c r="K9" s="2614"/>
      <c r="L9" s="2611"/>
      <c r="M9" s="2611"/>
      <c r="N9" s="2439"/>
      <c r="O9" s="2450"/>
      <c r="P9" s="2439"/>
      <c r="Q9" s="2439"/>
      <c r="R9" s="2439"/>
    </row>
    <row r="10" spans="1:30" ht="13.5" thickTop="1">
      <c r="A10" s="2397" t="s">
        <v>2177</v>
      </c>
      <c r="B10" s="2398" t="s">
        <v>3508</v>
      </c>
      <c r="C10" s="2399"/>
      <c r="D10" s="2382"/>
      <c r="E10" s="2400" t="s">
        <v>2178</v>
      </c>
      <c r="F10" s="2664"/>
      <c r="G10" s="2665"/>
      <c r="H10" s="2666"/>
      <c r="I10" s="2667"/>
      <c r="J10" s="2439"/>
      <c r="K10" s="2614"/>
      <c r="L10" s="2611"/>
      <c r="M10" s="2611"/>
      <c r="N10" s="2439"/>
      <c r="O10" s="2450"/>
      <c r="P10" s="2439"/>
      <c r="Q10" s="2439"/>
      <c r="R10" s="2439"/>
    </row>
    <row r="11" spans="1:30">
      <c r="A11" s="2401" t="s">
        <v>2179</v>
      </c>
      <c r="B11" s="2402" t="s">
        <v>3509</v>
      </c>
      <c r="C11" s="2403"/>
      <c r="D11" s="2404"/>
      <c r="E11" s="2370"/>
      <c r="F11" s="2370"/>
      <c r="G11" s="2370"/>
      <c r="H11" s="2370"/>
      <c r="I11" s="2370"/>
      <c r="J11" s="3059"/>
      <c r="K11" s="3058"/>
      <c r="L11" s="2611"/>
      <c r="M11" s="2611"/>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7" t="s">
        <v>2570</v>
      </c>
      <c r="J12" s="3060"/>
      <c r="K12" s="2611"/>
      <c r="L12" s="2611"/>
      <c r="M12" s="2439"/>
      <c r="N12" s="2450"/>
      <c r="O12" s="2439"/>
      <c r="P12" s="2439"/>
      <c r="Q12" s="2439"/>
      <c r="AD12" s="1745"/>
    </row>
    <row r="13" spans="1:30">
      <c r="A13" s="3421" t="s">
        <v>3861</v>
      </c>
      <c r="B13" s="2407" t="s">
        <v>2188</v>
      </c>
      <c r="C13" s="856"/>
      <c r="D13" s="856">
        <v>61939</v>
      </c>
      <c r="E13" s="856"/>
      <c r="F13" s="856"/>
      <c r="G13" s="856"/>
      <c r="H13" s="856"/>
      <c r="I13" s="856"/>
      <c r="J13" s="3060"/>
      <c r="K13" s="2611"/>
      <c r="L13" s="2611"/>
      <c r="M13" s="2439"/>
      <c r="N13" s="2450"/>
      <c r="O13" s="2439"/>
      <c r="P13" s="2439"/>
      <c r="Q13" s="2439"/>
      <c r="AD13" s="1745"/>
    </row>
    <row r="14" spans="1:30">
      <c r="A14" s="1081"/>
      <c r="B14" s="2407" t="s">
        <v>2189</v>
      </c>
      <c r="C14" s="2408"/>
      <c r="D14" s="2408">
        <v>40</v>
      </c>
      <c r="E14" s="2408"/>
      <c r="F14" s="2408"/>
      <c r="G14" s="2408"/>
      <c r="H14" s="2408"/>
      <c r="I14" s="2408">
        <v>50</v>
      </c>
      <c r="J14" s="3061"/>
      <c r="K14" s="2611"/>
      <c r="L14" s="2611"/>
      <c r="M14" s="2439"/>
      <c r="N14" s="2450"/>
      <c r="O14" s="2439"/>
      <c r="P14" s="2439"/>
      <c r="Q14" s="2439"/>
      <c r="AD14" s="1745"/>
    </row>
    <row r="15" spans="1:30">
      <c r="A15" s="320"/>
      <c r="B15" s="2409" t="s">
        <v>2190</v>
      </c>
      <c r="C15" s="2410" t="str">
        <f>IF(A13="出让",IF(C13="","",ROUNDDOWN(MIN((C13-$D$3)/365,C14),2)),C14)</f>
        <v/>
      </c>
      <c r="D15" s="2410">
        <f>IF(A13="出让",IF(D13="","",ROUNDDOWN(MIN((D13-$D$3)/365,D14),2)),D14)</f>
        <v>40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2191</v>
      </c>
      <c r="B16" s="3839"/>
      <c r="C16" s="3840"/>
      <c r="D16" s="3841"/>
      <c r="E16" s="2413" t="s">
        <v>2192</v>
      </c>
      <c r="F16" s="3842"/>
      <c r="G16" s="3843"/>
      <c r="H16" s="3843"/>
      <c r="I16" s="3844"/>
      <c r="J16" s="2439"/>
      <c r="K16" s="2615"/>
      <c r="L16" s="2451"/>
      <c r="M16" s="2451"/>
      <c r="N16" s="2507"/>
      <c r="O16" s="2451"/>
      <c r="P16" s="2507"/>
      <c r="Q16" s="2439"/>
      <c r="R16" s="2439"/>
    </row>
    <row r="17" spans="1:28">
      <c r="A17" s="313" t="s">
        <v>2193</v>
      </c>
      <c r="B17" s="302" t="s">
        <v>2194</v>
      </c>
      <c r="C17" s="8">
        <f>'数据-汇总表'!E3</f>
        <v>468.48</v>
      </c>
      <c r="D17" s="2322" t="s">
        <v>2195</v>
      </c>
      <c r="E17" s="3845" t="s">
        <v>2196</v>
      </c>
      <c r="F17" s="3846"/>
      <c r="G17" s="3846"/>
      <c r="H17" s="3846"/>
      <c r="I17" s="3847"/>
      <c r="J17" s="2439"/>
      <c r="K17" s="2616"/>
      <c r="L17" s="2451"/>
      <c r="M17" s="2451"/>
      <c r="N17" s="2507"/>
      <c r="O17" s="2451"/>
      <c r="P17" s="2507"/>
      <c r="Q17" s="2439"/>
      <c r="R17" s="2439"/>
      <c r="S17" s="2439"/>
      <c r="T17" s="2439"/>
      <c r="U17" s="2439"/>
      <c r="V17" s="2439"/>
    </row>
    <row r="18" spans="1:28" ht="24.75" thickBot="1">
      <c r="A18" s="2414" t="s">
        <v>2197</v>
      </c>
      <c r="B18" s="1090" t="s">
        <v>2198</v>
      </c>
      <c r="C18" s="2415">
        <f>'数据-汇总表'!D3</f>
        <v>0</v>
      </c>
      <c r="D18" s="1092" t="s">
        <v>2199</v>
      </c>
      <c r="E18" s="3848" t="s">
        <v>2200</v>
      </c>
      <c r="F18" s="3849"/>
      <c r="G18" s="3849"/>
      <c r="H18" s="3849"/>
      <c r="I18" s="3850"/>
      <c r="J18" s="2439"/>
      <c r="K18" s="2616"/>
      <c r="L18" s="2451"/>
      <c r="M18" s="2451"/>
      <c r="N18" s="2507"/>
      <c r="O18" s="2451"/>
      <c r="P18" s="2507"/>
      <c r="Q18" s="2439"/>
      <c r="R18" s="2439"/>
      <c r="S18" s="2439"/>
      <c r="T18" s="2439"/>
      <c r="U18" s="2439"/>
      <c r="V18" s="2439"/>
    </row>
    <row r="19" spans="1:28" ht="37.5" thickTop="1" thickBot="1">
      <c r="A19" s="327" t="s">
        <v>1055</v>
      </c>
      <c r="B19" s="307" t="s">
        <v>2201</v>
      </c>
      <c r="C19" s="1563"/>
      <c r="D19" s="1564" t="s">
        <v>2202</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2203</v>
      </c>
      <c r="B20" s="3835" t="s">
        <v>2204</v>
      </c>
      <c r="C20" s="3836"/>
      <c r="D20" s="3837" t="s">
        <v>2205</v>
      </c>
      <c r="E20" s="3838"/>
      <c r="F20" s="2645" t="s">
        <v>1056</v>
      </c>
      <c r="G20" s="2662"/>
      <c r="H20" s="2662"/>
      <c r="I20" s="2662"/>
      <c r="J20" s="2439"/>
      <c r="K20" s="3834"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6.25" thickBot="1">
      <c r="A21" s="2630"/>
      <c r="B21" s="2631" t="s">
        <v>4816</v>
      </c>
      <c r="C21" s="2632" t="s">
        <v>4817</v>
      </c>
      <c r="D21" s="1568"/>
      <c r="E21" s="2633"/>
      <c r="F21" s="2646"/>
      <c r="G21" s="2662"/>
      <c r="H21" s="2662"/>
      <c r="I21" s="2662"/>
      <c r="J21" s="2439"/>
      <c r="K21" s="38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13.5" thickBot="1">
      <c r="A22" s="2630"/>
      <c r="B22" s="2634"/>
      <c r="C22" s="2632"/>
      <c r="D22" s="2661"/>
      <c r="E22" s="2661"/>
      <c r="F22" s="2661"/>
      <c r="G22" s="2662"/>
      <c r="H22" s="2662"/>
      <c r="I22" s="2662"/>
      <c r="J22" s="2439"/>
      <c r="K22" s="38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2207</v>
      </c>
      <c r="B23" s="2500" t="s">
        <v>2208</v>
      </c>
      <c r="C23" s="2636"/>
      <c r="D23" s="2637" t="s">
        <v>2208</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1057</v>
      </c>
      <c r="C24" s="2639"/>
      <c r="D24" s="2635" t="s">
        <v>1057</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1058</v>
      </c>
      <c r="C25" s="2639"/>
      <c r="D25" s="2635" t="s">
        <v>1058</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1059</v>
      </c>
      <c r="C26" s="2643"/>
      <c r="D26" s="2641" t="s">
        <v>1059</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822" t="s">
        <v>2209</v>
      </c>
      <c r="B27" s="320" t="s">
        <v>2210</v>
      </c>
      <c r="C27" s="2416" t="s">
        <v>3510</v>
      </c>
      <c r="D27" s="2417"/>
      <c r="E27" s="2662"/>
      <c r="F27" s="2662"/>
      <c r="G27" s="2662"/>
      <c r="H27" s="2662"/>
      <c r="I27" s="2662"/>
      <c r="J27" s="2439"/>
      <c r="K27" s="2615"/>
      <c r="L27" s="2451"/>
      <c r="M27" s="2451"/>
      <c r="N27" s="2507"/>
      <c r="O27" s="2451"/>
      <c r="P27" s="2507"/>
      <c r="Q27" s="2439"/>
      <c r="R27" s="2439"/>
      <c r="S27" s="2439"/>
      <c r="T27" s="2439"/>
      <c r="U27" s="2439"/>
      <c r="V27" s="2439"/>
    </row>
    <row r="28" spans="1:28">
      <c r="A28" s="3822"/>
      <c r="B28" s="302" t="s">
        <v>2211</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822"/>
      <c r="B29" s="302" t="s">
        <v>2212</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823"/>
      <c r="B30" s="302" t="s">
        <v>2213</v>
      </c>
      <c r="C30" s="3824"/>
      <c r="D30" s="3825"/>
      <c r="E30" s="2662"/>
      <c r="F30" s="2662"/>
      <c r="G30" s="2662"/>
      <c r="H30" s="2662"/>
      <c r="I30" s="2662"/>
      <c r="J30" s="2439"/>
      <c r="K30" s="2614"/>
      <c r="L30" s="2611"/>
      <c r="M30" s="2611"/>
      <c r="N30" s="2439"/>
      <c r="O30" s="2450"/>
      <c r="P30" s="2439"/>
      <c r="Q30" s="2439"/>
      <c r="R30" s="2439"/>
      <c r="S30" s="2439"/>
      <c r="T30" s="2439"/>
      <c r="U30" s="2439"/>
      <c r="V30" s="2439"/>
    </row>
    <row r="31" spans="1:28">
      <c r="A31" s="3826" t="s">
        <v>2214</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827"/>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827"/>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2215</v>
      </c>
      <c r="B34" s="2026" t="s">
        <v>3511</v>
      </c>
      <c r="C34" s="2026" t="s">
        <v>3512</v>
      </c>
      <c r="D34" s="2026" t="s">
        <v>3513</v>
      </c>
      <c r="E34" s="2026" t="s">
        <v>3514</v>
      </c>
      <c r="F34" s="2026" t="s">
        <v>3515</v>
      </c>
      <c r="G34" s="2026"/>
      <c r="H34" s="2026"/>
      <c r="I34" s="2662"/>
      <c r="J34" s="2439"/>
      <c r="K34" s="2427">
        <f>COUNTIF(B34:H34,"——")</f>
        <v>0</v>
      </c>
      <c r="L34" s="323" t="s">
        <v>2216</v>
      </c>
      <c r="M34" s="323" t="s">
        <v>2217</v>
      </c>
      <c r="N34" s="323" t="s">
        <v>2218</v>
      </c>
      <c r="O34" s="323" t="s">
        <v>2219</v>
      </c>
      <c r="P34" s="323" t="s">
        <v>2220</v>
      </c>
      <c r="Q34" s="323" t="s">
        <v>2221</v>
      </c>
      <c r="R34" s="323" t="s">
        <v>2222</v>
      </c>
      <c r="S34" s="3821" t="s">
        <v>2223</v>
      </c>
      <c r="T34" s="2428" t="str">
        <f>NUMBERSTRING(7-K34,1)&amp;"通"</f>
        <v>七通</v>
      </c>
      <c r="U34" s="2439"/>
      <c r="V34" s="2439"/>
    </row>
    <row r="35" spans="1:30">
      <c r="A35" s="2429"/>
      <c r="B35" s="3828" t="s">
        <v>2224</v>
      </c>
      <c r="C35" s="3828"/>
      <c r="D35" s="3828"/>
      <c r="E35" s="3828"/>
      <c r="F35" s="664">
        <f>C10</f>
        <v>0</v>
      </c>
      <c r="G35" s="2662"/>
      <c r="H35" s="2662"/>
      <c r="I35" s="2662"/>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821"/>
      <c r="T35" s="329" t="str">
        <f>IF(T34="一通",L35,IF(T34="二通",M35,IF(T34="三通",N35,IF(T34="四通",O35,IF(T34="五通",P35,IF(T34="六通",Q35,R35))))))</f>
        <v>通路、通电、通讯、通上水、通下水、、</v>
      </c>
      <c r="U35" s="2439"/>
      <c r="V35" s="2439"/>
    </row>
    <row r="36" spans="1:30">
      <c r="A36" s="2430"/>
      <c r="B36" s="664" t="s">
        <v>2183</v>
      </c>
      <c r="C36" s="664" t="s">
        <v>2184</v>
      </c>
      <c r="D36" s="664" t="s">
        <v>2182</v>
      </c>
      <c r="E36" s="664" t="s">
        <v>2187</v>
      </c>
      <c r="F36" s="3063" t="s">
        <v>2573</v>
      </c>
      <c r="G36" s="2662"/>
      <c r="H36" s="2662"/>
      <c r="I36" s="2662"/>
      <c r="J36" s="2439"/>
      <c r="K36" s="2614"/>
      <c r="L36" s="2611"/>
      <c r="M36" s="2611"/>
      <c r="N36" s="2439"/>
      <c r="O36" s="2450"/>
      <c r="P36" s="2439"/>
      <c r="Q36" s="2439"/>
      <c r="R36" s="2439"/>
      <c r="S36" s="2439"/>
      <c r="T36" s="2439"/>
      <c r="U36" s="2439"/>
      <c r="V36" s="2439"/>
    </row>
    <row r="37" spans="1:30">
      <c r="A37" s="2628" t="s">
        <v>2225</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2226</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2227</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2228</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3" sqref="B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468.48</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468.48</v>
      </c>
      <c r="H5" s="13">
        <f t="shared" ref="H5:AT5" si="0">SUM(H13:H656)</f>
        <v>468.48</v>
      </c>
      <c r="I5" s="13">
        <f t="shared" si="0"/>
        <v>468.48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468.48</v>
      </c>
      <c r="BA5" s="15">
        <f t="shared" si="1"/>
        <v>468.48</v>
      </c>
      <c r="BB5" s="15">
        <f t="shared" si="1"/>
        <v>468.48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3516</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f>C13/I13</f>
        <v>0.67955942622950816</v>
      </c>
      <c r="C13" s="1051">
        <v>318.36</v>
      </c>
      <c r="D13" s="1625" t="s">
        <v>3517</v>
      </c>
      <c r="E13" s="13">
        <f>IF($C$3="是",ROUND($A$3*G13/$B$3,2),ROUND($A$3*(G13-AT13)/$B$3,2))</f>
        <v>0</v>
      </c>
      <c r="F13" s="29"/>
      <c r="G13" s="30">
        <f>H13+AC13+AT13</f>
        <v>468.48</v>
      </c>
      <c r="H13" s="17">
        <f>SUMIF(I$12:AB$12,"总值",I13:AB13)</f>
        <v>468.48</v>
      </c>
      <c r="I13" s="1626">
        <v>468.48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0.67955942622950816</v>
      </c>
      <c r="AX13" s="8">
        <f t="shared" si="6"/>
        <v>318.36</v>
      </c>
      <c r="AY13" s="1349">
        <f>ROUND($AY$6*AZ13/$AZ$5,2)</f>
        <v>0</v>
      </c>
      <c r="AZ13" s="13">
        <f>BA13+BL13</f>
        <v>468.48</v>
      </c>
      <c r="BA13" s="13">
        <f>SUM(BB13:BK13)</f>
        <v>468.48</v>
      </c>
      <c r="BB13" s="13">
        <f>IF($D13="是",I13-J13,0)</f>
        <v>468.48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860" t="s">
        <v>1129</v>
      </c>
      <c r="B2" s="3860"/>
      <c r="C2" s="3860"/>
      <c r="D2" s="796" t="s">
        <v>1105</v>
      </c>
      <c r="E2" s="1639" t="s">
        <v>1106</v>
      </c>
      <c r="F2" s="2657"/>
      <c r="G2" s="2648"/>
      <c r="H2" s="2649"/>
      <c r="I2" s="2325" t="s">
        <v>1130</v>
      </c>
      <c r="J2" s="2657"/>
      <c r="K2" s="2657"/>
      <c r="L2" s="2657"/>
      <c r="M2" s="2657"/>
      <c r="N2" s="2659"/>
      <c r="O2" s="2657"/>
      <c r="P2" s="2657"/>
    </row>
    <row r="3" spans="1:16" ht="15.75" thickBot="1">
      <c r="A3" s="3861" t="s">
        <v>1103</v>
      </c>
      <c r="B3" s="3861"/>
      <c r="C3" s="3861"/>
      <c r="D3" s="43">
        <f>'数据-基础表'!AY6</f>
        <v>0</v>
      </c>
      <c r="E3" s="43">
        <f>'数据-基础表'!AZ5</f>
        <v>468.48</v>
      </c>
      <c r="F3" s="2657"/>
      <c r="G3" s="1145"/>
      <c r="H3" s="1026" t="s">
        <v>1104</v>
      </c>
      <c r="I3" s="855" t="e">
        <f>ROUND('数据-基础表'!B3/'数据-基础表'!A3,2)</f>
        <v>#DIV/0!</v>
      </c>
      <c r="J3" s="2657"/>
      <c r="K3" s="2657"/>
      <c r="L3" s="2657"/>
      <c r="M3" s="2657"/>
      <c r="N3" s="2659"/>
      <c r="O3" s="2657"/>
      <c r="P3" s="2657"/>
    </row>
    <row r="4" spans="1:16" ht="15">
      <c r="A4" s="3862"/>
      <c r="B4" s="3863"/>
      <c r="C4" s="3864"/>
      <c r="D4" s="1641" t="s">
        <v>1105</v>
      </c>
      <c r="E4" s="1642" t="s">
        <v>1106</v>
      </c>
      <c r="F4" s="2657"/>
      <c r="G4" s="2650" t="s">
        <v>1131</v>
      </c>
      <c r="H4" s="1026" t="s">
        <v>1111</v>
      </c>
      <c r="I4" s="855" t="e">
        <f>ROUND(SUMIF('数据-基础表'!I9:AS9,"地上",'数据-基础表'!I5:AS5)/'数据-基础表'!A3,2)</f>
        <v>#DIV/0!</v>
      </c>
      <c r="J4" s="2657"/>
      <c r="K4" s="2657"/>
      <c r="L4" s="2657"/>
      <c r="M4" s="2657"/>
      <c r="N4" s="2659"/>
      <c r="O4" s="2657"/>
      <c r="P4" s="2657"/>
    </row>
    <row r="5" spans="1:16">
      <c r="A5" s="44" t="s">
        <v>1107</v>
      </c>
      <c r="B5" s="3865" t="s">
        <v>1108</v>
      </c>
      <c r="C5" s="3865"/>
      <c r="D5" s="45">
        <f>ROUND($D$3*E5/$E$3,2)</f>
        <v>0</v>
      </c>
      <c r="E5" s="46">
        <f>SUMIF('数据-基础表'!$11:$11,"住宅",'数据-基础表'!$5:$5)</f>
        <v>0</v>
      </c>
      <c r="F5" s="2657"/>
      <c r="G5" s="1145"/>
      <c r="H5" s="1026" t="s">
        <v>1104</v>
      </c>
      <c r="I5" s="855" t="e">
        <f>ROUND(E31/D31,2)</f>
        <v>#DIV/0!</v>
      </c>
      <c r="J5" s="2657"/>
      <c r="K5" s="2657"/>
      <c r="L5" s="2657"/>
      <c r="M5" s="2657"/>
      <c r="N5" s="2657"/>
      <c r="O5" s="2657"/>
      <c r="P5" s="2657"/>
    </row>
    <row r="6" spans="1:16" ht="15" thickBot="1">
      <c r="A6" s="1644"/>
      <c r="B6" s="3865" t="s">
        <v>1109</v>
      </c>
      <c r="C6" s="3865"/>
      <c r="D6" s="45">
        <f>ROUND($D$3*E6/$E$3,2)</f>
        <v>0</v>
      </c>
      <c r="E6" s="46">
        <f>E3-E5</f>
        <v>468.48</v>
      </c>
      <c r="F6" s="2657"/>
      <c r="G6" s="2651" t="s">
        <v>1110</v>
      </c>
      <c r="H6" s="1146" t="s">
        <v>1111</v>
      </c>
      <c r="I6" s="2652" t="e">
        <f>ROUND(F31/D31,2)</f>
        <v>#DIV/0!</v>
      </c>
      <c r="J6" s="2657"/>
      <c r="K6" s="2657"/>
      <c r="L6" s="2657"/>
      <c r="M6" s="2657"/>
      <c r="N6" s="2657"/>
      <c r="O6" s="2657"/>
      <c r="P6" s="2657"/>
    </row>
    <row r="7" spans="1:16" ht="15.75" thickBot="1">
      <c r="A7" s="3857"/>
      <c r="B7" s="3858"/>
      <c r="C7" s="3859"/>
      <c r="D7" s="1641" t="s">
        <v>1105</v>
      </c>
      <c r="E7" s="1645" t="s">
        <v>1112</v>
      </c>
      <c r="F7" s="2657"/>
      <c r="G7" s="2653" t="s">
        <v>1113</v>
      </c>
      <c r="H7" s="2654"/>
      <c r="I7" s="2655">
        <v>2.5</v>
      </c>
      <c r="J7" s="2657"/>
      <c r="K7" s="2657"/>
      <c r="L7" s="2657"/>
      <c r="M7" s="2657"/>
      <c r="N7" s="2657"/>
      <c r="O7" s="2657"/>
      <c r="P7" s="2657"/>
    </row>
    <row r="8" spans="1:16">
      <c r="A8" s="44" t="s">
        <v>1114</v>
      </c>
      <c r="B8" s="47" t="s">
        <v>1115</v>
      </c>
      <c r="C8" s="45" t="s">
        <v>1116</v>
      </c>
      <c r="D8" s="45">
        <f t="shared" ref="D8:D15" si="0">ROUND($D$3*E8/$E$3,2)</f>
        <v>0</v>
      </c>
      <c r="E8" s="48">
        <f>SUMIF('数据-基础表'!BB10:BK10,"地上",'数据-基础表'!BB5:BK5)</f>
        <v>468.48</v>
      </c>
      <c r="F8" s="2657"/>
      <c r="G8" s="2658"/>
      <c r="H8" s="2658"/>
      <c r="I8" s="2657"/>
      <c r="J8" s="2657"/>
      <c r="K8" s="2657"/>
      <c r="L8" s="2657"/>
      <c r="M8" s="2657"/>
      <c r="N8" s="2657"/>
      <c r="O8" s="2657"/>
      <c r="P8" s="2657"/>
    </row>
    <row r="9" spans="1:16">
      <c r="A9" s="1646"/>
      <c r="B9" s="1647"/>
      <c r="C9" s="45" t="s">
        <v>1117</v>
      </c>
      <c r="D9" s="45">
        <f t="shared" si="0"/>
        <v>0</v>
      </c>
      <c r="E9" s="49">
        <v>0</v>
      </c>
      <c r="F9" s="2657"/>
      <c r="G9" s="2658"/>
      <c r="H9" s="2658"/>
      <c r="I9" s="2657"/>
      <c r="J9" s="2657"/>
      <c r="K9" s="2657"/>
      <c r="L9" s="2657"/>
      <c r="M9" s="2657"/>
      <c r="N9" s="2657"/>
      <c r="O9" s="2657"/>
      <c r="P9" s="2657"/>
    </row>
    <row r="10" spans="1:16">
      <c r="A10" s="1646"/>
      <c r="B10" s="1647"/>
      <c r="C10" s="45" t="s">
        <v>1126</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1118</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1119</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1120</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1132</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1127</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1121</v>
      </c>
      <c r="D16" s="47">
        <f>SUM(D8:D15)</f>
        <v>0</v>
      </c>
      <c r="E16" s="50">
        <f>SUM(E8:E15)</f>
        <v>468.48</v>
      </c>
      <c r="F16" s="2657"/>
      <c r="G16" s="2658"/>
      <c r="H16" s="1648" t="s">
        <v>1133</v>
      </c>
      <c r="I16" s="1649"/>
      <c r="J16" s="1139"/>
      <c r="K16" s="3854" t="s">
        <v>1133</v>
      </c>
      <c r="L16" s="3855"/>
      <c r="M16" s="3855"/>
      <c r="N16" s="3855"/>
      <c r="O16" s="3855"/>
      <c r="P16" s="3856"/>
    </row>
    <row r="17" spans="1:19" ht="15">
      <c r="A17" s="1650" t="s">
        <v>1134</v>
      </c>
      <c r="B17" s="1651" t="s">
        <v>1135</v>
      </c>
      <c r="C17" s="1652" t="s">
        <v>1136</v>
      </c>
      <c r="D17" s="1653" t="s">
        <v>1124</v>
      </c>
      <c r="E17" s="1654" t="s">
        <v>1125</v>
      </c>
      <c r="F17" s="1655"/>
      <c r="G17" s="1656"/>
      <c r="H17" s="1657" t="s">
        <v>1137</v>
      </c>
      <c r="I17" s="1658" t="s">
        <v>1122</v>
      </c>
      <c r="J17" s="1139"/>
      <c r="K17" s="3851" t="s">
        <v>1138</v>
      </c>
      <c r="L17" s="3852"/>
      <c r="M17" s="3853"/>
      <c r="N17" s="3851" t="s">
        <v>1139</v>
      </c>
      <c r="O17" s="3852"/>
      <c r="P17" s="3853"/>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5" t="s">
        <v>3518</v>
      </c>
      <c r="D19" s="45">
        <f>ROUND($D$3*E19/$E$3,2)</f>
        <v>0</v>
      </c>
      <c r="E19" s="53">
        <f t="shared" ref="E19:E26" si="1">SUM(F19:G19)</f>
        <v>468.48</v>
      </c>
      <c r="F19" s="2793">
        <f>'数据-基础表'!I5</f>
        <v>468.48</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468.48</v>
      </c>
    </row>
    <row r="20" spans="1:19">
      <c r="A20" s="1670"/>
      <c r="B20" s="47" t="s">
        <v>1151</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468.48</v>
      </c>
      <c r="F27" s="1140">
        <f>IF(SUM(F19:F26)=E8,SUM(F19:F26),"地上面积有误")</f>
        <v>468.48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468.48</v>
      </c>
    </row>
    <row r="28" spans="1:19">
      <c r="A28" s="1670"/>
      <c r="B28" s="47" t="s">
        <v>1153</v>
      </c>
      <c r="C28" s="1038" t="s">
        <v>1154</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1153</v>
      </c>
      <c r="C29" s="1674" t="s">
        <v>1155</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1152</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1156</v>
      </c>
      <c r="D31" s="676">
        <f>D27+D30</f>
        <v>0</v>
      </c>
      <c r="E31" s="676">
        <f>E27+E30</f>
        <v>468.48</v>
      </c>
      <c r="F31" s="677">
        <f>F27+F30</f>
        <v>468.48</v>
      </c>
      <c r="G31" s="678">
        <f>G27+G30</f>
        <v>0</v>
      </c>
      <c r="H31" s="2657"/>
      <c r="I31" s="2657"/>
      <c r="J31" s="2657"/>
      <c r="K31" s="2657"/>
      <c r="L31" s="2657"/>
      <c r="M31" s="2657"/>
      <c r="N31" s="2657"/>
      <c r="O31" s="2657"/>
      <c r="P31" s="2657"/>
    </row>
    <row r="32" spans="1:19">
      <c r="A32" s="1643"/>
      <c r="B32" s="1643" t="s">
        <v>1157</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18"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1159</v>
      </c>
      <c r="B2" s="1045">
        <f>项目基本情况!D3</f>
        <v>45583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6"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3521</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v>
      </c>
      <c r="B6" s="1713" t="str">
        <f>IF(A6=0,"","经营性")</f>
        <v>经营性</v>
      </c>
      <c r="C6" s="1714" t="s">
        <v>673</v>
      </c>
      <c r="D6" s="858">
        <f>SUMIF(项目基本情况!C$12:I$12,C6,项目基本情况!C$14:I$14)</f>
        <v>40</v>
      </c>
      <c r="E6" s="857">
        <f>IF(B6="","",SUMIF(项目基本情况!C$12:I$12,C6,项目基本情况!C$13:I$13))</f>
        <v>61939</v>
      </c>
      <c r="F6" s="64">
        <f>SUMIF(项目基本情况!C$12:I$12,C6,项目基本情况!C$15:I$15)</f>
        <v>40</v>
      </c>
      <c r="G6" s="65">
        <f>IF(ISERROR(ROUND(POWER(1+H6,D6-F6)*(POWER(1+H6,F6)-1)/(POWER(1+H6,D6)-1),3)),0,ROUND(POWER(1+H6,D6-F6)*(POWER(1+H6,F6)-1)/(POWER(1+H6,D6)-1),3))</f>
        <v>1</v>
      </c>
      <c r="H6" s="732">
        <v>0.05</v>
      </c>
      <c r="I6" s="732">
        <v>0.06</v>
      </c>
      <c r="J6" s="66">
        <v>7.0000000000000007E-2</v>
      </c>
      <c r="K6" s="1030">
        <f>SUMIF('数据-汇总表'!C$19:C$33,A6,'数据-汇总表'!E$19:E$33)</f>
        <v>468.48</v>
      </c>
      <c r="L6" s="733">
        <v>4500</v>
      </c>
      <c r="M6" s="67">
        <f t="shared" ref="M6:M14" si="0">ROUND(K6*L6/10000,0)</f>
        <v>211</v>
      </c>
      <c r="N6" s="731">
        <f>N20</f>
        <v>0.7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6">
        <v>15</v>
      </c>
      <c r="V6" s="70">
        <v>2.5000000000000001E-2</v>
      </c>
      <c r="W6" s="70">
        <v>0.05</v>
      </c>
      <c r="X6" s="1040"/>
      <c r="Y6" s="71">
        <f>N6</f>
        <v>0.7</v>
      </c>
      <c r="Z6" s="72"/>
      <c r="AA6" s="66"/>
      <c r="AB6" s="66"/>
      <c r="AC6" s="1040"/>
      <c r="AD6" s="73"/>
      <c r="AE6" s="1041">
        <f ca="1">IF(AN6="",0,SUMIF(INDIRECT("'"&amp;AN6&amp;"'"&amp;"!E:E"),$AE$5,INDIRECT("'"&amp;AN6&amp;"'"&amp;"!F:F")))</f>
        <v>40</v>
      </c>
      <c r="AF6" s="1348"/>
      <c r="AG6" s="138">
        <f>IF(AF6="",0,AE6-AF6)</f>
        <v>0</v>
      </c>
      <c r="AH6" s="74"/>
      <c r="AI6" s="76">
        <v>365</v>
      </c>
      <c r="AJ6" s="77"/>
      <c r="AK6" s="78">
        <v>1.4999999999999999E-2</v>
      </c>
      <c r="AL6" s="79">
        <v>1.5E-3</v>
      </c>
      <c r="AM6" s="80">
        <v>0.01</v>
      </c>
      <c r="AN6" s="1715" t="s">
        <v>3566</v>
      </c>
      <c r="AO6" s="52">
        <f ca="1">SUMIF(INDIRECT("'"&amp;AN6&amp;"'"&amp;"!A:A"),"总价",INDIRECT("'"&amp;AN6&amp;"'"&amp;"!B:B"))</f>
        <v>4130.8548000000001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1</v>
      </c>
      <c r="H16" s="90">
        <f>ROUND(SUMPRODUCT(H6:H13,K6:K13)/SUMPRODUCT((H6:H13&gt;0)*(K6:K13)),3)</f>
        <v>0.05</v>
      </c>
      <c r="I16" s="91"/>
      <c r="J16" s="91"/>
      <c r="K16" s="92">
        <f>SUM(K6:K15)</f>
        <v>468.48</v>
      </c>
      <c r="L16" s="93">
        <f>ROUND(M16*10000/SUM(K6:K14),0)</f>
        <v>4504</v>
      </c>
      <c r="M16" s="93">
        <f>SUM(M6:M14)</f>
        <v>211</v>
      </c>
      <c r="N16" s="94">
        <f>ROUND(SUMPRODUCT(M6:M14,N6:N14)/M16,3)</f>
        <v>0.7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3529" t="s">
        <v>3519</v>
      </c>
      <c r="N17" s="2669">
        <v>1999</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1208</v>
      </c>
      <c r="B18" s="2683"/>
      <c r="C18" s="2671"/>
      <c r="D18" s="2674"/>
      <c r="E18" s="2671"/>
      <c r="F18" s="2671"/>
      <c r="G18" s="2671"/>
      <c r="H18" s="2671"/>
      <c r="I18" s="2671"/>
      <c r="J18" s="2671"/>
      <c r="K18" s="2670"/>
      <c r="L18" s="2670"/>
      <c r="M18" s="3529" t="s">
        <v>3520</v>
      </c>
      <c r="N18" s="2669">
        <f>ROUND(1-(2023-N17)/60,2)</f>
        <v>0.6</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1209</v>
      </c>
      <c r="B19" s="103">
        <v>0</v>
      </c>
      <c r="C19" s="2797" t="s">
        <v>2296</v>
      </c>
      <c r="D19" s="2674"/>
      <c r="E19" s="2671"/>
      <c r="F19" s="2671"/>
      <c r="G19" s="2671"/>
      <c r="H19" s="2671"/>
      <c r="I19" s="2671"/>
      <c r="J19" s="2671"/>
      <c r="K19" s="2670"/>
      <c r="L19" s="2670"/>
      <c r="M19" s="3529" t="s">
        <v>3567</v>
      </c>
      <c r="N19" s="3543">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1210</v>
      </c>
      <c r="B20" s="104">
        <v>2</v>
      </c>
      <c r="C20" s="2798" t="s">
        <v>2294</v>
      </c>
      <c r="D20" s="2674"/>
      <c r="E20" s="2671"/>
      <c r="F20" s="2671"/>
      <c r="G20" s="2671"/>
      <c r="H20" s="2671"/>
      <c r="I20" s="2671"/>
      <c r="J20" s="2671"/>
      <c r="K20" s="2670"/>
      <c r="L20" s="2670"/>
      <c r="M20" s="2669"/>
      <c r="N20" s="2669">
        <f>(N19+N18)/2</f>
        <v>0.7</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1211</v>
      </c>
      <c r="B21" s="104">
        <f>B20</f>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1212</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1213</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1214</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1215</v>
      </c>
      <c r="B26" s="1726" t="s">
        <v>1216</v>
      </c>
      <c r="C26" s="2675" t="s">
        <v>1217</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1218</v>
      </c>
      <c r="B27" s="107">
        <v>160</v>
      </c>
      <c r="C27" s="2799" t="s">
        <v>2298</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 (元)'!C10/10000</f>
        <v>9.3696000000000002</v>
      </c>
      <c r="C29" s="2800" t="s">
        <v>2285</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1" t="s">
        <v>2286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1" t="s">
        <v>2287</v>
      </c>
      <c r="D34" s="2682" t="s">
        <v>2295</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801" t="s">
        <v>2288</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1" t="s">
        <v>2289</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1228</v>
      </c>
      <c r="B37" s="115">
        <v>0.02</v>
      </c>
      <c r="C37" s="2801" t="s">
        <v>2290</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1229</v>
      </c>
      <c r="B38" s="113">
        <v>0.02</v>
      </c>
      <c r="C38" s="2801" t="s">
        <v>2290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3568</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1231</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1233</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1234</v>
      </c>
      <c r="B44" s="119">
        <v>7.0000000000000007E-2</v>
      </c>
      <c r="C44" s="2801" t="s">
        <v>2299</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1235</v>
      </c>
      <c r="B45" s="117">
        <v>0.03</v>
      </c>
      <c r="C45" s="2800" t="s">
        <v>2291</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1236</v>
      </c>
      <c r="B46" s="117">
        <v>0.02</v>
      </c>
      <c r="C46" s="2800" t="s">
        <v>2292</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1237</v>
      </c>
      <c r="B47" s="120">
        <v>0</v>
      </c>
      <c r="C47" s="2803" t="s">
        <v>2300</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1238</v>
      </c>
      <c r="B48" s="121">
        <v>0.03</v>
      </c>
      <c r="C48" s="2800" t="s">
        <v>2291</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1239</v>
      </c>
      <c r="B49" s="117">
        <v>5.0000000000000001E-4</v>
      </c>
      <c r="C49" s="2800" t="s">
        <v>2293</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1240</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1241</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1242</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1243</v>
      </c>
      <c r="B53" s="1738"/>
      <c r="C53" s="2659" t="s">
        <v>1244</v>
      </c>
      <c r="D53" s="2802" t="s">
        <v>2297</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1245</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1246</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1247</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1248</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1249</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1250</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866" t="s">
        <v>2277</v>
      </c>
      <c r="B1" s="3867"/>
      <c r="C1" s="3867"/>
      <c r="D1" s="3867"/>
      <c r="E1" s="3867"/>
      <c r="F1" s="3867"/>
      <c r="G1" s="386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2273</v>
      </c>
      <c r="D2" s="2461"/>
      <c r="E2" s="2458"/>
      <c r="F2" s="2462"/>
      <c r="G2" s="2460" t="s">
        <v>2274</v>
      </c>
      <c r="H2" s="799"/>
      <c r="I2" s="799"/>
      <c r="J2" s="799"/>
      <c r="K2" s="799"/>
      <c r="L2" s="799"/>
      <c r="M2" s="799"/>
      <c r="N2" s="799"/>
      <c r="O2" s="799"/>
      <c r="P2" s="799"/>
      <c r="Q2" s="799"/>
      <c r="R2" s="799"/>
    </row>
    <row r="3" spans="1:29" ht="25.5">
      <c r="A3" s="2441" t="s">
        <v>2275</v>
      </c>
      <c r="B3" s="2463" t="s">
        <v>2247</v>
      </c>
      <c r="C3" s="3530" t="s">
        <v>4818</v>
      </c>
      <c r="D3" s="2464"/>
      <c r="E3" s="2442" t="s">
        <v>2275</v>
      </c>
      <c r="F3" s="2465" t="s">
        <v>2248</v>
      </c>
      <c r="G3" s="2466" t="s">
        <v>2276</v>
      </c>
      <c r="H3" s="799"/>
      <c r="I3" s="799"/>
      <c r="J3" s="799"/>
      <c r="K3" s="799"/>
      <c r="L3" s="799"/>
      <c r="M3" s="799"/>
      <c r="N3" s="799"/>
      <c r="O3" s="799"/>
      <c r="P3" s="799"/>
      <c r="Q3" s="799"/>
      <c r="R3" s="799"/>
    </row>
    <row r="4" spans="1:29" ht="36">
      <c r="A4" s="2442"/>
      <c r="B4" s="323" t="s">
        <v>2249</v>
      </c>
      <c r="C4" s="3531" t="s">
        <v>4819</v>
      </c>
      <c r="D4" s="2464"/>
      <c r="E4" s="2467"/>
      <c r="F4" s="1373" t="s">
        <v>2250</v>
      </c>
      <c r="G4" s="2468" t="s">
        <v>2251</v>
      </c>
      <c r="H4" s="799"/>
      <c r="I4" s="799"/>
      <c r="J4" s="799"/>
      <c r="K4" s="799"/>
      <c r="L4" s="799"/>
      <c r="M4" s="799"/>
      <c r="N4" s="799"/>
      <c r="O4" s="799"/>
      <c r="P4" s="799"/>
      <c r="Q4" s="799"/>
      <c r="R4" s="799"/>
    </row>
    <row r="5" spans="1:29" ht="24">
      <c r="A5" s="2442"/>
      <c r="B5" s="323" t="s">
        <v>2252</v>
      </c>
      <c r="C5" s="3531" t="s">
        <v>3522</v>
      </c>
      <c r="D5" s="2464"/>
      <c r="E5" s="2467"/>
      <c r="F5" s="323" t="s">
        <v>2253</v>
      </c>
      <c r="G5" s="2468" t="s">
        <v>2254</v>
      </c>
      <c r="H5" s="799"/>
      <c r="I5" s="799"/>
      <c r="J5" s="799"/>
      <c r="K5" s="799"/>
      <c r="L5" s="799"/>
      <c r="M5" s="799"/>
      <c r="N5" s="799"/>
      <c r="O5" s="799"/>
      <c r="P5" s="799"/>
      <c r="Q5" s="799"/>
      <c r="R5" s="799"/>
    </row>
    <row r="6" spans="1:29">
      <c r="A6" s="2442"/>
      <c r="B6" s="323" t="s">
        <v>2255</v>
      </c>
      <c r="C6" s="3532" t="s">
        <v>3522</v>
      </c>
      <c r="D6" s="2464"/>
      <c r="E6" s="2467"/>
      <c r="F6" s="323" t="s">
        <v>2256</v>
      </c>
      <c r="G6" s="2468" t="s">
        <v>2257</v>
      </c>
      <c r="H6" s="799"/>
      <c r="I6" s="799"/>
      <c r="J6" s="799"/>
      <c r="K6" s="799"/>
      <c r="L6" s="799"/>
      <c r="M6" s="799"/>
      <c r="N6" s="799"/>
      <c r="O6" s="799"/>
      <c r="P6" s="799"/>
      <c r="Q6" s="799"/>
      <c r="R6" s="799"/>
    </row>
    <row r="7" spans="1:29" ht="24.75" thickBot="1">
      <c r="A7" s="2442"/>
      <c r="B7" s="323" t="s">
        <v>2253</v>
      </c>
      <c r="C7" s="3532" t="s">
        <v>4819</v>
      </c>
      <c r="D7" s="2469"/>
      <c r="E7" s="2470"/>
      <c r="F7" s="2471" t="s">
        <v>2258</v>
      </c>
      <c r="G7" s="2472" t="s">
        <v>2259</v>
      </c>
      <c r="H7" s="799"/>
      <c r="I7" s="799"/>
      <c r="J7" s="799"/>
      <c r="K7" s="799"/>
      <c r="L7" s="799"/>
      <c r="M7" s="799"/>
      <c r="N7" s="799"/>
      <c r="O7" s="799"/>
      <c r="P7" s="799"/>
      <c r="Q7" s="799"/>
      <c r="R7" s="799"/>
    </row>
    <row r="8" spans="1:29">
      <c r="A8" s="2442"/>
      <c r="B8" s="323" t="s">
        <v>2256</v>
      </c>
      <c r="C8" s="3532" t="s">
        <v>3523</v>
      </c>
      <c r="D8" s="2469"/>
      <c r="E8" s="2469"/>
      <c r="F8" s="2473"/>
      <c r="G8" s="2473"/>
      <c r="H8" s="799"/>
      <c r="I8" s="799"/>
      <c r="J8" s="799"/>
      <c r="K8" s="799"/>
      <c r="L8" s="799"/>
      <c r="M8" s="799"/>
      <c r="N8" s="799"/>
      <c r="O8" s="799"/>
      <c r="P8" s="799"/>
      <c r="Q8" s="799"/>
      <c r="R8" s="799"/>
    </row>
    <row r="9" spans="1:29">
      <c r="A9" s="2442"/>
      <c r="B9" s="323" t="s">
        <v>2260</v>
      </c>
      <c r="C9" s="3531" t="s">
        <v>4821</v>
      </c>
      <c r="D9" s="2464"/>
      <c r="E9" s="2469"/>
      <c r="F9" s="2473"/>
      <c r="G9" s="2473"/>
      <c r="H9" s="799"/>
      <c r="I9" s="799"/>
      <c r="J9" s="799"/>
      <c r="K9" s="799"/>
      <c r="L9" s="799"/>
      <c r="M9" s="799"/>
      <c r="N9" s="799"/>
      <c r="O9" s="799"/>
      <c r="P9" s="799"/>
      <c r="Q9" s="799"/>
      <c r="R9" s="799"/>
    </row>
    <row r="10" spans="1:29" s="2479" customFormat="1" ht="15" thickBot="1">
      <c r="A10" s="2443"/>
      <c r="B10" s="2474" t="s">
        <v>2261</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2278</v>
      </c>
      <c r="B13" s="2482"/>
      <c r="C13" s="2482"/>
      <c r="D13" s="2480"/>
      <c r="E13" s="2482"/>
      <c r="F13" s="2482"/>
      <c r="G13" s="2482"/>
    </row>
    <row r="14" spans="1:29" ht="15" thickBot="1">
      <c r="A14" s="2492"/>
      <c r="B14" s="2492"/>
      <c r="C14" s="2493" t="s">
        <v>2262</v>
      </c>
      <c r="D14" s="2464"/>
      <c r="E14" s="2494"/>
      <c r="F14" s="2494"/>
      <c r="G14" s="2460" t="s">
        <v>2263</v>
      </c>
    </row>
    <row r="15" spans="1:29" ht="25.5">
      <c r="A15" s="2444" t="s">
        <v>2264</v>
      </c>
      <c r="B15" s="2495" t="s">
        <v>2247</v>
      </c>
      <c r="C15" s="2496" t="str">
        <f>C3</f>
        <v>一般</v>
      </c>
      <c r="D15" s="2464"/>
      <c r="E15" s="2445" t="s">
        <v>2265</v>
      </c>
      <c r="F15" s="2495" t="s">
        <v>2266</v>
      </c>
      <c r="G15" s="2497" t="str">
        <f>G3</f>
        <v>估价对象位于XX开发区，园区建设成熟度XX，产业集聚程度XX</v>
      </c>
    </row>
    <row r="16" spans="1:29" ht="38.25">
      <c r="A16" s="2446"/>
      <c r="B16" s="2498" t="s">
        <v>2249</v>
      </c>
      <c r="C16" s="2499" t="str">
        <f>C4</f>
        <v>一般</v>
      </c>
      <c r="D16" s="2464"/>
      <c r="E16" s="2447"/>
      <c r="F16" s="2500" t="s">
        <v>2250</v>
      </c>
      <c r="G16" s="2501" t="str">
        <f>G4</f>
        <v>估价对象周边道路状况、公共交通通达情况、停车便捷程度，综合评价交通便捷度较好</v>
      </c>
    </row>
    <row r="17" spans="1:18">
      <c r="A17" s="2446"/>
      <c r="B17" s="2498" t="s">
        <v>2252</v>
      </c>
      <c r="C17" s="2499" t="str">
        <f>C5</f>
        <v>较好</v>
      </c>
      <c r="D17" s="2469"/>
      <c r="E17" s="2447"/>
      <c r="F17" s="2500" t="s">
        <v>2267</v>
      </c>
      <c r="G17" s="2502"/>
    </row>
    <row r="18" spans="1:18" ht="25.5">
      <c r="A18" s="2446"/>
      <c r="B18" s="2500" t="s">
        <v>2255</v>
      </c>
      <c r="C18" s="2501" t="str">
        <f>C6</f>
        <v>较好</v>
      </c>
      <c r="D18" s="2469"/>
      <c r="E18" s="2447"/>
      <c r="F18" s="2500" t="s">
        <v>2258</v>
      </c>
      <c r="G18" s="2501" t="str">
        <f>G7</f>
        <v>该园区内是否有污染型企业，绿化情况，卫生条件，整体环境状况判断</v>
      </c>
    </row>
    <row r="19" spans="1:18" ht="25.5">
      <c r="A19" s="2446"/>
      <c r="B19" s="2500" t="s">
        <v>2268</v>
      </c>
      <c r="C19" s="2502"/>
      <c r="D19" s="2464"/>
      <c r="E19" s="2447"/>
      <c r="F19" s="323" t="s">
        <v>2253</v>
      </c>
      <c r="G19" s="2501" t="str">
        <f>G5</f>
        <v>估价对象所在区域公共配套设施齐备情况</v>
      </c>
    </row>
    <row r="20" spans="1:18">
      <c r="A20" s="2446"/>
      <c r="B20" s="2500" t="s">
        <v>2269</v>
      </c>
      <c r="C20" s="2499" t="str">
        <f>C9</f>
        <v>一般</v>
      </c>
      <c r="D20" s="2469"/>
      <c r="E20" s="2447"/>
      <c r="F20" s="323" t="s">
        <v>2256</v>
      </c>
      <c r="G20" s="2501" t="str">
        <f>G6</f>
        <v>估价对象所在区域基础设施水平</v>
      </c>
    </row>
    <row r="21" spans="1:18">
      <c r="A21" s="2446"/>
      <c r="B21" s="323" t="s">
        <v>2253</v>
      </c>
      <c r="C21" s="2501" t="str">
        <f>C7</f>
        <v>一般</v>
      </c>
      <c r="D21" s="2464"/>
      <c r="E21" s="2447"/>
      <c r="F21" s="2500" t="s">
        <v>2270</v>
      </c>
      <c r="G21" s="2503"/>
    </row>
    <row r="22" spans="1:18" ht="13.5" customHeight="1">
      <c r="A22" s="2446"/>
      <c r="B22" s="323" t="s">
        <v>2256</v>
      </c>
      <c r="C22" s="2501" t="str">
        <f>C8</f>
        <v>七通</v>
      </c>
      <c r="D22" s="2464"/>
      <c r="E22" s="2447"/>
      <c r="F22" s="2500" t="s">
        <v>2261</v>
      </c>
      <c r="G22" s="2502"/>
    </row>
    <row r="23" spans="1:18" s="799" customFormat="1" ht="15" thickBot="1">
      <c r="A23" s="2446"/>
      <c r="B23" s="2500" t="s">
        <v>2270</v>
      </c>
      <c r="C23" s="2503"/>
      <c r="D23" s="1741"/>
      <c r="E23" s="2448"/>
      <c r="F23" s="2504" t="s">
        <v>2271</v>
      </c>
      <c r="G23" s="2505"/>
      <c r="H23" s="2489"/>
      <c r="I23" s="2490"/>
      <c r="J23" s="2489"/>
      <c r="K23" s="2489"/>
      <c r="L23" s="2490"/>
      <c r="M23" s="2489"/>
      <c r="N23" s="2489"/>
      <c r="O23" s="2490"/>
      <c r="P23" s="2489"/>
      <c r="Q23" s="2489"/>
      <c r="R23" s="2491"/>
    </row>
    <row r="24" spans="1:18" s="799" customFormat="1" ht="15" thickBot="1">
      <c r="A24" s="2449"/>
      <c r="B24" s="2504" t="s">
        <v>2272</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468.48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45583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1946</v>
      </c>
      <c r="C5" s="2510" t="e">
        <f ca="1">IF(B5=D14,结果表!H102,ROUND(B5*10000/$B$1,0))</f>
        <v>#REF!</v>
      </c>
      <c r="D5" s="2510" t="e">
        <f>ROUND(B5*10000/$B$2,0)</f>
        <v>#DIV/0!</v>
      </c>
      <c r="E5" s="2684"/>
      <c r="F5" s="2685"/>
      <c r="G5" s="2685"/>
      <c r="H5" s="2686"/>
      <c r="I5" s="2686"/>
      <c r="J5" s="2686"/>
      <c r="K5" s="2686"/>
    </row>
    <row r="6" spans="1:11" ht="16.5">
      <c r="A6" s="2510" t="s">
        <v>656</v>
      </c>
      <c r="B6" s="2510">
        <f>SUM(G14:G23)</f>
        <v>1946</v>
      </c>
      <c r="C6" s="2510" t="e">
        <f ca="1">IF(B6=G14,结果表!H108,ROUND(B6*10000/$B$1,0))</f>
        <v>#REF!</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1946</v>
      </c>
      <c r="C10" s="2510" t="s">
        <v>3352</v>
      </c>
      <c r="D10" s="2510" t="s">
        <v>3353</v>
      </c>
      <c r="E10" s="3439">
        <f>'收益法倒推-商业'!D38</f>
        <v>11.95</v>
      </c>
      <c r="F10" s="3442" t="s">
        <v>3354</v>
      </c>
      <c r="G10" s="3542">
        <v>0.105</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468.48</v>
      </c>
      <c r="C14" s="2516"/>
      <c r="D14" s="2516">
        <f>B10</f>
        <v>1946</v>
      </c>
      <c r="E14" s="2516">
        <f>ROUND(D14*10000/B14,0)</f>
        <v>41539</v>
      </c>
      <c r="F14" s="2516" t="e">
        <f>ROUND(D14*10000/C14,0)</f>
        <v>#DIV/0!</v>
      </c>
      <c r="G14" s="2516">
        <f>D14</f>
        <v>1946</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3499</v>
      </c>
      <c r="D1" s="1747"/>
      <c r="E1" s="1747"/>
      <c r="F1" s="1749" t="s">
        <v>1261</v>
      </c>
      <c r="G1" s="1561" t="s">
        <v>3561</v>
      </c>
      <c r="H1" s="1750" t="str">
        <f>IF(G1="现房","——","估价对象范围")</f>
        <v>——</v>
      </c>
      <c r="I1" s="1751" t="s">
        <v>3562</v>
      </c>
    </row>
    <row r="2" spans="1:12" ht="21.75" customHeight="1" thickBot="1">
      <c r="A2" s="3902" t="str">
        <f>项目基本情况!S2</f>
        <v>北京市房地产</v>
      </c>
      <c r="B2" s="3903"/>
      <c r="C2" s="3903"/>
      <c r="D2" s="3903"/>
      <c r="E2" s="3903"/>
      <c r="F2" s="3903"/>
      <c r="G2" s="3903"/>
      <c r="H2" s="3903"/>
      <c r="I2" s="3904"/>
    </row>
    <row r="3" spans="1:12" ht="12.75">
      <c r="A3" s="3906" t="s">
        <v>1262</v>
      </c>
      <c r="B3" s="3907"/>
      <c r="C3" s="3907"/>
      <c r="D3" s="3907"/>
      <c r="E3" s="3907"/>
      <c r="F3" s="3907"/>
      <c r="G3" s="3907"/>
      <c r="H3" s="3907"/>
      <c r="I3" s="3907"/>
    </row>
    <row r="4" spans="1:12" ht="14.25">
      <c r="A4" s="1754" t="s">
        <v>1263</v>
      </c>
      <c r="B4" s="1755" t="s">
        <v>1264</v>
      </c>
      <c r="C4" s="1756"/>
      <c r="D4" s="1756"/>
      <c r="E4" s="3908" t="s">
        <v>1265</v>
      </c>
      <c r="F4" s="3909"/>
      <c r="G4" s="3909"/>
      <c r="H4" s="3909"/>
      <c r="I4" s="391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82" t="s">
        <v>1266</v>
      </c>
      <c r="B5" s="3869">
        <v>25</v>
      </c>
      <c r="C5" s="3885"/>
      <c r="D5" s="3905"/>
      <c r="E5" s="131" t="s">
        <v>1267</v>
      </c>
      <c r="F5" s="1757"/>
      <c r="G5" s="1757"/>
      <c r="H5" s="1757"/>
      <c r="I5" s="1373"/>
    </row>
    <row r="6" spans="1:12" ht="12.75">
      <c r="A6" s="3882"/>
      <c r="B6" s="3869"/>
      <c r="C6" s="3886"/>
      <c r="D6" s="3905"/>
      <c r="E6" s="131" t="s">
        <v>1268</v>
      </c>
      <c r="F6" s="1757"/>
      <c r="G6" s="1757"/>
      <c r="H6" s="1757"/>
      <c r="I6" s="1373"/>
    </row>
    <row r="7" spans="1:12" ht="12.75">
      <c r="A7" s="3882"/>
      <c r="B7" s="3869"/>
      <c r="C7" s="3887"/>
      <c r="D7" s="3905"/>
      <c r="E7" s="131" t="s">
        <v>1269</v>
      </c>
      <c r="F7" s="1757"/>
      <c r="G7" s="1757"/>
      <c r="H7" s="1757"/>
      <c r="I7" s="1373"/>
    </row>
    <row r="8" spans="1:12" ht="12.75">
      <c r="A8" s="3882" t="s">
        <v>1270</v>
      </c>
      <c r="B8" s="3869">
        <v>15</v>
      </c>
      <c r="C8" s="3885"/>
      <c r="D8" s="3905"/>
      <c r="E8" s="131" t="s">
        <v>1271</v>
      </c>
      <c r="F8" s="1757"/>
      <c r="G8" s="1757"/>
      <c r="H8" s="1757"/>
      <c r="I8" s="1373"/>
    </row>
    <row r="9" spans="1:12" ht="12.75">
      <c r="A9" s="3882"/>
      <c r="B9" s="3869"/>
      <c r="C9" s="3887"/>
      <c r="D9" s="3905"/>
      <c r="E9" s="131" t="s">
        <v>1272</v>
      </c>
      <c r="F9" s="1757"/>
      <c r="G9" s="1757"/>
      <c r="H9" s="1757"/>
      <c r="I9" s="1373"/>
    </row>
    <row r="10" spans="1:12" ht="12.75">
      <c r="A10" s="3882" t="s">
        <v>1273</v>
      </c>
      <c r="B10" s="3869">
        <v>15</v>
      </c>
      <c r="C10" s="3885"/>
      <c r="D10" s="3905"/>
      <c r="E10" s="131" t="s">
        <v>1274</v>
      </c>
      <c r="F10" s="1757"/>
      <c r="G10" s="1757"/>
      <c r="H10" s="1757"/>
      <c r="I10" s="1373"/>
    </row>
    <row r="11" spans="1:12" ht="12.75">
      <c r="A11" s="3882"/>
      <c r="B11" s="3869"/>
      <c r="C11" s="3887"/>
      <c r="D11" s="3905"/>
      <c r="E11" s="131" t="s">
        <v>1275</v>
      </c>
      <c r="F11" s="1757"/>
      <c r="G11" s="1757"/>
      <c r="H11" s="1757"/>
      <c r="I11" s="1373"/>
    </row>
    <row r="12" spans="1:12" ht="12.75">
      <c r="A12" s="3882" t="s">
        <v>1276</v>
      </c>
      <c r="B12" s="3869">
        <v>15</v>
      </c>
      <c r="C12" s="3885"/>
      <c r="D12" s="3905"/>
      <c r="E12" s="131" t="s">
        <v>1277</v>
      </c>
      <c r="F12" s="1757"/>
      <c r="G12" s="1757"/>
      <c r="H12" s="1757"/>
      <c r="I12" s="1373"/>
    </row>
    <row r="13" spans="1:12" ht="12.75">
      <c r="A13" s="3882"/>
      <c r="B13" s="3869"/>
      <c r="C13" s="3887"/>
      <c r="D13" s="3905"/>
      <c r="E13" s="131" t="s">
        <v>1278</v>
      </c>
      <c r="F13" s="1757"/>
      <c r="G13" s="1757"/>
      <c r="H13" s="1757"/>
      <c r="I13" s="1373"/>
    </row>
    <row r="14" spans="1:12" ht="12.75">
      <c r="A14" s="3882" t="s">
        <v>1279</v>
      </c>
      <c r="B14" s="3869">
        <v>30</v>
      </c>
      <c r="C14" s="3885"/>
      <c r="D14" s="3905"/>
      <c r="E14" s="131" t="s">
        <v>1280</v>
      </c>
      <c r="F14" s="1757"/>
      <c r="G14" s="1757"/>
      <c r="H14" s="1757"/>
      <c r="I14" s="1373"/>
    </row>
    <row r="15" spans="1:12" ht="12.75">
      <c r="A15" s="3882"/>
      <c r="B15" s="3869"/>
      <c r="C15" s="3886"/>
      <c r="D15" s="3905"/>
      <c r="E15" s="131" t="s">
        <v>1281</v>
      </c>
      <c r="F15" s="1757"/>
      <c r="G15" s="1757"/>
      <c r="H15" s="1757"/>
      <c r="I15" s="1373"/>
    </row>
    <row r="16" spans="1:12" ht="12.75">
      <c r="A16" s="3882"/>
      <c r="B16" s="3869"/>
      <c r="C16" s="3887"/>
      <c r="D16" s="3905"/>
      <c r="E16" s="131" t="s">
        <v>1282</v>
      </c>
      <c r="F16" s="1757"/>
      <c r="G16" s="1757"/>
      <c r="H16" s="1757"/>
      <c r="I16" s="1373"/>
    </row>
    <row r="17" spans="1:36" ht="15">
      <c r="A17" s="1758" t="s">
        <v>1283</v>
      </c>
      <c r="B17" s="56"/>
      <c r="C17" s="132">
        <f>SUM(C5:C16)</f>
        <v>0</v>
      </c>
      <c r="D17" s="132">
        <f>SUM(D5:D16)</f>
        <v>0</v>
      </c>
      <c r="E17" s="129"/>
      <c r="F17" s="129"/>
      <c r="G17" s="129"/>
      <c r="H17" s="129"/>
      <c r="I17" s="129"/>
      <c r="K17" s="302"/>
      <c r="L17" s="302" t="s">
        <v>1284</v>
      </c>
      <c r="M17" s="302" t="s">
        <v>1285</v>
      </c>
    </row>
    <row r="18" spans="1:36" ht="31.9" customHeight="1" thickBot="1">
      <c r="A18" s="1759" t="s">
        <v>1286</v>
      </c>
      <c r="B18" s="1760"/>
      <c r="C18" s="133" t="e">
        <f>ROUND(C17/SUM(C17:D17),2)</f>
        <v>#DIV/0!</v>
      </c>
      <c r="D18" s="133" t="e">
        <f>1-C18</f>
        <v>#DIV/0!</v>
      </c>
      <c r="E18" s="3892" t="s">
        <v>2129</v>
      </c>
      <c r="F18" s="3893"/>
      <c r="G18" s="3893"/>
      <c r="H18" s="3893"/>
      <c r="I18" s="3893"/>
      <c r="K18" s="302" t="s">
        <v>1287</v>
      </c>
      <c r="L18" s="302">
        <f>IF(C1="",'数据-汇总表'!E3,SUMIF(项目类型,C1,'数据-汇总表'!E17:E26)+SUMIF(项目类型,C1,'数据-汇总表'!I17:I26))</f>
        <v>468.48</v>
      </c>
      <c r="M18" s="302">
        <f>IF(C1="",'数据-汇总表'!E3,SUMIF(项目类型,C1,'数据-汇总表'!E17:E26))</f>
        <v>468.48</v>
      </c>
    </row>
    <row r="19" spans="1:36" ht="15">
      <c r="A19" s="1761" t="s">
        <v>1288</v>
      </c>
      <c r="B19" s="1762" t="s">
        <v>1289</v>
      </c>
      <c r="C19" s="134" t="e">
        <f ca="1">SUMIF(INDIRECT("'"&amp;C4&amp;"'"&amp;"!A:A"),结果表!B19,INDIRECT("'"&amp;C4&amp;"'"&amp;"!B:B"))</f>
        <v>#REF!</v>
      </c>
      <c r="D19" s="135" t="e">
        <f ca="1">SUMIF(INDIRECT("'"&amp;D4&amp;"'"&amp;"!A:A"),结果表!B19,INDIRECT("'"&amp;D4&amp;"'"&amp;"!B:B"))</f>
        <v>#REF!</v>
      </c>
      <c r="E19" s="1761" t="s">
        <v>1290</v>
      </c>
      <c r="F19" s="1762" t="s">
        <v>1289</v>
      </c>
      <c r="G19" s="136" t="e">
        <f ca="1">ROUND(C19*$C$18+D19*$D$18,0)</f>
        <v>#REF!</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t="e">
        <f ca="1">SUMIF(INDIRECT("'"&amp;C4&amp;"'"&amp;"!A:A"),结果表!B20,INDIRECT("'"&amp;C4&amp;"'"&amp;"!B:B"))</f>
        <v>#REF!</v>
      </c>
      <c r="D20" s="138" t="e">
        <f ca="1">SUMIF(INDIRECT("'"&amp;D4&amp;"'"&amp;"!A:A"),结果表!B20,INDIRECT("'"&amp;D4&amp;"'"&amp;"!B:B"))</f>
        <v>#REF!</v>
      </c>
      <c r="E20" s="1764"/>
      <c r="F20" s="1026" t="s">
        <v>1293</v>
      </c>
      <c r="G20" s="139" t="e">
        <f ca="1">ROUND(C20*$C$18+D20*$D$18,0)</f>
        <v>#REF!</v>
      </c>
      <c r="H20" s="808" t="s">
        <v>1294</v>
      </c>
      <c r="I20" s="129"/>
    </row>
    <row r="21" spans="1:36" ht="15" customHeight="1" thickBot="1">
      <c r="A21" s="828"/>
      <c r="B21" s="1765" t="s">
        <v>1295</v>
      </c>
      <c r="C21" s="719" t="e">
        <f ca="1">ROUND(C19*10000/L19,0)</f>
        <v>#REF!</v>
      </c>
      <c r="D21" s="720" t="e">
        <f ca="1">ROUND(D19*10000/L19,0)</f>
        <v>#REF!</v>
      </c>
      <c r="E21" s="828"/>
      <c r="F21" s="1765" t="s">
        <v>1295</v>
      </c>
      <c r="G21" s="140" t="e">
        <f ca="1">ROUND(G19*10000/L19,0)</f>
        <v>#REF!</v>
      </c>
      <c r="H21" s="1766" t="s">
        <v>1294</v>
      </c>
      <c r="I21" s="129"/>
    </row>
    <row r="22" spans="1:36" ht="15" thickBot="1">
      <c r="A22" s="1688" t="s">
        <v>1296</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876" t="s">
        <v>1297</v>
      </c>
      <c r="B24" s="1762" t="s">
        <v>1289</v>
      </c>
      <c r="C24" s="136">
        <f>IF(B30=0,0,D30)</f>
        <v>0</v>
      </c>
      <c r="D24" s="1769"/>
      <c r="E24" s="129"/>
      <c r="F24" s="129"/>
      <c r="G24" s="129"/>
      <c r="H24" s="129"/>
      <c r="I24" s="129"/>
    </row>
    <row r="25" spans="1:36" ht="14.25">
      <c r="A25" s="3877"/>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t="e">
        <f ca="1">IF(D32="总价",G19-C24,G20-C25)</f>
        <v>#REF!</v>
      </c>
      <c r="D32" s="1775"/>
      <c r="E32" s="129"/>
      <c r="F32" s="129"/>
      <c r="G32" s="129"/>
      <c r="H32" s="129"/>
      <c r="I32" s="129"/>
    </row>
    <row r="33" spans="1:15" ht="15">
      <c r="A33" s="786" t="s">
        <v>1304</v>
      </c>
      <c r="B33" s="1776"/>
      <c r="C33" s="1777"/>
      <c r="D33" s="1778"/>
      <c r="E33" s="1779" t="s">
        <v>1305</v>
      </c>
      <c r="F33" s="1780" t="str">
        <f>IF(D32="楼面单价","取值（单价）","取值（总价）")</f>
        <v>取值（总价）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896" t="s">
        <v>1310</v>
      </c>
      <c r="B36" s="1787" t="s">
        <v>1311</v>
      </c>
      <c r="C36" s="145"/>
      <c r="D36" s="1788"/>
      <c r="E36" s="1789"/>
      <c r="F36" s="1790"/>
      <c r="G36" s="129"/>
      <c r="H36" s="129"/>
      <c r="I36" s="129"/>
    </row>
    <row r="37" spans="1:15" ht="15.75" thickBot="1">
      <c r="A37" s="3897"/>
      <c r="B37" s="1674" t="s">
        <v>1312</v>
      </c>
      <c r="C37" s="147"/>
      <c r="D37" s="1139"/>
      <c r="E37" s="1139"/>
      <c r="F37" s="1790"/>
      <c r="G37" s="129"/>
      <c r="H37" s="129"/>
      <c r="I37" s="129"/>
    </row>
    <row r="38" spans="1:15" ht="15.75" thickBot="1">
      <c r="A38" s="3898"/>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873" t="s">
        <v>1324</v>
      </c>
      <c r="B45" s="3874"/>
      <c r="C45" s="3875"/>
      <c r="D45" s="155" t="e">
        <f ca="1">ROUND(H101*F45,0)</f>
        <v>#REF!</v>
      </c>
      <c r="E45" s="156" t="s">
        <v>1325</v>
      </c>
      <c r="F45" s="157">
        <v>1</v>
      </c>
      <c r="G45" s="158" t="s">
        <v>1326</v>
      </c>
      <c r="H45" s="129"/>
      <c r="I45" s="129"/>
      <c r="J45" s="3951" t="s">
        <v>1327</v>
      </c>
      <c r="K45" s="3951"/>
      <c r="L45" s="3951"/>
      <c r="M45" s="3951"/>
      <c r="N45" s="3951"/>
      <c r="O45" s="3951"/>
    </row>
    <row r="46" spans="1:15" ht="14.25" customHeight="1">
      <c r="A46" s="3870" t="s">
        <v>1328</v>
      </c>
      <c r="B46" s="3871"/>
      <c r="C46" s="3871"/>
      <c r="D46" s="3871"/>
      <c r="E46" s="3871"/>
      <c r="F46" s="3871"/>
      <c r="G46" s="3872"/>
      <c r="H46" s="1806"/>
      <c r="I46" s="159"/>
      <c r="J46" s="2521">
        <v>1</v>
      </c>
      <c r="K46" s="3932" t="s">
        <v>1329</v>
      </c>
      <c r="L46" s="3932"/>
      <c r="M46" s="3952"/>
      <c r="N46" s="3952"/>
      <c r="O46" s="3952"/>
    </row>
    <row r="47" spans="1:15" ht="12" customHeight="1">
      <c r="A47" s="160" t="s">
        <v>1330</v>
      </c>
      <c r="B47" s="161"/>
      <c r="C47" s="162"/>
      <c r="D47" s="1087" t="s">
        <v>1331</v>
      </c>
      <c r="E47" s="302" t="s">
        <v>1332</v>
      </c>
      <c r="F47" s="163" t="s">
        <v>1333</v>
      </c>
      <c r="G47" s="2544" t="s">
        <v>1334</v>
      </c>
      <c r="H47" s="2545"/>
      <c r="I47" s="159"/>
      <c r="J47" s="2521">
        <v>2</v>
      </c>
      <c r="K47" s="3932" t="s">
        <v>1335</v>
      </c>
      <c r="L47" s="3932"/>
      <c r="M47" s="3953">
        <f>'数据-取费表'!B2</f>
        <v>45583</v>
      </c>
      <c r="N47" s="3953"/>
      <c r="O47" s="3953"/>
    </row>
    <row r="48" spans="1:15" ht="25.5">
      <c r="A48" s="3901" t="s">
        <v>1336</v>
      </c>
      <c r="B48" s="3884"/>
      <c r="C48" s="3884"/>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1337</v>
      </c>
      <c r="H48" s="2548"/>
      <c r="I48" s="1806"/>
      <c r="J48" s="2521">
        <v>3</v>
      </c>
      <c r="K48" s="3932" t="s">
        <v>1338</v>
      </c>
      <c r="L48" s="3932"/>
      <c r="M48" s="3954" t="e">
        <f ca="1">H101</f>
        <v>#REF!</v>
      </c>
      <c r="N48" s="3954"/>
      <c r="O48" s="3954"/>
    </row>
    <row r="49" spans="1:35" ht="25.5" customHeight="1">
      <c r="A49" s="2333" t="s">
        <v>1339</v>
      </c>
      <c r="B49" s="3868" t="s">
        <v>1340</v>
      </c>
      <c r="C49" s="3868"/>
      <c r="D49" s="1590">
        <v>0</v>
      </c>
      <c r="E49" s="324" t="s">
        <v>1341</v>
      </c>
      <c r="F49" s="2424" t="s">
        <v>28</v>
      </c>
      <c r="G49" s="3938"/>
      <c r="H49" s="2310" t="s">
        <v>2132</v>
      </c>
      <c r="I49" s="2311"/>
      <c r="J49" s="2521">
        <v>4</v>
      </c>
      <c r="K49" s="3932" t="str">
        <f>IF(项目基本情况!E8="房地产抵押价值","房地产抵押价值","抵押担保权已注销时的房地产抵押价值")</f>
        <v>抵押担保权已注销时的房地产抵押价值</v>
      </c>
      <c r="L49" s="3932"/>
      <c r="M49" s="3954" t="str">
        <f>IF(项目基本情况!E8="房地产抵押价值",H107,H109)</f>
        <v>——</v>
      </c>
      <c r="N49" s="3954"/>
      <c r="O49" s="3954"/>
    </row>
    <row r="50" spans="1:35" ht="25.5" customHeight="1">
      <c r="A50" s="2549"/>
      <c r="B50" s="3868" t="s">
        <v>1342</v>
      </c>
      <c r="C50" s="3868"/>
      <c r="D50" s="2550"/>
      <c r="E50" s="332"/>
      <c r="F50" s="2424"/>
      <c r="G50" s="3939"/>
      <c r="H50" s="2312" t="s">
        <v>2133</v>
      </c>
      <c r="I50" s="2311"/>
      <c r="J50" s="3951" t="s">
        <v>1343</v>
      </c>
      <c r="K50" s="3951"/>
      <c r="L50" s="3951"/>
      <c r="M50" s="3951"/>
      <c r="N50" s="3951"/>
      <c r="O50" s="3951"/>
    </row>
    <row r="51" spans="1:35" ht="20.45" customHeight="1">
      <c r="A51" s="2551"/>
      <c r="B51" s="3868" t="s">
        <v>1344</v>
      </c>
      <c r="C51" s="3868"/>
      <c r="D51" s="1087"/>
      <c r="E51" s="327"/>
      <c r="F51" s="2424"/>
      <c r="G51" s="3940"/>
      <c r="H51" s="2312" t="s">
        <v>2134</v>
      </c>
      <c r="I51" s="2311"/>
      <c r="J51" s="2522" t="s">
        <v>1345</v>
      </c>
      <c r="K51" s="3932" t="s">
        <v>1346</v>
      </c>
      <c r="L51" s="3932"/>
      <c r="M51" s="2522" t="s">
        <v>1347</v>
      </c>
      <c r="N51" s="2522" t="s">
        <v>1348</v>
      </c>
      <c r="O51" s="2522" t="s">
        <v>1349</v>
      </c>
    </row>
    <row r="52" spans="1:35" ht="24" customHeight="1">
      <c r="A52" s="2335" t="s">
        <v>1350</v>
      </c>
      <c r="B52" s="3868" t="s">
        <v>1351</v>
      </c>
      <c r="C52" s="3868"/>
      <c r="D52" s="1087" t="e">
        <f ca="1">ROUND(D45*'数据-取费表'!B41/(1+'数据-取费表'!C42),0)</f>
        <v>#REF!</v>
      </c>
      <c r="E52" s="2334" t="s">
        <v>1352</v>
      </c>
      <c r="F52" s="2552">
        <f>'数据-取费表'!B41</f>
        <v>5.6000000000000001E-2</v>
      </c>
      <c r="G52" s="2553"/>
      <c r="H52" s="2542"/>
      <c r="I52" s="1807"/>
      <c r="J52" s="2521">
        <v>1</v>
      </c>
      <c r="K52" s="3933" t="s">
        <v>1353</v>
      </c>
      <c r="L52" s="3933"/>
      <c r="M52" s="2523" t="b">
        <f>D48</f>
        <v>0</v>
      </c>
      <c r="N52" s="2521" t="str">
        <f>E48</f>
        <v>销售额×税（费）率</v>
      </c>
      <c r="O52" s="2524">
        <f>F48</f>
        <v>5.6000000000000001E-2</v>
      </c>
    </row>
    <row r="53" spans="1:35" ht="12" customHeight="1">
      <c r="A53" s="2335" t="s">
        <v>1354</v>
      </c>
      <c r="B53" s="3894" t="s">
        <v>2282</v>
      </c>
      <c r="C53" s="3895"/>
      <c r="D53" s="1087" t="e">
        <f ca="1">ROUND(D45*'数据-取费表'!B41/(1+'数据-取费表'!C42),0)</f>
        <v>#REF!</v>
      </c>
      <c r="E53" s="2334" t="s">
        <v>1352</v>
      </c>
      <c r="F53" s="2552">
        <f>'数据-取费表'!B41</f>
        <v>5.6000000000000001E-2</v>
      </c>
      <c r="G53" s="2553"/>
      <c r="H53" s="2542"/>
      <c r="I53" s="1807"/>
      <c r="J53" s="2521">
        <v>2</v>
      </c>
      <c r="K53" s="3933" t="s">
        <v>1355</v>
      </c>
      <c r="L53" s="3933"/>
      <c r="M53" s="2523" t="e">
        <f t="shared" ref="M53:O54" ca="1" si="0">D55</f>
        <v>#REF!</v>
      </c>
      <c r="N53" s="2521" t="str">
        <f t="shared" si="0"/>
        <v>销售额×税（费）率</v>
      </c>
      <c r="O53" s="2524" t="str">
        <f t="shared" si="0"/>
        <v>免征</v>
      </c>
    </row>
    <row r="54" spans="1:35" ht="12" customHeight="1">
      <c r="A54" s="2335" t="s">
        <v>1356</v>
      </c>
      <c r="B54" s="3894" t="s">
        <v>2283</v>
      </c>
      <c r="C54" s="3895"/>
      <c r="D54" s="1087" t="e">
        <f ca="1">C68</f>
        <v>#REF!</v>
      </c>
      <c r="E54" s="327" t="s">
        <v>1357</v>
      </c>
      <c r="F54" s="2552">
        <f>'数据-取费表'!B41</f>
        <v>5.6000000000000001E-2</v>
      </c>
      <c r="G54" s="2553"/>
      <c r="H54" s="2554"/>
      <c r="I54" s="1807"/>
      <c r="J54" s="2521">
        <v>3</v>
      </c>
      <c r="K54" s="3933" t="s">
        <v>1358</v>
      </c>
      <c r="L54" s="3933"/>
      <c r="M54" s="2523" t="e">
        <f t="shared" ca="1" si="0"/>
        <v>#REF!</v>
      </c>
      <c r="N54" s="2521" t="str">
        <f t="shared" si="0"/>
        <v>增值额×税（费）率</v>
      </c>
      <c r="O54" s="2525" t="str">
        <f t="shared" si="0"/>
        <v>免征</v>
      </c>
    </row>
    <row r="55" spans="1:35" ht="24" customHeight="1">
      <c r="A55" s="3883" t="s">
        <v>1359</v>
      </c>
      <c r="B55" s="3884"/>
      <c r="C55" s="3884"/>
      <c r="D55" s="2324" t="e">
        <f ca="1">IF(H55="个人住宅",0,ROUND(D45*I55,0))</f>
        <v>#REF!</v>
      </c>
      <c r="E55" s="2334" t="s">
        <v>1360</v>
      </c>
      <c r="F55" s="2552" t="str">
        <f>IF(H55="正常",I55,"免征")</f>
        <v>免征</v>
      </c>
      <c r="G55" s="2553"/>
      <c r="H55" s="2548"/>
      <c r="I55" s="165">
        <f>'数据-取费表'!B49</f>
        <v>5.0000000000000001E-4</v>
      </c>
      <c r="J55" s="2521">
        <f>IF(H59="非个人房产","",4)</f>
        <v>4</v>
      </c>
      <c r="K55" s="3933" t="str">
        <f>IF(H59="非个人房产","——","个人所得税")</f>
        <v>个人所得税</v>
      </c>
      <c r="L55" s="3933"/>
      <c r="M55" s="2526" t="e">
        <f ca="1">D59</f>
        <v>#REF!</v>
      </c>
      <c r="N55" s="2040" t="str">
        <f>E59</f>
        <v>差额计税</v>
      </c>
      <c r="O55" s="2527">
        <f>F59</f>
        <v>0.01</v>
      </c>
    </row>
    <row r="56" spans="1:35" ht="24.75">
      <c r="A56" s="3883" t="s">
        <v>1361</v>
      </c>
      <c r="B56" s="3884"/>
      <c r="C56" s="3884"/>
      <c r="D56" s="2324" t="e">
        <f ca="1">IF(H56="个人住宅",D57,D58)</f>
        <v>#REF!</v>
      </c>
      <c r="E56" s="2334" t="s">
        <v>1362</v>
      </c>
      <c r="F56" s="2552" t="str">
        <f>IF(H56="正常",F58,"免征")</f>
        <v>免征</v>
      </c>
      <c r="G56" s="2555" t="s">
        <v>1363</v>
      </c>
      <c r="H56" s="2556"/>
      <c r="I56" s="1808"/>
      <c r="J56" s="2521" t="str">
        <f>IF(项目基本情况!K6="上海银行",IF(J55="",4,J55+1),"")</f>
        <v/>
      </c>
      <c r="K56" s="3956" t="str">
        <f>IF(项目基本情况!K6="上海银行","其他处置费用","")</f>
        <v/>
      </c>
      <c r="L56" s="3957"/>
      <c r="M56" s="2523" t="str">
        <f>IF(项目基本情况!K6="上海银行",M69,"")</f>
        <v/>
      </c>
      <c r="N56" s="3956" t="str">
        <f>IF(项目基本情况!K6="上海银行","包含处置中涉及的律师、诉讼、拍卖、评估等费用","")</f>
        <v/>
      </c>
      <c r="O56" s="3959"/>
    </row>
    <row r="57" spans="1:35" ht="12.75">
      <c r="A57" s="2335" t="s">
        <v>1339</v>
      </c>
      <c r="B57" s="3894" t="s">
        <v>1364</v>
      </c>
      <c r="C57" s="3895"/>
      <c r="D57" s="1590">
        <v>0</v>
      </c>
      <c r="E57" s="324" t="s">
        <v>1341</v>
      </c>
      <c r="F57" s="302"/>
      <c r="G57" s="2553"/>
      <c r="H57" s="2557"/>
      <c r="I57" s="1808"/>
      <c r="J57" s="3933">
        <f>IF(AND(J55="",J56=""),4,IF(项目基本情况!K6="上海银行",结果表!J56+1,结果表!J55+1))</f>
        <v>5</v>
      </c>
      <c r="K57" s="3933" t="s">
        <v>1365</v>
      </c>
      <c r="L57" s="2528" t="s">
        <v>1366</v>
      </c>
      <c r="M57" s="2529"/>
      <c r="N57" s="2530">
        <f ca="1">SUMIF(M52:M56,"&lt;9e307")</f>
        <v>0</v>
      </c>
      <c r="O57" s="2531"/>
      <c r="P57" s="2688" t="e">
        <f ca="1">N57/M49</f>
        <v>#VALUE!</v>
      </c>
    </row>
    <row r="58" spans="1:35" ht="24.75">
      <c r="A58" s="2335" t="s">
        <v>1350</v>
      </c>
      <c r="B58" s="3894" t="s">
        <v>1367</v>
      </c>
      <c r="C58" s="3868"/>
      <c r="D58" s="2324" t="e">
        <f ca="1">IF(H58="转让取得",C81,C97)</f>
        <v>#REF!</v>
      </c>
      <c r="E58" s="2334" t="s">
        <v>1362</v>
      </c>
      <c r="F58" s="302" t="s">
        <v>28</v>
      </c>
      <c r="G58" s="2553"/>
      <c r="H58" s="2556"/>
      <c r="I58" s="1808"/>
      <c r="J58" s="3933"/>
      <c r="K58" s="3933"/>
      <c r="L58" s="2528" t="s">
        <v>1368</v>
      </c>
      <c r="M58" s="2532"/>
      <c r="N58" s="2533" t="str">
        <f ca="1">NUMBERSTRING(INT(N57*10000),2)&amp;"元整"</f>
        <v>零元整</v>
      </c>
      <c r="O58" s="2534"/>
    </row>
    <row r="59" spans="1:35" ht="24.75" thickBot="1">
      <c r="A59" s="3936" t="s">
        <v>1369</v>
      </c>
      <c r="B59" s="3937"/>
      <c r="C59" s="393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1363</v>
      </c>
      <c r="H59" s="2314"/>
      <c r="I59" s="2313" t="s">
        <v>2135</v>
      </c>
      <c r="J59" s="3934">
        <f>J57+1</f>
        <v>6</v>
      </c>
      <c r="K59" s="3933" t="s">
        <v>1370</v>
      </c>
      <c r="L59" s="2521" t="s">
        <v>1366</v>
      </c>
      <c r="M59" s="2535"/>
      <c r="N59" s="2536" t="e">
        <f ca="1">M49-N57</f>
        <v>#VALUE!</v>
      </c>
      <c r="O59" s="2537"/>
    </row>
    <row r="60" spans="1:35" ht="12" customHeight="1">
      <c r="A60" s="1809"/>
      <c r="B60" s="1747"/>
      <c r="C60" s="1747"/>
      <c r="D60" s="1747"/>
      <c r="E60" s="1578"/>
      <c r="F60" s="1808"/>
      <c r="G60" s="1808"/>
      <c r="H60" s="1810"/>
      <c r="I60" s="129"/>
      <c r="J60" s="3935"/>
      <c r="K60" s="3933"/>
      <c r="L60" s="2528" t="s">
        <v>1368</v>
      </c>
      <c r="M60" s="2532"/>
      <c r="N60" s="2533" t="e">
        <f ca="1">NUMBERSTRING(INT(N59*10000),2)&amp;"元整"</f>
        <v>#VALUE!</v>
      </c>
      <c r="O60" s="2534"/>
    </row>
    <row r="61" spans="1:35" ht="13.5" thickBot="1">
      <c r="A61" s="3881" t="s">
        <v>1371</v>
      </c>
      <c r="B61" s="3881"/>
      <c r="C61" s="3881"/>
      <c r="D61" s="3881"/>
      <c r="E61" s="3881"/>
      <c r="F61" s="1808"/>
      <c r="G61" s="1808"/>
      <c r="H61" s="1810"/>
      <c r="I61" s="129"/>
      <c r="J61" s="2521">
        <f>J59+1</f>
        <v>7</v>
      </c>
      <c r="K61" s="3933" t="s">
        <v>1372</v>
      </c>
      <c r="L61" s="3933"/>
      <c r="M61" s="2538"/>
      <c r="N61" s="2539" t="e">
        <f ca="1">ROUND(N59*10000/'数据-汇总表'!E3,0)</f>
        <v>#VALUE!</v>
      </c>
      <c r="O61" s="2540"/>
    </row>
    <row r="62" spans="1:35" ht="12.75">
      <c r="A62" s="3899" t="s">
        <v>1373</v>
      </c>
      <c r="B62" s="3900"/>
      <c r="C62" s="2021"/>
      <c r="D62" s="2021" t="s">
        <v>1374</v>
      </c>
      <c r="E62" s="166" t="s">
        <v>1375</v>
      </c>
      <c r="F62" s="1808"/>
      <c r="G62" s="1808"/>
      <c r="H62" s="1810"/>
      <c r="I62" s="129"/>
    </row>
    <row r="63" spans="1:35" ht="12.75">
      <c r="A63" s="173" t="s">
        <v>330</v>
      </c>
      <c r="B63" s="167" t="s">
        <v>1376</v>
      </c>
      <c r="C63" s="2562" t="e">
        <f ca="1">ROUND((C64+C65)/(1+'数据-取费表'!C42),0)</f>
        <v>#REF!</v>
      </c>
      <c r="D63" s="167"/>
      <c r="E63" s="168"/>
      <c r="F63" s="1808"/>
      <c r="G63" s="1808"/>
      <c r="H63" s="1810"/>
      <c r="I63" s="129"/>
      <c r="J63" s="3958" t="s">
        <v>1377</v>
      </c>
      <c r="K63" s="1332" t="s">
        <v>1378</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1379</v>
      </c>
      <c r="C64" s="2563" t="e">
        <f ca="1">D45</f>
        <v>#REF!</v>
      </c>
      <c r="D64" s="170" t="s">
        <v>26</v>
      </c>
      <c r="E64" s="172"/>
      <c r="F64" s="1808"/>
      <c r="G64" s="1808"/>
      <c r="H64" s="1810"/>
      <c r="I64" s="129"/>
      <c r="J64" s="3958"/>
      <c r="K64" s="1332" t="s">
        <v>1380</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1381</v>
      </c>
      <c r="Z64" s="1752"/>
      <c r="AI64" s="1753"/>
    </row>
    <row r="65" spans="1:35" ht="14.25" customHeight="1">
      <c r="A65" s="169" t="s">
        <v>326</v>
      </c>
      <c r="B65" s="170" t="s">
        <v>1382</v>
      </c>
      <c r="C65" s="2564"/>
      <c r="D65" s="170"/>
      <c r="E65" s="172"/>
      <c r="F65" s="1808"/>
      <c r="G65" s="1808"/>
      <c r="H65" s="1810"/>
      <c r="I65" s="129"/>
      <c r="J65" s="3958"/>
      <c r="K65" s="1332" t="s">
        <v>1383</v>
      </c>
      <c r="L65" s="1332" t="e">
        <f>IF(M49&gt;1000,M49*0.1%,IF(AND(M49&gt;500,M49&lt;=1000),M49*0.5%,IF(AND(M49&gt;50,M49&lt;=500),M49*1%,IF(AND(M49&gt;1,M49&lt;=50),M49*1.5%))))</f>
        <v>#VALUE!</v>
      </c>
      <c r="M65" s="302" t="e">
        <f t="shared" si="1"/>
        <v>#VALUE!</v>
      </c>
      <c r="N65" s="2542" t="s">
        <v>1381</v>
      </c>
      <c r="Z65" s="1752"/>
      <c r="AI65" s="1753"/>
    </row>
    <row r="66" spans="1:35" ht="14.25" customHeight="1">
      <c r="A66" s="173" t="s">
        <v>327</v>
      </c>
      <c r="B66" s="174" t="s">
        <v>1384</v>
      </c>
      <c r="C66" s="2565"/>
      <c r="D66" s="174" t="s">
        <v>26</v>
      </c>
      <c r="E66" s="1338" t="s">
        <v>671</v>
      </c>
      <c r="F66" s="1808"/>
      <c r="G66" s="1808"/>
      <c r="H66" s="1810"/>
      <c r="I66" s="129"/>
      <c r="J66" s="3958"/>
      <c r="K66" s="1332" t="s">
        <v>1385</v>
      </c>
      <c r="L66" s="1332" t="e">
        <f>M49*0.5%</f>
        <v>#VALUE!</v>
      </c>
      <c r="M66" s="302" t="e">
        <f>IF(L66&gt;0.5,0.5,ROUND(L66,0))</f>
        <v>#VALUE!</v>
      </c>
      <c r="N66" s="2542" t="s">
        <v>1386</v>
      </c>
      <c r="Z66" s="1752"/>
      <c r="AI66" s="1753"/>
    </row>
    <row r="67" spans="1:35" ht="14.25" customHeight="1">
      <c r="A67" s="173" t="s">
        <v>328</v>
      </c>
      <c r="B67" s="174" t="s">
        <v>1387</v>
      </c>
      <c r="C67" s="2566" t="e">
        <f ca="1">C63-C66</f>
        <v>#REF!</v>
      </c>
      <c r="D67" s="170" t="s">
        <v>26</v>
      </c>
      <c r="E67" s="172"/>
      <c r="F67" s="1808"/>
      <c r="G67" s="1808"/>
      <c r="H67" s="1810"/>
      <c r="I67" s="129"/>
      <c r="J67" s="3958"/>
      <c r="K67" s="1332" t="s">
        <v>1388</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1389</v>
      </c>
      <c r="C68" s="2567" t="e">
        <f ca="1">IF(C67&lt;=0,0,ROUND(C67*D68,0))</f>
        <v>#REF!</v>
      </c>
      <c r="D68" s="2568">
        <f>'数据-取费表'!B41</f>
        <v>5.6000000000000001E-2</v>
      </c>
      <c r="E68" s="178"/>
      <c r="F68" s="1808"/>
      <c r="G68" s="1808"/>
      <c r="H68" s="1810"/>
      <c r="I68" s="129"/>
      <c r="J68" s="3958"/>
      <c r="K68" s="1332" t="s">
        <v>1390</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958"/>
      <c r="K69" s="1332" t="s">
        <v>1391</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920" t="s">
        <v>1392</v>
      </c>
      <c r="B70" s="3921"/>
      <c r="C70" s="3921"/>
      <c r="D70" s="3921"/>
      <c r="E70" s="3921"/>
      <c r="F70" s="3921"/>
      <c r="G70" s="3921"/>
      <c r="H70" s="3921"/>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899" t="s">
        <v>1373</v>
      </c>
      <c r="B71" s="3900"/>
      <c r="C71" s="2021"/>
      <c r="D71" s="2021" t="s">
        <v>1374</v>
      </c>
      <c r="E71" s="179" t="s">
        <v>1375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69"/>
      <c r="D75" s="170" t="s">
        <v>26</v>
      </c>
      <c r="E75" s="184" t="s">
        <v>1397</v>
      </c>
      <c r="F75" s="2570"/>
      <c r="G75" s="184" t="s">
        <v>1398</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2">
        <v>0.05</v>
      </c>
      <c r="E76" s="3894" t="s">
        <v>1400</v>
      </c>
      <c r="F76" s="3868"/>
      <c r="G76" s="3868"/>
      <c r="H76" s="391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3">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4" t="e">
        <f ca="1">ROUND(D45*D78/(1+'数据-取费表'!C42),0)</f>
        <v>#REF!</v>
      </c>
      <c r="D78" s="2575">
        <f>'数据-取费表'!B43</f>
        <v>6.000000000000001E-3</v>
      </c>
      <c r="E78" s="3878" t="s">
        <v>1404</v>
      </c>
      <c r="F78" s="3879"/>
      <c r="G78" s="3879"/>
      <c r="H78" s="38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920" t="s">
        <v>1408</v>
      </c>
      <c r="B83" s="3921"/>
      <c r="C83" s="3921"/>
      <c r="D83" s="3921"/>
      <c r="E83" s="3921"/>
      <c r="F83" s="3921"/>
      <c r="G83" s="3921"/>
      <c r="H83" s="392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899" t="s">
        <v>1373</v>
      </c>
      <c r="B84" s="3900"/>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0"/>
      <c r="D88" s="2575"/>
      <c r="E88" s="193" t="s">
        <v>1411</v>
      </c>
      <c r="F88" s="2327"/>
      <c r="G88" s="194" t="s">
        <v>1412</v>
      </c>
      <c r="H88" s="1824"/>
      <c r="I88" s="1821"/>
      <c r="J88" s="2519"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4">
        <f>ROUND(C88*D89,0)</f>
        <v>0</v>
      </c>
      <c r="D89" s="2575">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0"/>
      <c r="D90" s="2575"/>
      <c r="E90" s="193" t="str">
        <f>IF(H88="-","土地取得成本中已包含该笔费用"," ")</f>
        <v xml:space="preserve"> </v>
      </c>
      <c r="F90" s="2327"/>
      <c r="G90" s="3960" t="s">
        <v>2127</v>
      </c>
      <c r="H90" s="3961"/>
      <c r="I90" s="1821"/>
      <c r="J90" s="2519"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4">
        <f>IF(H91="——",成本法!C33,I91)</f>
        <v>0</v>
      </c>
      <c r="D91" s="2575"/>
      <c r="E91" s="3878" t="s">
        <v>1417</v>
      </c>
      <c r="F91" s="3879"/>
      <c r="G91" s="387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4">
        <f>ROUND((C87+C90+C91)*D92,0)</f>
        <v>0</v>
      </c>
      <c r="D92" s="2581"/>
      <c r="E92" s="3878" t="s">
        <v>1420</v>
      </c>
      <c r="F92" s="3879"/>
      <c r="G92" s="3879"/>
      <c r="H92" s="3888"/>
      <c r="I92" s="1821"/>
      <c r="J92" s="2520"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4" t="e">
        <f ca="1">ROUND(D45*D93/(1+'数据-取费表'!C42),0)</f>
        <v>#REF!</v>
      </c>
      <c r="D93" s="2575">
        <f>'数据-取费表'!B43</f>
        <v>6.000000000000001E-3</v>
      </c>
      <c r="E93" s="3878" t="s">
        <v>1404</v>
      </c>
      <c r="F93" s="3879"/>
      <c r="G93" s="3879"/>
      <c r="H93" s="38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0">
        <f>ROUND((C87+C90+C91)*D94,0)</f>
        <v>0</v>
      </c>
      <c r="D94" s="2575">
        <v>0.2</v>
      </c>
      <c r="E94" s="3889" t="s">
        <v>1424</v>
      </c>
      <c r="F94" s="3890"/>
      <c r="G94" s="3890"/>
      <c r="H94" s="389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862" t="s">
        <v>1426</v>
      </c>
      <c r="B100" s="3863"/>
      <c r="C100" s="3863"/>
      <c r="D100" s="3880"/>
      <c r="E100" s="3863" t="s">
        <v>1427</v>
      </c>
      <c r="F100" s="3863"/>
      <c r="G100" s="3863"/>
      <c r="H100" s="3880"/>
      <c r="I100" s="129"/>
    </row>
    <row r="101" spans="1:35" ht="18.75" customHeight="1">
      <c r="A101" s="3941" t="s">
        <v>1428</v>
      </c>
      <c r="B101" s="3942"/>
      <c r="C101" s="2583">
        <f>C4</f>
        <v>0</v>
      </c>
      <c r="D101" s="2584">
        <f>D4</f>
        <v>0</v>
      </c>
      <c r="E101" s="3955" t="s">
        <v>1429</v>
      </c>
      <c r="F101" s="3912"/>
      <c r="G101" s="1827" t="s">
        <v>1430</v>
      </c>
      <c r="H101" s="2593" t="e">
        <f ca="1">H118</f>
        <v>#REF!</v>
      </c>
      <c r="I101" s="129"/>
    </row>
    <row r="102" spans="1:35" ht="18.75" customHeight="1">
      <c r="A102" s="3914" t="s">
        <v>1431</v>
      </c>
      <c r="B102" s="2582" t="s">
        <v>1430</v>
      </c>
      <c r="C102" s="2583" t="e">
        <f ca="1">IF(D32="楼面单价",ROUND(C19,0),C19)</f>
        <v>#REF!</v>
      </c>
      <c r="D102" s="2584" t="e">
        <f ca="1">IF(D32="楼面单价",ROUND(D19,0),D19)</f>
        <v>#REF!</v>
      </c>
      <c r="E102" s="3955"/>
      <c r="F102" s="3912"/>
      <c r="G102" s="1827" t="s">
        <v>1432</v>
      </c>
      <c r="H102" s="2553" t="e">
        <f ca="1">I118</f>
        <v>#REF!</v>
      </c>
      <c r="I102" s="129"/>
    </row>
    <row r="103" spans="1:35" ht="42.75" customHeight="1">
      <c r="A103" s="3914"/>
      <c r="B103" s="2582" t="s">
        <v>1432</v>
      </c>
      <c r="C103" s="2585" t="e">
        <f ca="1">C20</f>
        <v>#REF!</v>
      </c>
      <c r="D103" s="2586" t="e">
        <f ca="1">D20</f>
        <v>#REF!</v>
      </c>
      <c r="E103" s="3949" t="s">
        <v>1433</v>
      </c>
      <c r="F103" s="3950"/>
      <c r="G103" s="1828" t="s">
        <v>1434</v>
      </c>
      <c r="H103" s="2593">
        <f>IF(D36="正常操作",H104+H105+H106,H105+H106)</f>
        <v>0</v>
      </c>
      <c r="I103" s="129"/>
    </row>
    <row r="104" spans="1:35" ht="18.75" customHeight="1">
      <c r="A104" s="3914" t="s">
        <v>1435</v>
      </c>
      <c r="B104" s="2587" t="s">
        <v>1430</v>
      </c>
      <c r="C104" s="2588" t="e">
        <f ca="1">H118</f>
        <v>#REF!</v>
      </c>
      <c r="D104" s="2589"/>
      <c r="E104" s="1674" t="s">
        <v>1436</v>
      </c>
      <c r="F104" s="1666"/>
      <c r="G104" s="1828" t="s">
        <v>1434</v>
      </c>
      <c r="H104" s="2594">
        <f>IF(D36="同一抵押权人同一抵押物续贷",C36&amp;"（续贷，未扣减，详见特别提示）",C36)</f>
        <v>0</v>
      </c>
      <c r="I104" s="129"/>
    </row>
    <row r="105" spans="1:35" ht="18.75" customHeight="1" thickBot="1">
      <c r="A105" s="3915"/>
      <c r="B105" s="2590" t="s">
        <v>1432</v>
      </c>
      <c r="C105" s="2591" t="e">
        <f ca="1">I118</f>
        <v>#REF!</v>
      </c>
      <c r="D105" s="2592"/>
      <c r="E105" s="1674" t="s">
        <v>1437</v>
      </c>
      <c r="F105" s="1666"/>
      <c r="G105" s="1828" t="s">
        <v>1434</v>
      </c>
      <c r="H105" s="2595">
        <f>C37</f>
        <v>0</v>
      </c>
      <c r="I105" s="129"/>
    </row>
    <row r="106" spans="1:35" ht="18.75" customHeight="1">
      <c r="A106" s="1747" t="s">
        <v>1438</v>
      </c>
      <c r="B106" s="1747"/>
      <c r="C106" s="1747"/>
      <c r="D106" s="1747"/>
      <c r="E106" s="1829" t="s">
        <v>1439</v>
      </c>
      <c r="F106" s="1666"/>
      <c r="G106" s="1828" t="s">
        <v>1434</v>
      </c>
      <c r="H106" s="2595">
        <f>C38</f>
        <v>0</v>
      </c>
      <c r="I106" s="129"/>
    </row>
    <row r="107" spans="1:35" ht="18.75" customHeight="1">
      <c r="A107" s="129"/>
      <c r="B107" s="129"/>
      <c r="C107" s="129"/>
      <c r="D107" s="129"/>
      <c r="E107" s="3911" t="str">
        <f>IF(项目基本情况!E8="已注销","——","3.房地产抵押价值")</f>
        <v>3.房地产抵押价值</v>
      </c>
      <c r="F107" s="3912"/>
      <c r="G107" s="1827" t="s">
        <v>1430</v>
      </c>
      <c r="H107" s="2593" t="e">
        <f ca="1">IF(E107="——","——",H101-H103)</f>
        <v>#REF!</v>
      </c>
      <c r="I107" s="129"/>
    </row>
    <row r="108" spans="1:35" ht="18.75" customHeight="1">
      <c r="A108" s="129"/>
      <c r="B108" s="129"/>
      <c r="C108" s="129"/>
      <c r="D108" s="129"/>
      <c r="E108" s="3911"/>
      <c r="F108" s="3912"/>
      <c r="G108" s="1827" t="s">
        <v>1432</v>
      </c>
      <c r="H108" s="2553" t="e">
        <f ca="1">IF(H107=H101,H102,ROUND(H107*10000/'数据-汇总表'!E3,0))</f>
        <v>#REF!</v>
      </c>
      <c r="I108" s="129"/>
    </row>
    <row r="109" spans="1:35" ht="18.75" customHeight="1">
      <c r="A109" s="129"/>
      <c r="B109" s="129"/>
      <c r="C109" s="129"/>
      <c r="D109" s="129"/>
      <c r="E109" s="3911" t="str">
        <f>IF(项目基本情况!E8="已注销及未注销","4.抵押担保权已注销时的房地产抵押价值",IF(项目基本情况!E8="已注销","3.抵押担保权已注销时的房地产抵押价值","——"))</f>
        <v>——</v>
      </c>
      <c r="F109" s="3912"/>
      <c r="G109" s="1827" t="s">
        <v>1430</v>
      </c>
      <c r="H109" s="2596" t="str">
        <f>IF(E109="——","——",H101-H105-H106)</f>
        <v>——</v>
      </c>
      <c r="I109" s="129"/>
    </row>
    <row r="110" spans="1:35" ht="18.75" customHeight="1">
      <c r="A110" s="129"/>
      <c r="B110" s="129"/>
      <c r="C110" s="129"/>
      <c r="D110" s="129"/>
      <c r="E110" s="3911"/>
      <c r="F110" s="3912"/>
      <c r="G110" s="1827" t="s">
        <v>1432</v>
      </c>
      <c r="H110" s="2553" t="str">
        <f>IF(H109="——","——",ROUND(H109*10000/'数据-汇总表'!E3,0))</f>
        <v>——</v>
      </c>
      <c r="I110" s="129"/>
    </row>
    <row r="111" spans="1:35" ht="18.75" customHeight="1">
      <c r="A111" s="129"/>
      <c r="B111" s="129"/>
      <c r="C111" s="129"/>
      <c r="D111" s="129"/>
      <c r="E111" s="3943" t="str">
        <f>IF(项目基本情况!E9="抵押净值",IF(OR(项目基本情况!E8="已注销",项目基本情况!E8="房地产抵押价值"),"4.抵押净值","5.抵押净值"),"——")</f>
        <v>——</v>
      </c>
      <c r="F111" s="3913"/>
      <c r="G111" s="1827" t="s">
        <v>1430</v>
      </c>
      <c r="H111" s="2593" t="str">
        <f>IF(E111="——","——",N59)</f>
        <v>——</v>
      </c>
      <c r="I111" s="129"/>
    </row>
    <row r="112" spans="1:35" ht="18.75" customHeight="1" thickBot="1">
      <c r="A112" s="129"/>
      <c r="B112" s="129"/>
      <c r="C112" s="129"/>
      <c r="D112" s="129"/>
      <c r="E112" s="3944"/>
      <c r="F112" s="3945"/>
      <c r="G112" s="1830" t="s">
        <v>1432</v>
      </c>
      <c r="H112" s="2597" t="str">
        <f>IF(E111="——","——",N61)</f>
        <v>——</v>
      </c>
      <c r="I112" s="129"/>
    </row>
    <row r="113" spans="1:27" ht="18.75" customHeight="1">
      <c r="A113" s="129"/>
      <c r="B113" s="129"/>
      <c r="C113" s="129"/>
      <c r="D113" s="129"/>
      <c r="E113" s="3916" t="s">
        <v>1438</v>
      </c>
      <c r="F113" s="3916"/>
      <c r="G113" s="3916"/>
      <c r="H113" s="3916"/>
      <c r="I113" s="129"/>
    </row>
    <row r="114" spans="1:27" ht="3.75" customHeight="1">
      <c r="A114" s="1747"/>
      <c r="B114" s="1747"/>
      <c r="C114" s="1747"/>
      <c r="D114" s="1747"/>
      <c r="E114" s="1809"/>
      <c r="F114" s="1809"/>
      <c r="G114" s="1809"/>
      <c r="H114" s="1809"/>
      <c r="I114" s="1747"/>
    </row>
    <row r="115" spans="1:27" ht="18.75" customHeight="1">
      <c r="A115" s="3926" t="s">
        <v>1440</v>
      </c>
      <c r="B115" s="3927"/>
      <c r="C115" s="3927"/>
      <c r="D115" s="3927"/>
      <c r="E115" s="3927"/>
      <c r="F115" s="3927"/>
      <c r="G115" s="3927"/>
      <c r="H115" s="3927"/>
      <c r="I115" s="3928"/>
    </row>
    <row r="116" spans="1:27" ht="27" customHeight="1">
      <c r="A116" s="3882" t="s">
        <v>1441</v>
      </c>
      <c r="B116" s="3917" t="s">
        <v>1442</v>
      </c>
      <c r="C116" s="3917" t="s">
        <v>1443</v>
      </c>
      <c r="D116" s="3930" t="s">
        <v>1444</v>
      </c>
      <c r="E116" s="3931"/>
      <c r="F116" s="3925" t="s">
        <v>1445</v>
      </c>
      <c r="G116" s="3925"/>
      <c r="H116" s="3882" t="s">
        <v>1446</v>
      </c>
      <c r="I116" s="3882"/>
    </row>
    <row r="117" spans="1:27" ht="18.75" customHeight="1">
      <c r="A117" s="3882"/>
      <c r="B117" s="3918"/>
      <c r="C117" s="3918"/>
      <c r="D117" s="2329" t="s">
        <v>1447</v>
      </c>
      <c r="E117" s="2329" t="s">
        <v>1448</v>
      </c>
      <c r="F117" s="2329" t="s">
        <v>1447</v>
      </c>
      <c r="G117" s="2329" t="s">
        <v>1449</v>
      </c>
      <c r="H117" s="2329" t="s">
        <v>1447</v>
      </c>
      <c r="I117" s="2329" t="s">
        <v>1449</v>
      </c>
    </row>
    <row r="118" spans="1:27" ht="24.75" customHeight="1">
      <c r="A118" s="2598" t="str">
        <f>项目基本情况!S2</f>
        <v>北京市房地产</v>
      </c>
      <c r="B118" s="2329">
        <f>M18</f>
        <v>468.48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882" t="s">
        <v>1450</v>
      </c>
      <c r="B119" s="3882"/>
      <c r="C119" s="3882"/>
      <c r="D119" s="3922" t="e">
        <f ca="1">NUMBERSTRING(INT(D118*10000),2)&amp;"元整"</f>
        <v>#REF!</v>
      </c>
      <c r="E119" s="3924"/>
      <c r="F119" s="3922" t="e">
        <f ca="1">NUMBERSTRING(INT(F118*10000),2)&amp;"元整"</f>
        <v>#REF!</v>
      </c>
      <c r="G119" s="3924"/>
      <c r="H119" s="3922" t="e">
        <f ca="1">NUMBERSTRING(INT(H118*10000),2)&amp;"元整"</f>
        <v>#REF!</v>
      </c>
      <c r="I119" s="3924"/>
    </row>
    <row r="120" spans="1:27" ht="18.75" customHeight="1">
      <c r="A120" s="3946" t="str">
        <f>IF(项目基本情况!B9="房地产市场价值","",MID(E103,3,LEN(E103)-2))</f>
        <v/>
      </c>
      <c r="B120" s="3947"/>
      <c r="C120" s="3948"/>
      <c r="D120" s="3946">
        <f>H103</f>
        <v>0</v>
      </c>
      <c r="E120" s="3947"/>
      <c r="F120" s="3947"/>
      <c r="G120" s="3947"/>
      <c r="H120" s="3947"/>
      <c r="I120" s="394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922" t="s">
        <v>1450</v>
      </c>
      <c r="B121" s="3923"/>
      <c r="C121" s="3924"/>
      <c r="D121" s="3922" t="str">
        <f>IF(D120=0,"零元整",NUMBERSTRING(INT(D120*10000),2)&amp;"元整")</f>
        <v>零元整</v>
      </c>
      <c r="E121" s="3923"/>
      <c r="F121" s="3923"/>
      <c r="G121" s="3923"/>
      <c r="H121" s="3923"/>
      <c r="I121" s="3924"/>
      <c r="AA121" s="725"/>
    </row>
    <row r="122" spans="1:27" ht="18.75" customHeight="1">
      <c r="A122" s="3913" t="str">
        <f>IF(项目基本情况!B9="房地产市场价值","",MID(E107,3,LEN(E107)-2))</f>
        <v/>
      </c>
      <c r="B122" s="3913"/>
      <c r="C122" s="3913"/>
      <c r="D122" s="3946" t="e">
        <f ca="1">H107</f>
        <v>#REF!</v>
      </c>
      <c r="E122" s="3947"/>
      <c r="F122" s="3947"/>
      <c r="G122" s="3947"/>
      <c r="H122" s="3947"/>
      <c r="I122" s="3948"/>
      <c r="AA122" s="725"/>
    </row>
    <row r="123" spans="1:27" ht="18.75" customHeight="1">
      <c r="A123" s="3882" t="s">
        <v>1450</v>
      </c>
      <c r="B123" s="3882"/>
      <c r="C123" s="3882"/>
      <c r="D123" s="3922" t="e">
        <f ca="1">NUMBERSTRING(INT(D122*10000),2)&amp;"元整"</f>
        <v>#REF!</v>
      </c>
      <c r="E123" s="3923"/>
      <c r="F123" s="3923"/>
      <c r="G123" s="3923"/>
      <c r="H123" s="3923"/>
      <c r="I123" s="3924"/>
      <c r="AA123" s="725"/>
    </row>
    <row r="124" spans="1:27" ht="18.75" customHeight="1">
      <c r="A124" s="3913" t="str">
        <f>IF(项目基本情况!B9="房地产市场价值","",MID(E109,3,LEN(E109)-2))</f>
        <v/>
      </c>
      <c r="B124" s="3913"/>
      <c r="C124" s="3913"/>
      <c r="D124" s="3946" t="str">
        <f>H109</f>
        <v>——</v>
      </c>
      <c r="E124" s="3947"/>
      <c r="F124" s="3947"/>
      <c r="G124" s="3947"/>
      <c r="H124" s="3947"/>
      <c r="I124" s="3948"/>
      <c r="AA124" s="725"/>
    </row>
    <row r="125" spans="1:27" ht="18.75" customHeight="1">
      <c r="A125" s="3882" t="s">
        <v>1450</v>
      </c>
      <c r="B125" s="3882"/>
      <c r="C125" s="3882"/>
      <c r="D125" s="3922" t="e">
        <f>NUMBERSTRING(INT(D124*10000),2)&amp;"元整"</f>
        <v>#VALUE!</v>
      </c>
      <c r="E125" s="3923"/>
      <c r="F125" s="3923"/>
      <c r="G125" s="3923"/>
      <c r="H125" s="3923"/>
      <c r="I125" s="3924"/>
      <c r="AA125" s="725"/>
    </row>
    <row r="126" spans="1:27" ht="18.75" customHeight="1">
      <c r="A126" s="3913" t="str">
        <f>IF(项目基本情况!B9="房地产市场价值","",MID(E111,3,LEN(E111)-2))</f>
        <v/>
      </c>
      <c r="B126" s="3913"/>
      <c r="C126" s="3913"/>
      <c r="D126" s="3946" t="str">
        <f>H111</f>
        <v>——</v>
      </c>
      <c r="E126" s="3947"/>
      <c r="F126" s="3947"/>
      <c r="G126" s="3947"/>
      <c r="H126" s="3947"/>
      <c r="I126" s="3948"/>
      <c r="AA126" s="725"/>
    </row>
    <row r="127" spans="1:27" ht="18.75" customHeight="1">
      <c r="A127" s="3882" t="s">
        <v>1450</v>
      </c>
      <c r="B127" s="3882"/>
      <c r="C127" s="3882"/>
      <c r="D127" s="3922" t="e">
        <f>NUMBERSTRING(INT(D126*10000),2)&amp;"元整"</f>
        <v>#VALUE!</v>
      </c>
      <c r="E127" s="3923"/>
      <c r="F127" s="3923"/>
      <c r="G127" s="3923"/>
      <c r="H127" s="3923"/>
      <c r="I127" s="3924"/>
      <c r="AA127" s="725"/>
    </row>
    <row r="128" spans="1:27" ht="21.75" customHeight="1">
      <c r="A128" s="3929" t="s">
        <v>1451</v>
      </c>
      <c r="B128" s="3929"/>
      <c r="C128" s="3929"/>
      <c r="D128" s="3929"/>
      <c r="E128" s="3929"/>
      <c r="F128" s="3929"/>
      <c r="G128" s="3929"/>
      <c r="H128" s="3929"/>
      <c r="I128" s="3929"/>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245</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5230</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9.3696000000000002</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9.3696000000000002</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9</v>
      </c>
      <c r="D10" s="845">
        <f ca="1">IF(B1="",'数据-汇总表'!E6,IF(INDIRECT("'数据-取费表'!c"&amp;$G$1)="住宅",INDIRECT("'数据-取费表'!s"&amp;$G$1),INDIRECT("'数据-取费表'!k"&amp;$G$1)+INDIRECT("'数据-取费表'!s"&amp;$G$1)))</f>
        <v>468.48</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9</v>
      </c>
      <c r="D19" s="849">
        <f ca="1">D9+D10</f>
        <v>468.48</v>
      </c>
      <c r="E19" s="211">
        <f>'数据-取费表'!B31</f>
        <v>200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2</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1</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4</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ROUND((C5+C19+C20)*F27*'数据-取费表'!B21/'数据-取费表'!B20,0)</f>
        <v>4</v>
      </c>
      <c r="D28" s="235"/>
      <c r="E28" s="236"/>
      <c r="F28" s="246"/>
      <c r="G28" s="247"/>
    </row>
    <row r="29" spans="1:7" s="214" customFormat="1" ht="13.5" customHeight="1">
      <c r="A29" s="780"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26</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229</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211</v>
      </c>
      <c r="D34" s="217"/>
      <c r="E34" s="220"/>
      <c r="F34" s="257">
        <f ca="1">IF('数据-取费表'!B24=0,1,IF(B1="",'数据-取费表'!N16,INDIRECT("'数据-取费表'!n"&amp;$G$1)))</f>
        <v>1</v>
      </c>
      <c r="G34" s="219" t="s">
        <v>1524</v>
      </c>
    </row>
    <row r="35" spans="1:7" ht="13.5" customHeight="1">
      <c r="A35" s="780" t="s">
        <v>351</v>
      </c>
      <c r="B35" s="215" t="s">
        <v>1525</v>
      </c>
      <c r="C35" s="220">
        <f ca="1">ROUND(C34*F35,0)</f>
        <v>6</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9</v>
      </c>
      <c r="D37" s="217">
        <f ca="1">D19</f>
        <v>468.48</v>
      </c>
      <c r="E37" s="249">
        <f>'数据-取费表'!B35</f>
        <v>200</v>
      </c>
      <c r="F37" s="259"/>
      <c r="G37" s="261" t="s">
        <v>1530</v>
      </c>
    </row>
    <row r="38" spans="1:7" ht="13.5" customHeight="1">
      <c r="A38" s="780" t="s">
        <v>354</v>
      </c>
      <c r="B38" s="215" t="s">
        <v>1531</v>
      </c>
      <c r="C38" s="220">
        <f ca="1">ROUND(C34*F38,0)</f>
        <v>3</v>
      </c>
      <c r="D38" s="220"/>
      <c r="E38" s="220"/>
      <c r="F38" s="259">
        <f>'数据-取费表'!B36</f>
        <v>1.4999999999999999E-2</v>
      </c>
      <c r="G38" s="219" t="s">
        <v>1526</v>
      </c>
    </row>
    <row r="39" spans="1:7" s="214" customFormat="1" ht="13.5" customHeight="1">
      <c r="A39" s="255" t="s">
        <v>1532</v>
      </c>
      <c r="B39" s="210" t="s">
        <v>1533</v>
      </c>
      <c r="C39" s="232">
        <f ca="1">ROUND(C33*F20,0)</f>
        <v>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8</v>
      </c>
      <c r="D42" s="238"/>
      <c r="E42" s="238"/>
      <c r="F42" s="239"/>
      <c r="G42" s="3962" t="s">
        <v>1542</v>
      </c>
    </row>
    <row r="43" spans="1:7" ht="13.5" customHeight="1">
      <c r="A43" s="780" t="s">
        <v>347</v>
      </c>
      <c r="B43" s="215" t="s">
        <v>1543</v>
      </c>
      <c r="C43" s="238">
        <f ca="1">ROUND(IF('数据-取费表'!B22&lt;=1,C39*F22*'数据-取费表'!B21/2,C39*(POWER((1+F22),'数据-取费表'!B21/2)-1)),0)</f>
        <v>0</v>
      </c>
      <c r="D43" s="238"/>
      <c r="E43" s="238"/>
      <c r="F43" s="239"/>
      <c r="G43" s="3963"/>
    </row>
    <row r="44" spans="1:7" ht="13.5" customHeight="1">
      <c r="A44" s="780" t="s">
        <v>348</v>
      </c>
      <c r="B44" s="215" t="s">
        <v>1544</v>
      </c>
      <c r="C44" s="238">
        <f ca="1">ROUND(IF('数据-取费表'!B22&lt;=1,C40*F22*'数据-取费表'!B21/2,C40*(POWER((1+F22),'数据-取费表'!B21/2)-1)),4)</f>
        <v>6.9999999999999999E-4</v>
      </c>
      <c r="D44" s="238"/>
      <c r="E44" s="238"/>
      <c r="F44" s="239"/>
      <c r="G44" s="3964"/>
    </row>
    <row r="45" spans="1:7" s="214" customFormat="1" ht="13.5" customHeight="1">
      <c r="A45" s="255" t="s">
        <v>1545</v>
      </c>
      <c r="B45" s="244" t="s">
        <v>1511</v>
      </c>
      <c r="C45" s="245">
        <f ca="1">C46</f>
        <v>47</v>
      </c>
      <c r="D45" s="235">
        <f ca="1">C47</f>
        <v>4.0000000000000001E-3</v>
      </c>
      <c r="E45" s="236" t="s">
        <v>1537</v>
      </c>
      <c r="F45" s="246">
        <f ca="1">F27</f>
        <v>0.2</v>
      </c>
      <c r="G45" s="247" t="s">
        <v>1546</v>
      </c>
    </row>
    <row r="46" spans="1:7" s="214" customFormat="1" ht="13.5" customHeight="1">
      <c r="A46" s="780" t="s">
        <v>346</v>
      </c>
      <c r="B46" s="248" t="s">
        <v>1547</v>
      </c>
      <c r="C46" s="249">
        <f ca="1">ROUND((C33+C39)*F27,0)</f>
        <v>47</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313</v>
      </c>
      <c r="D49" s="232"/>
      <c r="E49" s="232"/>
      <c r="F49" s="264"/>
      <c r="G49" s="234" t="s">
        <v>1552</v>
      </c>
    </row>
    <row r="50" spans="1:7" s="258" customFormat="1" ht="24">
      <c r="A50" s="255" t="s">
        <v>1553</v>
      </c>
      <c r="B50" s="210" t="s">
        <v>1554</v>
      </c>
      <c r="C50" s="232"/>
      <c r="D50" s="232"/>
      <c r="E50" s="232"/>
      <c r="F50" s="264">
        <f>IF('数据-取费表'!B24=0,'数据-取费表'!N16,1)</f>
        <v>0.7</v>
      </c>
      <c r="G50" s="247" t="s">
        <v>1555</v>
      </c>
    </row>
    <row r="51" spans="1:7" ht="16.5" customHeight="1">
      <c r="A51" s="255" t="s">
        <v>1556</v>
      </c>
      <c r="B51" s="210" t="s">
        <v>1557</v>
      </c>
      <c r="C51" s="232">
        <f ca="1">ROUND(C49*F50,0)</f>
        <v>219</v>
      </c>
      <c r="D51" s="232"/>
      <c r="E51" s="232"/>
      <c r="F51" s="264"/>
      <c r="G51" s="234" t="s">
        <v>1558</v>
      </c>
    </row>
    <row r="52" spans="1:7" s="208" customFormat="1" ht="16.5" thickBot="1">
      <c r="A52" s="265" t="s">
        <v>1559</v>
      </c>
      <c r="B52" s="266"/>
      <c r="C52" s="267">
        <f ca="1">C31+C51</f>
        <v>245</v>
      </c>
      <c r="D52" s="266"/>
      <c r="E52" s="266"/>
      <c r="F52" s="266"/>
      <c r="G52" s="268"/>
    </row>
    <row r="55" spans="1:7" ht="15">
      <c r="B55" s="270" t="s">
        <v>1560</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779" t="str">
        <f>项目基本情况!B1</f>
        <v>北京市房地产市场价值预评估</v>
      </c>
      <c r="C37" s="3779"/>
      <c r="D37" s="3779"/>
      <c r="E37" s="3779"/>
      <c r="F37" s="3779"/>
      <c r="G37" s="3779"/>
      <c r="H37" s="3779"/>
      <c r="I37" s="377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4" zoomScale="80" zoomScaleNormal="70" zoomScaleSheetLayoutView="80" workbookViewId="0">
      <selection activeCell="K28" sqref="K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3499</v>
      </c>
      <c r="E1" s="3424" t="s">
        <v>3559</v>
      </c>
      <c r="F1" s="1879" t="s">
        <v>3560</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0.58560000000000001</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12.5</v>
      </c>
      <c r="C3" s="354" t="s">
        <v>1766</v>
      </c>
      <c r="D3" s="353">
        <f>IF(D1="",'数据-汇总表'!E3,SUMIF('数据-汇总表'!$C19:$C33,D1,'数据-汇总表'!$E19:$E33))</f>
        <v>468.48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1767</v>
      </c>
      <c r="B4" s="356"/>
      <c r="C4" s="3984" t="s">
        <v>1768</v>
      </c>
      <c r="D4" s="3985"/>
      <c r="E4" s="3986" t="s">
        <v>1769</v>
      </c>
      <c r="F4" s="3987"/>
      <c r="G4" s="3984" t="s">
        <v>1770</v>
      </c>
      <c r="H4" s="3985"/>
      <c r="I4" s="3984" t="s">
        <v>1771</v>
      </c>
      <c r="J4" s="3985"/>
      <c r="K4" s="559" t="s">
        <v>1772</v>
      </c>
      <c r="L4" s="2713"/>
      <c r="M4" s="2714"/>
      <c r="N4" s="2714"/>
      <c r="O4" s="2714"/>
      <c r="P4" s="3988" t="s">
        <v>1773</v>
      </c>
      <c r="Q4" s="3989"/>
      <c r="R4" s="3994" t="s">
        <v>1769</v>
      </c>
      <c r="S4" s="3995"/>
      <c r="T4" s="3994" t="s">
        <v>1770</v>
      </c>
      <c r="U4" s="3995"/>
      <c r="V4" s="3979" t="s">
        <v>1771</v>
      </c>
      <c r="W4" s="3979"/>
      <c r="X4" s="1355"/>
      <c r="Y4" s="3994" t="s">
        <v>1773</v>
      </c>
      <c r="Z4" s="3995"/>
      <c r="AA4" s="3981" t="s">
        <v>1769</v>
      </c>
      <c r="AB4" s="3979" t="s">
        <v>1770</v>
      </c>
      <c r="AC4" s="3981" t="s">
        <v>1771</v>
      </c>
    </row>
    <row r="5" spans="1:29" ht="15">
      <c r="A5" s="358"/>
      <c r="B5" s="359"/>
      <c r="C5" s="4007" t="s">
        <v>4820</v>
      </c>
      <c r="D5" s="4008"/>
      <c r="E5" s="4002" t="s">
        <v>4822</v>
      </c>
      <c r="F5" s="4003"/>
      <c r="G5" s="4002" t="s">
        <v>4824</v>
      </c>
      <c r="H5" s="4003"/>
      <c r="I5" s="4007" t="s">
        <v>4825</v>
      </c>
      <c r="J5" s="4008"/>
      <c r="K5" s="559"/>
      <c r="L5" s="2713"/>
      <c r="M5" s="2714"/>
      <c r="N5" s="2714"/>
      <c r="O5" s="2714"/>
      <c r="P5" s="3990"/>
      <c r="Q5" s="3991"/>
      <c r="R5" s="3996"/>
      <c r="S5" s="3997"/>
      <c r="T5" s="3996"/>
      <c r="U5" s="3997"/>
      <c r="V5" s="3979"/>
      <c r="W5" s="3979"/>
      <c r="X5" s="1355"/>
      <c r="Y5" s="3996"/>
      <c r="Z5" s="3997"/>
      <c r="AA5" s="3982"/>
      <c r="AB5" s="3979"/>
      <c r="AC5" s="3982"/>
    </row>
    <row r="6" spans="1:29" ht="15.75" thickBot="1">
      <c r="A6" s="360"/>
      <c r="B6" s="361"/>
      <c r="C6" s="4000" t="s">
        <v>1675</v>
      </c>
      <c r="D6" s="4001"/>
      <c r="E6" s="4010" t="s">
        <v>1675</v>
      </c>
      <c r="F6" s="4011"/>
      <c r="G6" s="4000" t="s">
        <v>1675</v>
      </c>
      <c r="H6" s="4001"/>
      <c r="I6" s="4000" t="s">
        <v>1675</v>
      </c>
      <c r="J6" s="4001"/>
      <c r="K6" s="559" t="s">
        <v>1676</v>
      </c>
      <c r="L6" s="2713"/>
      <c r="M6" s="2714"/>
      <c r="N6" s="2714"/>
      <c r="O6" s="2714"/>
      <c r="P6" s="3992"/>
      <c r="Q6" s="3993"/>
      <c r="R6" s="3996"/>
      <c r="S6" s="3997"/>
      <c r="T6" s="3998"/>
      <c r="U6" s="3999"/>
      <c r="V6" s="3979"/>
      <c r="W6" s="3979"/>
      <c r="X6" s="1355"/>
      <c r="Y6" s="3998"/>
      <c r="Z6" s="3999"/>
      <c r="AA6" s="3983"/>
      <c r="AB6" s="3979"/>
      <c r="AC6" s="3983"/>
    </row>
    <row r="7" spans="1:29" s="108" customFormat="1" ht="15.75" thickBot="1">
      <c r="A7" s="362" t="s">
        <v>1677</v>
      </c>
      <c r="B7" s="363"/>
      <c r="C7" s="364">
        <f>'数据-取费表'!B2</f>
        <v>45583</v>
      </c>
      <c r="D7" s="365">
        <v>100</v>
      </c>
      <c r="E7" s="366">
        <f>C7</f>
        <v>45583</v>
      </c>
      <c r="F7" s="367">
        <f>SUMIF(58:58,YEAR(E7)&amp;"-"&amp;MONTH(E7),59:59)</f>
        <v>100</v>
      </c>
      <c r="G7" s="366">
        <f>C7</f>
        <v>45583</v>
      </c>
      <c r="H7" s="365">
        <f>SUMIF(58:58,YEAR(G7)&amp;"-"&amp;MONTH(G7),59:59)</f>
        <v>100</v>
      </c>
      <c r="I7" s="366">
        <f>C7</f>
        <v>45583</v>
      </c>
      <c r="J7" s="365">
        <f>SUMIF(58:58,YEAR(I7)&amp;"-"&amp;MONTH(I7),59:59)</f>
        <v>100</v>
      </c>
      <c r="K7" s="560"/>
      <c r="L7" s="2715"/>
      <c r="M7" s="2716"/>
      <c r="N7" s="2716"/>
      <c r="O7" s="2716"/>
      <c r="P7" s="4004" t="s">
        <v>1678</v>
      </c>
      <c r="Q7" s="4006"/>
      <c r="R7" s="701" t="s">
        <v>14</v>
      </c>
      <c r="S7" s="702">
        <f t="shared" ref="S7:S15" si="0">F7</f>
        <v>100</v>
      </c>
      <c r="T7" s="701" t="s">
        <v>14</v>
      </c>
      <c r="U7" s="702">
        <f t="shared" ref="U7:U15" si="1">H7</f>
        <v>100</v>
      </c>
      <c r="V7" s="701" t="s">
        <v>14</v>
      </c>
      <c r="W7" s="702">
        <f t="shared" ref="W7:W15" si="2">J7</f>
        <v>100</v>
      </c>
      <c r="X7" s="703"/>
      <c r="Y7" s="4004" t="s">
        <v>1678</v>
      </c>
      <c r="Z7" s="4005"/>
      <c r="AA7" s="704">
        <f>D7/F7</f>
        <v>1</v>
      </c>
      <c r="AB7" s="704">
        <f>D7/H7</f>
        <v>1</v>
      </c>
      <c r="AC7" s="704">
        <f>D7/J7</f>
        <v>1</v>
      </c>
    </row>
    <row r="8" spans="1:29" s="108" customFormat="1" ht="15.75" thickBot="1">
      <c r="A8" s="362" t="s">
        <v>1679</v>
      </c>
      <c r="B8" s="363"/>
      <c r="C8" s="368" t="s">
        <v>3553</v>
      </c>
      <c r="D8" s="365">
        <v>100</v>
      </c>
      <c r="E8" s="368" t="s">
        <v>3893</v>
      </c>
      <c r="F8" s="367">
        <f>SUMIF(61:61,E8,62:62)-SUMIF(61:61,C8,62:62)+100</f>
        <v>102</v>
      </c>
      <c r="G8" s="368" t="s">
        <v>3553</v>
      </c>
      <c r="H8" s="365">
        <f>SUMIF(61:61,G8,62:62)-SUMIF(61:61,C8,62:62)+100</f>
        <v>100</v>
      </c>
      <c r="I8" s="368" t="s">
        <v>3553</v>
      </c>
      <c r="J8" s="365">
        <f>SUMIF(61:61,I8,62:62)-SUMIF(61:61,C8,62:62)+100</f>
        <v>100</v>
      </c>
      <c r="K8" s="560"/>
      <c r="L8" s="2715"/>
      <c r="M8" s="2716"/>
      <c r="N8" s="2716"/>
      <c r="O8" s="2716"/>
      <c r="P8" s="4004" t="s">
        <v>1681</v>
      </c>
      <c r="Q8" s="4005"/>
      <c r="R8" s="701" t="s">
        <v>14</v>
      </c>
      <c r="S8" s="702">
        <f t="shared" si="0"/>
        <v>102</v>
      </c>
      <c r="T8" s="701" t="s">
        <v>14</v>
      </c>
      <c r="U8" s="702">
        <f t="shared" si="1"/>
        <v>100</v>
      </c>
      <c r="V8" s="701" t="s">
        <v>14</v>
      </c>
      <c r="W8" s="702">
        <f t="shared" si="2"/>
        <v>100</v>
      </c>
      <c r="X8" s="703"/>
      <c r="Y8" s="4004" t="s">
        <v>1681</v>
      </c>
      <c r="Z8" s="4005"/>
      <c r="AA8" s="704">
        <f t="shared" ref="AA8:AA46" si="3">D8/F8</f>
        <v>0.98039215686274506</v>
      </c>
      <c r="AB8" s="704">
        <f t="shared" ref="AB8:AB46" si="4">D8/H8</f>
        <v>1</v>
      </c>
      <c r="AC8" s="704">
        <f t="shared" ref="AC8:AC46" si="5">D8/J8</f>
        <v>1</v>
      </c>
    </row>
    <row r="9" spans="1:29" s="108" customFormat="1">
      <c r="A9" s="369" t="s">
        <v>1682</v>
      </c>
      <c r="B9" s="63" t="s">
        <v>1683</v>
      </c>
      <c r="C9" s="3538" t="s">
        <v>3554</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980" t="s">
        <v>1684</v>
      </c>
      <c r="Q9" s="1343" t="str">
        <f t="shared" ref="Q9:Q15" si="6">B9</f>
        <v>用途</v>
      </c>
      <c r="R9" s="701" t="s">
        <v>14</v>
      </c>
      <c r="S9" s="702">
        <f t="shared" si="0"/>
        <v>100</v>
      </c>
      <c r="T9" s="701" t="s">
        <v>14</v>
      </c>
      <c r="U9" s="702">
        <f t="shared" si="1"/>
        <v>100</v>
      </c>
      <c r="V9" s="701" t="s">
        <v>14</v>
      </c>
      <c r="W9" s="702">
        <f t="shared" si="2"/>
        <v>100</v>
      </c>
      <c r="X9" s="703"/>
      <c r="Y9" s="3869"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3"/>
      <c r="H10" s="127">
        <f>SUMIF(65:65,G10,66:66)-SUMIF(65:65,C10,66:66)+100</f>
        <v>100</v>
      </c>
      <c r="I10" s="3432"/>
      <c r="J10" s="127">
        <f>SUMIF(65:65,I10,66:66)-SUMIF(65:65,C10,66:66)+100</f>
        <v>100</v>
      </c>
      <c r="K10" s="560"/>
      <c r="L10" s="2717"/>
      <c r="M10" s="2718"/>
      <c r="N10" s="2718"/>
      <c r="O10" s="2718"/>
      <c r="P10" s="3980"/>
      <c r="Q10" s="1343" t="str">
        <f t="shared" si="6"/>
        <v>土地使用年限（年）</v>
      </c>
      <c r="R10" s="701" t="s">
        <v>14</v>
      </c>
      <c r="S10" s="702">
        <f t="shared" si="0"/>
        <v>100</v>
      </c>
      <c r="T10" s="701" t="s">
        <v>14</v>
      </c>
      <c r="U10" s="702">
        <f t="shared" si="1"/>
        <v>100</v>
      </c>
      <c r="V10" s="701" t="s">
        <v>14</v>
      </c>
      <c r="W10" s="702">
        <f t="shared" si="2"/>
        <v>100</v>
      </c>
      <c r="X10" s="703"/>
      <c r="Y10" s="3869"/>
      <c r="Z10" s="52" t="str">
        <f t="shared" si="7"/>
        <v>土地使用年限（年）</v>
      </c>
      <c r="AA10" s="704">
        <f t="shared" si="3"/>
        <v>1</v>
      </c>
      <c r="AB10" s="704">
        <f t="shared" si="4"/>
        <v>1</v>
      </c>
      <c r="AC10" s="704">
        <f t="shared" si="5"/>
        <v>1</v>
      </c>
    </row>
    <row r="11" spans="1:29" ht="15.75" thickBot="1">
      <c r="A11" s="379"/>
      <c r="B11" s="375" t="s">
        <v>1687</v>
      </c>
      <c r="C11" s="380"/>
      <c r="D11" s="127">
        <v>100</v>
      </c>
      <c r="E11" s="381"/>
      <c r="F11" s="376">
        <f>LOOKUP(E11,68:68,69:69)-LOOKUP(C11,68:68,69:69)+100</f>
        <v>100</v>
      </c>
      <c r="G11" s="381"/>
      <c r="H11" s="127">
        <f>LOOKUP(G11,68:68,69:69)-LOOKUP(C11,68:68,69:69)+100</f>
        <v>100</v>
      </c>
      <c r="I11" s="380"/>
      <c r="J11" s="127">
        <f>LOOKUP(I11,68:68,69:69)-LOOKUP(C11,68:68,69:69)+100</f>
        <v>100</v>
      </c>
      <c r="K11" s="561"/>
      <c r="L11" s="2719"/>
      <c r="M11" s="2714"/>
      <c r="N11" s="2714"/>
      <c r="O11" s="2714"/>
      <c r="P11" s="3980"/>
      <c r="Q11" s="1343" t="str">
        <f t="shared" si="6"/>
        <v>容积率</v>
      </c>
      <c r="R11" s="701" t="s">
        <v>14</v>
      </c>
      <c r="S11" s="702">
        <f t="shared" si="0"/>
        <v>100</v>
      </c>
      <c r="T11" s="701" t="s">
        <v>14</v>
      </c>
      <c r="U11" s="702">
        <f t="shared" si="1"/>
        <v>100</v>
      </c>
      <c r="V11" s="701" t="s">
        <v>14</v>
      </c>
      <c r="W11" s="702">
        <f t="shared" si="2"/>
        <v>100</v>
      </c>
      <c r="X11" s="703"/>
      <c r="Y11" s="3869"/>
      <c r="Z11" s="5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980"/>
      <c r="Q12" s="1343">
        <f t="shared" si="6"/>
        <v>111</v>
      </c>
      <c r="R12" s="701" t="s">
        <v>14</v>
      </c>
      <c r="S12" s="702">
        <f t="shared" si="0"/>
        <v>100</v>
      </c>
      <c r="T12" s="701" t="s">
        <v>14</v>
      </c>
      <c r="U12" s="702">
        <f t="shared" si="1"/>
        <v>100</v>
      </c>
      <c r="V12" s="701" t="s">
        <v>14</v>
      </c>
      <c r="W12" s="702">
        <f t="shared" si="2"/>
        <v>100</v>
      </c>
      <c r="X12" s="703"/>
      <c r="Y12" s="3869"/>
      <c r="Z12" s="5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980"/>
      <c r="Q13" s="1343">
        <f t="shared" si="6"/>
        <v>111</v>
      </c>
      <c r="R13" s="701" t="s">
        <v>14</v>
      </c>
      <c r="S13" s="702">
        <f t="shared" si="0"/>
        <v>100</v>
      </c>
      <c r="T13" s="701" t="s">
        <v>14</v>
      </c>
      <c r="U13" s="702">
        <f t="shared" si="1"/>
        <v>100</v>
      </c>
      <c r="V13" s="701" t="s">
        <v>14</v>
      </c>
      <c r="W13" s="702">
        <f t="shared" si="2"/>
        <v>100</v>
      </c>
      <c r="X13" s="703"/>
      <c r="Y13" s="3869"/>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980"/>
      <c r="Q14" s="1343">
        <f t="shared" si="6"/>
        <v>111</v>
      </c>
      <c r="R14" s="701" t="s">
        <v>14</v>
      </c>
      <c r="S14" s="702">
        <f t="shared" si="0"/>
        <v>100</v>
      </c>
      <c r="T14" s="701" t="s">
        <v>14</v>
      </c>
      <c r="U14" s="702">
        <f t="shared" si="1"/>
        <v>100</v>
      </c>
      <c r="V14" s="701" t="s">
        <v>14</v>
      </c>
      <c r="W14" s="702">
        <f t="shared" si="2"/>
        <v>100</v>
      </c>
      <c r="X14" s="703"/>
      <c r="Y14" s="3869"/>
      <c r="Z14" s="52">
        <f t="shared" si="7"/>
        <v>111</v>
      </c>
      <c r="AA14" s="704">
        <f t="shared" si="3"/>
        <v>1</v>
      </c>
      <c r="AB14" s="704">
        <f t="shared" si="4"/>
        <v>1</v>
      </c>
      <c r="AC14" s="704">
        <f t="shared" si="5"/>
        <v>1</v>
      </c>
    </row>
    <row r="15" spans="1:29" ht="18.75" customHeight="1">
      <c r="A15" s="391" t="s">
        <v>1688</v>
      </c>
      <c r="B15" s="61" t="s">
        <v>1775</v>
      </c>
      <c r="C15" s="1896" t="str">
        <f>估价对象房地状况!C4</f>
        <v>一般</v>
      </c>
      <c r="D15" s="392">
        <v>100</v>
      </c>
      <c r="E15" s="4222" t="s">
        <v>3527</v>
      </c>
      <c r="F15" s="394">
        <f>SUMIF(76:76,E16,77:77)-SUMIF(76:76,C16,77:77)+100</f>
        <v>100</v>
      </c>
      <c r="G15" s="4223" t="s">
        <v>3495</v>
      </c>
      <c r="H15" s="392">
        <f>SUMIF(76:76,G16,77:77)-SUMIF(76:76,C16,77:77)+100</f>
        <v>102</v>
      </c>
      <c r="I15" s="4223" t="s">
        <v>3495</v>
      </c>
      <c r="J15" s="392">
        <f>SUMIF(76:76,I16,77:77)-SUMIF(76:76,C16,77:77)+100</f>
        <v>102</v>
      </c>
      <c r="K15" s="563">
        <v>2</v>
      </c>
      <c r="L15" s="2720"/>
      <c r="M15" s="2714"/>
      <c r="N15" s="2714"/>
      <c r="O15" s="2714"/>
      <c r="P15" s="3970" t="s">
        <v>1689</v>
      </c>
      <c r="Q15" s="1352" t="str">
        <f t="shared" si="6"/>
        <v>商业繁华度</v>
      </c>
      <c r="R15" s="705" t="s">
        <v>14</v>
      </c>
      <c r="S15" s="706">
        <f t="shared" si="0"/>
        <v>100</v>
      </c>
      <c r="T15" s="705" t="s">
        <v>14</v>
      </c>
      <c r="U15" s="706">
        <f t="shared" si="1"/>
        <v>102</v>
      </c>
      <c r="V15" s="705" t="s">
        <v>14</v>
      </c>
      <c r="W15" s="706">
        <f t="shared" si="2"/>
        <v>102</v>
      </c>
      <c r="X15" s="1355"/>
      <c r="Y15" s="3972" t="s">
        <v>1689</v>
      </c>
      <c r="Z15" s="1356" t="str">
        <f t="shared" si="7"/>
        <v>商业繁华度</v>
      </c>
      <c r="AA15" s="1353">
        <f t="shared" si="3"/>
        <v>1</v>
      </c>
      <c r="AB15" s="1353">
        <f t="shared" si="4"/>
        <v>0.98039215686274506</v>
      </c>
      <c r="AC15" s="1353">
        <f t="shared" si="5"/>
        <v>0.98039215686274506</v>
      </c>
    </row>
    <row r="16" spans="1:29" ht="18.75" customHeight="1">
      <c r="A16" s="379"/>
      <c r="B16" s="397"/>
      <c r="C16" s="398" t="s">
        <v>3527</v>
      </c>
      <c r="D16" s="399"/>
      <c r="E16" s="398" t="s">
        <v>3527</v>
      </c>
      <c r="F16" s="400"/>
      <c r="G16" s="1901" t="s">
        <v>3495</v>
      </c>
      <c r="H16" s="401"/>
      <c r="I16" s="1901" t="s">
        <v>3495</v>
      </c>
      <c r="J16" s="399"/>
      <c r="K16" s="564"/>
      <c r="L16" s="2720"/>
      <c r="M16" s="2714"/>
      <c r="N16" s="2714"/>
      <c r="O16" s="2714"/>
      <c r="P16" s="3971"/>
      <c r="Q16" s="1352"/>
      <c r="R16" s="705"/>
      <c r="S16" s="706"/>
      <c r="T16" s="705"/>
      <c r="U16" s="706"/>
      <c r="V16" s="705"/>
      <c r="W16" s="706"/>
      <c r="X16" s="1355"/>
      <c r="Y16" s="3973"/>
      <c r="Z16" s="1356"/>
      <c r="AA16" s="1353">
        <v>1</v>
      </c>
      <c r="AB16" s="1353">
        <v>1</v>
      </c>
      <c r="AC16" s="1353">
        <v>1</v>
      </c>
    </row>
    <row r="17" spans="1:29" ht="18.75" customHeight="1">
      <c r="A17" s="379"/>
      <c r="B17" s="402" t="s">
        <v>1257</v>
      </c>
      <c r="C17" s="1900" t="str">
        <f>估价对象房地状况!C6</f>
        <v>较好</v>
      </c>
      <c r="D17" s="401">
        <v>100</v>
      </c>
      <c r="E17" s="4223" t="s">
        <v>3495</v>
      </c>
      <c r="F17" s="404">
        <f>SUMIF(78:78,E18,79:79)-SUMIF(78:78,C18,79:79)+100</f>
        <v>100</v>
      </c>
      <c r="G17" s="4223" t="s">
        <v>3495</v>
      </c>
      <c r="H17" s="406">
        <f>SUMIF(78:78,G18,79:79)-SUMIF(78:78,C18,79:79)+100</f>
        <v>100</v>
      </c>
      <c r="I17" s="4223" t="s">
        <v>3495</v>
      </c>
      <c r="J17" s="406">
        <f>SUMIF(78:78,I18,79:79)-SUMIF(78:78,C18,79:79)+100</f>
        <v>100</v>
      </c>
      <c r="K17" s="563">
        <v>2</v>
      </c>
      <c r="L17" s="2720"/>
      <c r="M17" s="2714"/>
      <c r="N17" s="2714"/>
      <c r="O17" s="2714"/>
      <c r="P17" s="3971"/>
      <c r="Q17" s="1352" t="str">
        <f>B17</f>
        <v>交通便捷度</v>
      </c>
      <c r="R17" s="705" t="s">
        <v>14</v>
      </c>
      <c r="S17" s="706">
        <f>F17</f>
        <v>100</v>
      </c>
      <c r="T17" s="705" t="s">
        <v>14</v>
      </c>
      <c r="U17" s="706">
        <f>H17</f>
        <v>100</v>
      </c>
      <c r="V17" s="705" t="s">
        <v>14</v>
      </c>
      <c r="W17" s="706">
        <f>J17</f>
        <v>100</v>
      </c>
      <c r="X17" s="1355"/>
      <c r="Y17" s="3973"/>
      <c r="Z17" s="1356" t="str">
        <f>Q17</f>
        <v>交通便捷度</v>
      </c>
      <c r="AA17" s="1353">
        <f t="shared" si="3"/>
        <v>1</v>
      </c>
      <c r="AB17" s="1353">
        <f t="shared" si="4"/>
        <v>1</v>
      </c>
      <c r="AC17" s="1353">
        <f t="shared" si="5"/>
        <v>1</v>
      </c>
    </row>
    <row r="18" spans="1:29" ht="18.75" customHeight="1">
      <c r="A18" s="379"/>
      <c r="B18" s="407"/>
      <c r="C18" s="1901" t="s">
        <v>3495</v>
      </c>
      <c r="D18" s="401"/>
      <c r="E18" s="1901" t="s">
        <v>3495</v>
      </c>
      <c r="F18" s="404"/>
      <c r="G18" s="1901" t="s">
        <v>3495</v>
      </c>
      <c r="H18" s="399"/>
      <c r="I18" s="1901" t="s">
        <v>3495</v>
      </c>
      <c r="J18" s="399"/>
      <c r="K18" s="564"/>
      <c r="L18" s="2720"/>
      <c r="M18" s="2714"/>
      <c r="N18" s="2714"/>
      <c r="O18" s="2714"/>
      <c r="P18" s="3971"/>
      <c r="Q18" s="1352"/>
      <c r="R18" s="705"/>
      <c r="S18" s="706"/>
      <c r="T18" s="705"/>
      <c r="U18" s="706"/>
      <c r="V18" s="705"/>
      <c r="W18" s="706"/>
      <c r="X18" s="1355"/>
      <c r="Y18" s="3973"/>
      <c r="Z18" s="1356"/>
      <c r="AA18" s="1353">
        <v>1</v>
      </c>
      <c r="AB18" s="1353">
        <v>1</v>
      </c>
      <c r="AC18" s="1353">
        <v>1</v>
      </c>
    </row>
    <row r="19" spans="1:29" ht="18.75" customHeight="1">
      <c r="A19" s="379"/>
      <c r="B19" s="402" t="s">
        <v>1776</v>
      </c>
      <c r="C19" s="1900" t="str">
        <f>估价对象房地状况!C7</f>
        <v>一般</v>
      </c>
      <c r="D19" s="406">
        <v>100</v>
      </c>
      <c r="E19" s="4223" t="s">
        <v>3527</v>
      </c>
      <c r="F19" s="409">
        <f>SUMIF(80:80,E20,81:81)-SUMIF(80:80,C20,81:81)+100</f>
        <v>100</v>
      </c>
      <c r="G19" s="4223" t="s">
        <v>3527</v>
      </c>
      <c r="H19" s="401">
        <f>SUMIF(80:80,G20,81:81)-SUMIF(80:80,C20,81:81)+100</f>
        <v>100</v>
      </c>
      <c r="I19" s="4223" t="s">
        <v>3495</v>
      </c>
      <c r="J19" s="401">
        <f>SUMIF(80:80,I20,81:81)-SUMIF(80:80,C20,81:81)+100</f>
        <v>102</v>
      </c>
      <c r="K19" s="563">
        <v>2</v>
      </c>
      <c r="L19" s="2720"/>
      <c r="M19" s="2714"/>
      <c r="N19" s="2714"/>
      <c r="O19" s="2714"/>
      <c r="P19" s="3971"/>
      <c r="Q19" s="1352" t="str">
        <f>B19</f>
        <v>公共配套设施</v>
      </c>
      <c r="R19" s="705" t="s">
        <v>14</v>
      </c>
      <c r="S19" s="706">
        <f>F19</f>
        <v>100</v>
      </c>
      <c r="T19" s="705" t="s">
        <v>14</v>
      </c>
      <c r="U19" s="706">
        <f>H19</f>
        <v>100</v>
      </c>
      <c r="V19" s="705" t="s">
        <v>14</v>
      </c>
      <c r="W19" s="706">
        <f>J19</f>
        <v>102</v>
      </c>
      <c r="X19" s="1355"/>
      <c r="Y19" s="3973"/>
      <c r="Z19" s="1356" t="str">
        <f>Q19</f>
        <v>公共配套设施</v>
      </c>
      <c r="AA19" s="1353">
        <f t="shared" si="3"/>
        <v>1</v>
      </c>
      <c r="AB19" s="1353">
        <f t="shared" si="4"/>
        <v>1</v>
      </c>
      <c r="AC19" s="1353">
        <f t="shared" si="5"/>
        <v>0.98039215686274506</v>
      </c>
    </row>
    <row r="20" spans="1:29" ht="18.75" customHeight="1">
      <c r="A20" s="379"/>
      <c r="B20" s="407"/>
      <c r="C20" s="398" t="s">
        <v>3527</v>
      </c>
      <c r="D20" s="399"/>
      <c r="E20" s="398" t="s">
        <v>3527</v>
      </c>
      <c r="F20" s="400"/>
      <c r="G20" s="398" t="s">
        <v>3527</v>
      </c>
      <c r="H20" s="399"/>
      <c r="I20" s="1901" t="s">
        <v>3495</v>
      </c>
      <c r="J20" s="399"/>
      <c r="K20" s="564"/>
      <c r="L20" s="2720"/>
      <c r="M20" s="2714"/>
      <c r="N20" s="2714"/>
      <c r="O20" s="2714"/>
      <c r="P20" s="3971"/>
      <c r="Q20" s="1352"/>
      <c r="R20" s="705"/>
      <c r="S20" s="706"/>
      <c r="T20" s="705"/>
      <c r="U20" s="706"/>
      <c r="V20" s="705"/>
      <c r="W20" s="706"/>
      <c r="X20" s="1355"/>
      <c r="Y20" s="3973"/>
      <c r="Z20" s="1356"/>
      <c r="AA20" s="1353">
        <v>1</v>
      </c>
      <c r="AB20" s="1353">
        <v>1</v>
      </c>
      <c r="AC20" s="1353">
        <v>1</v>
      </c>
    </row>
    <row r="21" spans="1:29" ht="18.75" customHeight="1">
      <c r="A21" s="379"/>
      <c r="B21" s="1131" t="s">
        <v>1777</v>
      </c>
      <c r="C21" s="1900" t="str">
        <f>估价对象房地状况!C8</f>
        <v>七通</v>
      </c>
      <c r="D21" s="406">
        <v>100</v>
      </c>
      <c r="E21" s="4223" t="s">
        <v>3496</v>
      </c>
      <c r="F21" s="409">
        <f>SUMIF(82:82,E22,83:83)-SUMIF(82:82,C22,83:83)+100</f>
        <v>100</v>
      </c>
      <c r="G21" s="4223" t="s">
        <v>3496</v>
      </c>
      <c r="H21" s="401">
        <f>SUMIF(82:82,G22,83:83)-SUMIF(82:82,C22,83:83)+100</f>
        <v>100</v>
      </c>
      <c r="I21" s="4223" t="s">
        <v>3496</v>
      </c>
      <c r="J21" s="401">
        <f>SUMIF(82:82,I22,83:83)-SUMIF(82:82,C22,83:83)+100</f>
        <v>100</v>
      </c>
      <c r="K21" s="563">
        <v>2</v>
      </c>
      <c r="L21" s="2720"/>
      <c r="M21" s="2714"/>
      <c r="N21" s="2714"/>
      <c r="O21" s="2714"/>
      <c r="P21" s="3971"/>
      <c r="Q21" s="1352" t="str">
        <f>B21</f>
        <v>基础设施水平</v>
      </c>
      <c r="R21" s="705" t="s">
        <v>14</v>
      </c>
      <c r="S21" s="706">
        <f>F21</f>
        <v>100</v>
      </c>
      <c r="T21" s="705" t="s">
        <v>14</v>
      </c>
      <c r="U21" s="706">
        <f>H21</f>
        <v>100</v>
      </c>
      <c r="V21" s="705" t="s">
        <v>14</v>
      </c>
      <c r="W21" s="706">
        <f>J21</f>
        <v>100</v>
      </c>
      <c r="X21" s="1355"/>
      <c r="Y21" s="3973"/>
      <c r="Z21" s="1356" t="str">
        <f>Q21</f>
        <v>基础设施水平</v>
      </c>
      <c r="AA21" s="1353">
        <f t="shared" ref="AA21" si="8">D21/F21</f>
        <v>1</v>
      </c>
      <c r="AB21" s="1353">
        <f t="shared" ref="AB21" si="9">D21/H21</f>
        <v>1</v>
      </c>
      <c r="AC21" s="1353">
        <f t="shared" ref="AC21" si="10">D21/J21</f>
        <v>1</v>
      </c>
    </row>
    <row r="22" spans="1:29" ht="18.75" customHeight="1">
      <c r="A22" s="379"/>
      <c r="B22" s="1131"/>
      <c r="C22" s="1901" t="s">
        <v>3496</v>
      </c>
      <c r="D22" s="399"/>
      <c r="E22" s="1901" t="s">
        <v>3496</v>
      </c>
      <c r="F22" s="400"/>
      <c r="G22" s="1901" t="s">
        <v>3496</v>
      </c>
      <c r="H22" s="399"/>
      <c r="I22" s="1901" t="s">
        <v>3496</v>
      </c>
      <c r="J22" s="399"/>
      <c r="K22" s="1130"/>
      <c r="L22" s="2720"/>
      <c r="M22" s="2714"/>
      <c r="N22" s="2714"/>
      <c r="O22" s="2714"/>
      <c r="P22" s="3971"/>
      <c r="Q22" s="1352"/>
      <c r="R22" s="705"/>
      <c r="S22" s="706"/>
      <c r="T22" s="705"/>
      <c r="U22" s="706"/>
      <c r="V22" s="705"/>
      <c r="W22" s="706"/>
      <c r="X22" s="1355"/>
      <c r="Y22" s="3973"/>
      <c r="Z22" s="1356"/>
      <c r="AA22" s="1353">
        <v>1</v>
      </c>
      <c r="AB22" s="1353">
        <v>1</v>
      </c>
      <c r="AC22" s="1353">
        <v>1</v>
      </c>
    </row>
    <row r="23" spans="1:29" ht="18.75" customHeight="1">
      <c r="A23" s="379"/>
      <c r="B23" s="402" t="s">
        <v>1259</v>
      </c>
      <c r="C23" s="1955" t="str">
        <f>估价对象房地状况!C9</f>
        <v>一般</v>
      </c>
      <c r="D23" s="401">
        <v>100</v>
      </c>
      <c r="E23" s="4224" t="s">
        <v>3527</v>
      </c>
      <c r="F23" s="404">
        <f>SUMIF(84:84,E24,85:85)-SUMIF(84:84,C24,85:85)+100</f>
        <v>100</v>
      </c>
      <c r="G23" s="4224" t="s">
        <v>3527</v>
      </c>
      <c r="H23" s="401">
        <f>SUMIF(84:84,G24,85:85)-SUMIF(84:84,C24,85:85)+100</f>
        <v>100</v>
      </c>
      <c r="I23" s="4223" t="s">
        <v>3495</v>
      </c>
      <c r="J23" s="401">
        <f>SUMIF(84:84,I24,85:85)-SUMIF(84:84,C24,85:85)+100</f>
        <v>102</v>
      </c>
      <c r="K23" s="563">
        <v>2</v>
      </c>
      <c r="L23" s="2720"/>
      <c r="M23" s="2714"/>
      <c r="N23" s="2714"/>
      <c r="O23" s="2714"/>
      <c r="P23" s="3971"/>
      <c r="Q23" s="1352" t="str">
        <f>B23</f>
        <v>自然及人文环境</v>
      </c>
      <c r="R23" s="705" t="s">
        <v>14</v>
      </c>
      <c r="S23" s="706">
        <f>F23</f>
        <v>100</v>
      </c>
      <c r="T23" s="705" t="s">
        <v>14</v>
      </c>
      <c r="U23" s="706">
        <f>H23</f>
        <v>100</v>
      </c>
      <c r="V23" s="705" t="s">
        <v>14</v>
      </c>
      <c r="W23" s="706">
        <f>J23</f>
        <v>102</v>
      </c>
      <c r="X23" s="1355"/>
      <c r="Y23" s="3973"/>
      <c r="Z23" s="1356" t="str">
        <f>Q23</f>
        <v>自然及人文环境</v>
      </c>
      <c r="AA23" s="1353">
        <f t="shared" si="3"/>
        <v>1</v>
      </c>
      <c r="AB23" s="1353">
        <f t="shared" si="4"/>
        <v>1</v>
      </c>
      <c r="AC23" s="1353">
        <f t="shared" si="5"/>
        <v>0.98039215686274506</v>
      </c>
    </row>
    <row r="24" spans="1:29" ht="15">
      <c r="A24" s="379"/>
      <c r="B24" s="407"/>
      <c r="C24" s="398" t="s">
        <v>3527</v>
      </c>
      <c r="D24" s="399"/>
      <c r="E24" s="398" t="s">
        <v>3527</v>
      </c>
      <c r="F24" s="400"/>
      <c r="G24" s="398" t="s">
        <v>3527</v>
      </c>
      <c r="H24" s="399"/>
      <c r="I24" s="1901" t="s">
        <v>3495</v>
      </c>
      <c r="J24" s="399"/>
      <c r="K24" s="564"/>
      <c r="L24" s="2720"/>
      <c r="M24" s="2714"/>
      <c r="N24" s="2714"/>
      <c r="O24" s="2714"/>
      <c r="P24" s="3971"/>
      <c r="Q24" s="1352"/>
      <c r="R24" s="705"/>
      <c r="S24" s="706"/>
      <c r="T24" s="705"/>
      <c r="U24" s="706"/>
      <c r="V24" s="705"/>
      <c r="W24" s="706"/>
      <c r="X24" s="1355"/>
      <c r="Y24" s="3973"/>
      <c r="Z24" s="1356"/>
      <c r="AA24" s="1353">
        <v>1</v>
      </c>
      <c r="AB24" s="1353">
        <v>1</v>
      </c>
      <c r="AC24" s="1353">
        <v>1</v>
      </c>
    </row>
    <row r="25" spans="1:29" ht="15">
      <c r="A25" s="379"/>
      <c r="B25" s="375" t="s">
        <v>1778</v>
      </c>
      <c r="C25" s="565" t="s">
        <v>3497</v>
      </c>
      <c r="D25" s="386">
        <v>100</v>
      </c>
      <c r="E25" s="565" t="s">
        <v>3497</v>
      </c>
      <c r="F25" s="412">
        <f>SUMIF(86:86,E25,87:87)-SUMIF(86:86,C25,87:87)+100</f>
        <v>100</v>
      </c>
      <c r="G25" s="565" t="s">
        <v>3497</v>
      </c>
      <c r="H25" s="386">
        <f>SUMIF(86:86,G25,87:87)-SUMIF(86:86,C25,87:87)+100</f>
        <v>100</v>
      </c>
      <c r="I25" s="565" t="s">
        <v>3497</v>
      </c>
      <c r="J25" s="386">
        <f>SUMIF(86:86,I25,87:87)-SUMIF(86:86,C25,87:87)+100</f>
        <v>100</v>
      </c>
      <c r="K25" s="561">
        <v>2</v>
      </c>
      <c r="L25" s="2720"/>
      <c r="M25" s="2714"/>
      <c r="N25" s="2714"/>
      <c r="O25" s="2714"/>
      <c r="P25" s="3971"/>
      <c r="Q25" s="1352" t="str">
        <f t="shared" ref="Q25:Q46" si="11">B25</f>
        <v>临街状况</v>
      </c>
      <c r="R25" s="705" t="s">
        <v>14</v>
      </c>
      <c r="S25" s="706">
        <f>F25</f>
        <v>100</v>
      </c>
      <c r="T25" s="705" t="s">
        <v>14</v>
      </c>
      <c r="U25" s="706">
        <f>H25</f>
        <v>100</v>
      </c>
      <c r="V25" s="705" t="s">
        <v>14</v>
      </c>
      <c r="W25" s="706">
        <f>J25</f>
        <v>100</v>
      </c>
      <c r="X25" s="1355"/>
      <c r="Y25" s="3973"/>
      <c r="Z25" s="1356" t="str">
        <f>Q25</f>
        <v>临街状况</v>
      </c>
      <c r="AA25" s="1353">
        <f t="shared" si="3"/>
        <v>1</v>
      </c>
      <c r="AB25" s="1353">
        <f t="shared" si="4"/>
        <v>1</v>
      </c>
      <c r="AC25" s="1353">
        <f t="shared" si="5"/>
        <v>1</v>
      </c>
    </row>
    <row r="26" spans="1:29" ht="15">
      <c r="A26" s="379"/>
      <c r="B26" s="1133" t="s">
        <v>1779</v>
      </c>
      <c r="C26" s="3539" t="s">
        <v>3555</v>
      </c>
      <c r="D26" s="386">
        <v>100</v>
      </c>
      <c r="E26" s="385" t="s">
        <v>3498</v>
      </c>
      <c r="F26" s="412">
        <f>SUMIF(88:88,E26,89:89)-SUMIF(88:88,C26,89:89)+100</f>
        <v>100</v>
      </c>
      <c r="G26" s="385" t="s">
        <v>3498</v>
      </c>
      <c r="H26" s="386">
        <f>SUMIF(88:88,G26,89:89)-SUMIF(88:88,C26,89:89)+100</f>
        <v>100</v>
      </c>
      <c r="I26" s="385" t="s">
        <v>3498</v>
      </c>
      <c r="J26" s="386">
        <f>SUMIF(88:88,I26,89:89)-SUMIF(88:88,C26,89:89)+100</f>
        <v>100</v>
      </c>
      <c r="K26" s="562"/>
      <c r="L26" s="2720"/>
      <c r="M26" s="2714"/>
      <c r="N26" s="2714"/>
      <c r="O26" s="2714"/>
      <c r="P26" s="3971"/>
      <c r="Q26" s="1352" t="str">
        <f t="shared" si="11"/>
        <v>平面位置/可视性</v>
      </c>
      <c r="R26" s="705" t="s">
        <v>14</v>
      </c>
      <c r="S26" s="706">
        <f>F26</f>
        <v>100</v>
      </c>
      <c r="T26" s="705" t="s">
        <v>14</v>
      </c>
      <c r="U26" s="706">
        <f>H26</f>
        <v>100</v>
      </c>
      <c r="V26" s="705" t="s">
        <v>14</v>
      </c>
      <c r="W26" s="706">
        <f>J26</f>
        <v>100</v>
      </c>
      <c r="X26" s="1355"/>
      <c r="Y26" s="3973"/>
      <c r="Z26" s="1356" t="str">
        <f>Q26</f>
        <v>平面位置/可视性</v>
      </c>
      <c r="AA26" s="1353">
        <f t="shared" si="3"/>
        <v>1</v>
      </c>
      <c r="AB26" s="1353">
        <f t="shared" si="4"/>
        <v>1</v>
      </c>
      <c r="AC26" s="1353">
        <f t="shared" si="5"/>
        <v>1</v>
      </c>
    </row>
    <row r="27" spans="1:29" s="108" customFormat="1" ht="15">
      <c r="A27" s="382"/>
      <c r="B27" s="402" t="s">
        <v>1780</v>
      </c>
      <c r="C27" s="1956" t="s">
        <v>3527</v>
      </c>
      <c r="D27" s="413">
        <v>100</v>
      </c>
      <c r="E27" s="1956" t="s">
        <v>3495</v>
      </c>
      <c r="F27" s="415">
        <f>SUMIF(90:90,E27,91:91)-SUMIF(90:90,C27,91:91)+100</f>
        <v>102</v>
      </c>
      <c r="G27" s="1956" t="s">
        <v>3495</v>
      </c>
      <c r="H27" s="413">
        <f>SUMIF(90:90,G27,91:91)-SUMIF(90:90,C27,91:91)+100</f>
        <v>102</v>
      </c>
      <c r="I27" s="1956" t="s">
        <v>3495</v>
      </c>
      <c r="J27" s="413">
        <f>SUMIF(90:90,I27,91:91)-SUMIF(90:90,C27,91:91)+100</f>
        <v>102</v>
      </c>
      <c r="K27" s="561">
        <v>2</v>
      </c>
      <c r="L27" s="2715"/>
      <c r="M27" s="2716"/>
      <c r="N27" s="2716"/>
      <c r="O27" s="2716"/>
      <c r="P27" s="3971"/>
      <c r="Q27" s="1343" t="str">
        <f t="shared" si="11"/>
        <v>人流量</v>
      </c>
      <c r="R27" s="701" t="s">
        <v>14</v>
      </c>
      <c r="S27" s="702">
        <f>F27</f>
        <v>102</v>
      </c>
      <c r="T27" s="701" t="s">
        <v>14</v>
      </c>
      <c r="U27" s="702">
        <f>H27</f>
        <v>102</v>
      </c>
      <c r="V27" s="701" t="s">
        <v>14</v>
      </c>
      <c r="W27" s="702">
        <f>J27</f>
        <v>102</v>
      </c>
      <c r="X27" s="703"/>
      <c r="Y27" s="3973"/>
      <c r="Z27" s="52" t="str">
        <f>Q27</f>
        <v>人流量</v>
      </c>
      <c r="AA27" s="1353">
        <f>D27/F27</f>
        <v>0.98039215686274506</v>
      </c>
      <c r="AB27" s="1353">
        <f>D27/H27</f>
        <v>0.98039215686274506</v>
      </c>
      <c r="AC27" s="1353">
        <f>D27/J27</f>
        <v>0.98039215686274506</v>
      </c>
    </row>
    <row r="28" spans="1:29" ht="15.75" thickBot="1">
      <c r="A28" s="379"/>
      <c r="B28" s="375" t="s">
        <v>1781</v>
      </c>
      <c r="C28" s="565" t="s">
        <v>3499</v>
      </c>
      <c r="D28" s="386">
        <v>100</v>
      </c>
      <c r="E28" s="565" t="s">
        <v>3499</v>
      </c>
      <c r="F28" s="412">
        <f>SUMIF(92:92,E28,93:93)-SUMIF(92:92,C28,93:93)+100</f>
        <v>100</v>
      </c>
      <c r="G28" s="565" t="s">
        <v>3499</v>
      </c>
      <c r="H28" s="386">
        <f>SUMIF(92:92,G28,93:93)-SUMIF(92:92,C28,93:93)+100</f>
        <v>100</v>
      </c>
      <c r="I28" s="565" t="s">
        <v>3499</v>
      </c>
      <c r="J28" s="386">
        <f>SUMIF(92:92,I28,93:93)-SUMIF(92:92,C28,93:93)+100</f>
        <v>100</v>
      </c>
      <c r="K28" s="562"/>
      <c r="L28" s="2720"/>
      <c r="M28" s="2714"/>
      <c r="N28" s="2714"/>
      <c r="O28" s="2714"/>
      <c r="P28" s="397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973"/>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971"/>
      <c r="Q29" s="1352">
        <f t="shared" si="11"/>
        <v>111</v>
      </c>
      <c r="R29" s="705" t="s">
        <v>14</v>
      </c>
      <c r="S29" s="706">
        <f t="shared" si="12"/>
        <v>100</v>
      </c>
      <c r="T29" s="705" t="s">
        <v>14</v>
      </c>
      <c r="U29" s="706">
        <f t="shared" si="13"/>
        <v>100</v>
      </c>
      <c r="V29" s="705" t="s">
        <v>14</v>
      </c>
      <c r="W29" s="706">
        <f t="shared" si="14"/>
        <v>100</v>
      </c>
      <c r="X29" s="1355"/>
      <c r="Y29" s="3973"/>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971"/>
      <c r="Q30" s="1352">
        <f t="shared" si="11"/>
        <v>111</v>
      </c>
      <c r="R30" s="705" t="s">
        <v>14</v>
      </c>
      <c r="S30" s="706">
        <f t="shared" si="12"/>
        <v>100</v>
      </c>
      <c r="T30" s="705" t="s">
        <v>14</v>
      </c>
      <c r="U30" s="706">
        <f t="shared" si="13"/>
        <v>100</v>
      </c>
      <c r="V30" s="705" t="s">
        <v>14</v>
      </c>
      <c r="W30" s="706">
        <f t="shared" si="14"/>
        <v>100</v>
      </c>
      <c r="X30" s="1355"/>
      <c r="Y30" s="3973"/>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971"/>
      <c r="Q31" s="1352">
        <f t="shared" si="11"/>
        <v>111</v>
      </c>
      <c r="R31" s="705" t="s">
        <v>14</v>
      </c>
      <c r="S31" s="706">
        <f t="shared" si="12"/>
        <v>100</v>
      </c>
      <c r="T31" s="705" t="s">
        <v>14</v>
      </c>
      <c r="U31" s="706">
        <f t="shared" si="13"/>
        <v>100</v>
      </c>
      <c r="V31" s="705" t="s">
        <v>14</v>
      </c>
      <c r="W31" s="706">
        <f t="shared" si="14"/>
        <v>100</v>
      </c>
      <c r="X31" s="1355"/>
      <c r="Y31" s="3973"/>
      <c r="Z31" s="1356">
        <f t="shared" si="15"/>
        <v>111</v>
      </c>
      <c r="AA31" s="1353">
        <f t="shared" si="3"/>
        <v>1</v>
      </c>
      <c r="AB31" s="1353">
        <f t="shared" si="4"/>
        <v>1</v>
      </c>
      <c r="AC31" s="1353">
        <f t="shared" si="5"/>
        <v>1</v>
      </c>
    </row>
    <row r="32" spans="1:29" ht="15">
      <c r="A32" s="391" t="s">
        <v>1692</v>
      </c>
      <c r="B32" s="63" t="s">
        <v>1782</v>
      </c>
      <c r="C32" s="1910" t="s">
        <v>3556</v>
      </c>
      <c r="D32" s="418">
        <v>100</v>
      </c>
      <c r="E32" s="1910" t="s">
        <v>3500</v>
      </c>
      <c r="F32" s="412">
        <f>SUMIF(100:100,E32,101:101)-SUMIF(100:100,C32,101:101)+100</f>
        <v>98</v>
      </c>
      <c r="G32" s="1910" t="s">
        <v>4827</v>
      </c>
      <c r="H32" s="386">
        <f>SUMIF(100:100,G32,101:101)-SUMIF(100:100,C32,101:101)+100</f>
        <v>104</v>
      </c>
      <c r="I32" s="1910" t="s">
        <v>4827</v>
      </c>
      <c r="J32" s="418">
        <f>SUMIF(100:100,I32,101:101)-SUMIF(100:100,C32,101:101)+100</f>
        <v>104</v>
      </c>
      <c r="K32" s="561">
        <v>2</v>
      </c>
      <c r="L32" s="2720"/>
      <c r="M32" s="2714"/>
      <c r="N32" s="2714"/>
      <c r="O32" s="2714"/>
      <c r="P32" s="3974" t="s">
        <v>1694</v>
      </c>
      <c r="Q32" s="1352" t="str">
        <f t="shared" si="11"/>
        <v>商业类型</v>
      </c>
      <c r="R32" s="705" t="s">
        <v>14</v>
      </c>
      <c r="S32" s="706">
        <f t="shared" si="12"/>
        <v>98</v>
      </c>
      <c r="T32" s="705" t="s">
        <v>14</v>
      </c>
      <c r="U32" s="706">
        <f t="shared" si="13"/>
        <v>104</v>
      </c>
      <c r="V32" s="705" t="s">
        <v>14</v>
      </c>
      <c r="W32" s="706">
        <f t="shared" si="14"/>
        <v>104</v>
      </c>
      <c r="X32" s="1355"/>
      <c r="Y32" s="3977" t="s">
        <v>1694</v>
      </c>
      <c r="Z32" s="1356" t="str">
        <f t="shared" si="15"/>
        <v>商业类型</v>
      </c>
      <c r="AA32" s="1353">
        <f t="shared" si="3"/>
        <v>1.0204081632653061</v>
      </c>
      <c r="AB32" s="1353">
        <f t="shared" si="4"/>
        <v>0.96153846153846156</v>
      </c>
      <c r="AC32" s="1353">
        <f t="shared" si="5"/>
        <v>0.96153846153846156</v>
      </c>
    </row>
    <row r="33" spans="1:29" s="422" customFormat="1" ht="15">
      <c r="A33" s="419"/>
      <c r="B33" s="375" t="s">
        <v>1695</v>
      </c>
      <c r="C33" s="420">
        <v>318.36</v>
      </c>
      <c r="D33" s="127">
        <v>100</v>
      </c>
      <c r="E33" s="381">
        <v>100</v>
      </c>
      <c r="F33" s="376">
        <f>LOOKUP(E33,103:103,104:104)-LOOKUP(C33,103:103,104:104)+100</f>
        <v>102</v>
      </c>
      <c r="G33" s="380">
        <v>84.42</v>
      </c>
      <c r="H33" s="127">
        <f>LOOKUP(G33,103:103,104:104)-LOOKUP(C33,103:103,104:104)+100</f>
        <v>102</v>
      </c>
      <c r="I33" s="380">
        <v>97</v>
      </c>
      <c r="J33" s="127">
        <f>LOOKUP(I33,103:103,104:104)-LOOKUP(C33,103:103,104:104)+100</f>
        <v>102</v>
      </c>
      <c r="K33" s="562"/>
      <c r="L33" s="2719"/>
      <c r="M33" s="2721"/>
      <c r="N33" s="2721"/>
      <c r="O33" s="2721"/>
      <c r="P33" s="3975"/>
      <c r="Q33" s="707" t="str">
        <f t="shared" si="11"/>
        <v>项目建筑规模</v>
      </c>
      <c r="R33" s="708" t="s">
        <v>14</v>
      </c>
      <c r="S33" s="709">
        <f t="shared" si="12"/>
        <v>102</v>
      </c>
      <c r="T33" s="708" t="s">
        <v>14</v>
      </c>
      <c r="U33" s="709">
        <f t="shared" si="13"/>
        <v>102</v>
      </c>
      <c r="V33" s="708" t="s">
        <v>14</v>
      </c>
      <c r="W33" s="709">
        <f t="shared" si="14"/>
        <v>102</v>
      </c>
      <c r="X33" s="710"/>
      <c r="Y33" s="3977"/>
      <c r="Z33" s="711" t="str">
        <f t="shared" si="15"/>
        <v>项目建筑规模</v>
      </c>
      <c r="AA33" s="1353">
        <f t="shared" si="3"/>
        <v>0.98039215686274506</v>
      </c>
      <c r="AB33" s="1353">
        <f t="shared" si="4"/>
        <v>0.98039215686274506</v>
      </c>
      <c r="AC33" s="1353">
        <f t="shared" si="5"/>
        <v>0.98039215686274506</v>
      </c>
    </row>
    <row r="34" spans="1:29" ht="15">
      <c r="A34" s="423"/>
      <c r="B34" s="375" t="s">
        <v>1696</v>
      </c>
      <c r="C34" s="1912" t="s">
        <v>3501</v>
      </c>
      <c r="D34" s="386">
        <v>100</v>
      </c>
      <c r="E34" s="1912" t="s">
        <v>3501</v>
      </c>
      <c r="F34" s="412">
        <f>SUMIF(105:105,E34,106:106)-SUMIF(105:105,C34,106:106)+100</f>
        <v>100</v>
      </c>
      <c r="G34" s="1912" t="s">
        <v>3501</v>
      </c>
      <c r="H34" s="386">
        <f>SUMIF(105:105,G34,106:106)-SUMIF(105:105,C34,106:106)+100</f>
        <v>100</v>
      </c>
      <c r="I34" s="1912" t="s">
        <v>3501</v>
      </c>
      <c r="J34" s="386">
        <f>SUMIF(105:105,I34,106:106)-SUMIF(105:105,C34,106:106)+100</f>
        <v>100</v>
      </c>
      <c r="K34" s="561">
        <v>2</v>
      </c>
      <c r="L34" s="2720"/>
      <c r="M34" s="2714"/>
      <c r="N34" s="2714"/>
      <c r="O34" s="2714"/>
      <c r="P34" s="3975"/>
      <c r="Q34" s="1352" t="str">
        <f t="shared" si="11"/>
        <v>建筑结构</v>
      </c>
      <c r="R34" s="705" t="s">
        <v>14</v>
      </c>
      <c r="S34" s="706">
        <f t="shared" si="12"/>
        <v>100</v>
      </c>
      <c r="T34" s="705" t="s">
        <v>14</v>
      </c>
      <c r="U34" s="706">
        <f t="shared" si="13"/>
        <v>100</v>
      </c>
      <c r="V34" s="705" t="s">
        <v>14</v>
      </c>
      <c r="W34" s="706">
        <f t="shared" si="14"/>
        <v>100</v>
      </c>
      <c r="X34" s="1355"/>
      <c r="Y34" s="3977"/>
      <c r="Z34" s="1356" t="str">
        <f t="shared" si="15"/>
        <v>建筑结构</v>
      </c>
      <c r="AA34" s="1353">
        <f t="shared" si="3"/>
        <v>1</v>
      </c>
      <c r="AB34" s="1353">
        <f t="shared" si="4"/>
        <v>1</v>
      </c>
      <c r="AC34" s="1353">
        <f t="shared" si="5"/>
        <v>1</v>
      </c>
    </row>
    <row r="35" spans="1:29" ht="15">
      <c r="A35" s="423"/>
      <c r="B35" s="375" t="s">
        <v>1783</v>
      </c>
      <c r="C35" s="1906" t="s">
        <v>3502</v>
      </c>
      <c r="D35" s="386">
        <v>100</v>
      </c>
      <c r="E35" s="1906" t="s">
        <v>3502</v>
      </c>
      <c r="F35" s="412">
        <f>SUMIF(107:107,E35,108:108)-SUMIF(107:107,C35,108:108)+100</f>
        <v>100</v>
      </c>
      <c r="G35" s="1906" t="s">
        <v>3502</v>
      </c>
      <c r="H35" s="386">
        <f>SUMIF(107:107,G35,108:108)-SUMIF(107:107,C35,108:108)+100</f>
        <v>100</v>
      </c>
      <c r="I35" s="1906" t="s">
        <v>3502</v>
      </c>
      <c r="J35" s="386">
        <f>SUMIF(107:107,I35,108:108)-SUMIF(107:107,C35,108:108)+100</f>
        <v>100</v>
      </c>
      <c r="K35" s="561">
        <v>2</v>
      </c>
      <c r="L35" s="2720"/>
      <c r="M35" s="2714"/>
      <c r="N35" s="2714"/>
      <c r="O35" s="2714"/>
      <c r="P35" s="3975"/>
      <c r="Q35" s="1352" t="str">
        <f t="shared" si="11"/>
        <v>公共部分装修</v>
      </c>
      <c r="R35" s="705" t="s">
        <v>14</v>
      </c>
      <c r="S35" s="706">
        <f t="shared" si="12"/>
        <v>100</v>
      </c>
      <c r="T35" s="705" t="s">
        <v>14</v>
      </c>
      <c r="U35" s="706">
        <f t="shared" si="13"/>
        <v>100</v>
      </c>
      <c r="V35" s="705" t="s">
        <v>14</v>
      </c>
      <c r="W35" s="706">
        <f t="shared" si="14"/>
        <v>100</v>
      </c>
      <c r="X35" s="1355"/>
      <c r="Y35" s="3977"/>
      <c r="Z35" s="1356" t="str">
        <f t="shared" si="15"/>
        <v>公共部分装修</v>
      </c>
      <c r="AA35" s="1353">
        <f t="shared" si="3"/>
        <v>1</v>
      </c>
      <c r="AB35" s="1353">
        <f t="shared" si="4"/>
        <v>1</v>
      </c>
      <c r="AC35" s="1353">
        <f t="shared" si="5"/>
        <v>1</v>
      </c>
    </row>
    <row r="36" spans="1:29" ht="15" hidden="1">
      <c r="A36" s="423"/>
      <c r="B36" s="375" t="s">
        <v>1784</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20"/>
      <c r="M36" s="2714"/>
      <c r="N36" s="2714"/>
      <c r="O36" s="2714"/>
      <c r="P36" s="3975"/>
      <c r="Q36" s="1352" t="str">
        <f t="shared" si="11"/>
        <v>成新度</v>
      </c>
      <c r="R36" s="705" t="s">
        <v>14</v>
      </c>
      <c r="S36" s="706">
        <f t="shared" si="12"/>
        <v>100</v>
      </c>
      <c r="T36" s="705" t="s">
        <v>14</v>
      </c>
      <c r="U36" s="706">
        <f t="shared" si="13"/>
        <v>100</v>
      </c>
      <c r="V36" s="705" t="s">
        <v>14</v>
      </c>
      <c r="W36" s="706">
        <f t="shared" si="14"/>
        <v>100</v>
      </c>
      <c r="X36" s="1355"/>
      <c r="Y36" s="3977"/>
      <c r="Z36" s="1356" t="str">
        <f t="shared" si="15"/>
        <v>成新度</v>
      </c>
      <c r="AA36" s="1353">
        <f t="shared" si="3"/>
        <v>1</v>
      </c>
      <c r="AB36" s="1353">
        <f t="shared" si="4"/>
        <v>1</v>
      </c>
      <c r="AC36" s="1353">
        <f t="shared" si="5"/>
        <v>1</v>
      </c>
    </row>
    <row r="37" spans="1:29" s="108" customFormat="1" ht="15">
      <c r="A37" s="424"/>
      <c r="B37" s="375" t="s">
        <v>1785</v>
      </c>
      <c r="C37" s="1906" t="s">
        <v>3503</v>
      </c>
      <c r="D37" s="127">
        <v>100</v>
      </c>
      <c r="E37" s="1906" t="s">
        <v>3503</v>
      </c>
      <c r="F37" s="412">
        <f>SUMIF(112:112,E37,113:113)-SUMIF(112:112,C37,113:113)+100</f>
        <v>100</v>
      </c>
      <c r="G37" s="1906" t="s">
        <v>3503</v>
      </c>
      <c r="H37" s="386">
        <f>SUMIF(112:112,G37,113:113)-SUMIF(112:112,C37,113:113)+100</f>
        <v>100</v>
      </c>
      <c r="I37" s="1906" t="s">
        <v>3503</v>
      </c>
      <c r="J37" s="386">
        <f>SUMIF(112:112,I37,113:113)-SUMIF(112:112,C37,113:113)+100</f>
        <v>100</v>
      </c>
      <c r="K37" s="561">
        <v>1</v>
      </c>
      <c r="L37" s="2715"/>
      <c r="M37" s="2716"/>
      <c r="N37" s="2716"/>
      <c r="O37" s="2716"/>
      <c r="P37" s="3975"/>
      <c r="Q37" s="1343" t="str">
        <f t="shared" si="11"/>
        <v>市政基础设施</v>
      </c>
      <c r="R37" s="701" t="s">
        <v>14</v>
      </c>
      <c r="S37" s="702">
        <f t="shared" si="12"/>
        <v>100</v>
      </c>
      <c r="T37" s="701" t="s">
        <v>14</v>
      </c>
      <c r="U37" s="702">
        <f t="shared" si="13"/>
        <v>100</v>
      </c>
      <c r="V37" s="701" t="s">
        <v>14</v>
      </c>
      <c r="W37" s="702">
        <f t="shared" si="14"/>
        <v>100</v>
      </c>
      <c r="X37" s="703"/>
      <c r="Y37" s="3977"/>
      <c r="Z37" s="52" t="str">
        <f t="shared" si="15"/>
        <v>市政基础设施</v>
      </c>
      <c r="AA37" s="704">
        <f t="shared" si="3"/>
        <v>1</v>
      </c>
      <c r="AB37" s="704">
        <f t="shared" si="4"/>
        <v>1</v>
      </c>
      <c r="AC37" s="704">
        <f t="shared" si="5"/>
        <v>1</v>
      </c>
    </row>
    <row r="38" spans="1:29" ht="15" hidden="1">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975" t="s">
        <v>1694</v>
      </c>
      <c r="Q38" s="1352" t="str">
        <f t="shared" si="11"/>
        <v>业态</v>
      </c>
      <c r="R38" s="705" t="s">
        <v>14</v>
      </c>
      <c r="S38" s="706">
        <f t="shared" si="12"/>
        <v>100</v>
      </c>
      <c r="T38" s="705" t="s">
        <v>14</v>
      </c>
      <c r="U38" s="706">
        <f t="shared" si="13"/>
        <v>100</v>
      </c>
      <c r="V38" s="705" t="s">
        <v>14</v>
      </c>
      <c r="W38" s="706">
        <f t="shared" si="14"/>
        <v>100</v>
      </c>
      <c r="X38" s="1355"/>
      <c r="Y38" s="3977" t="s">
        <v>1694</v>
      </c>
      <c r="Z38" s="1356" t="str">
        <f t="shared" si="15"/>
        <v>业态</v>
      </c>
      <c r="AA38" s="1353">
        <f t="shared" si="3"/>
        <v>1</v>
      </c>
      <c r="AB38" s="1353">
        <f t="shared" si="4"/>
        <v>1</v>
      </c>
      <c r="AC38" s="1353">
        <f t="shared" si="5"/>
        <v>1</v>
      </c>
    </row>
    <row r="39" spans="1:29" ht="15">
      <c r="A39" s="423"/>
      <c r="B39" s="375" t="s">
        <v>1787</v>
      </c>
      <c r="C39" s="1906" t="s">
        <v>3504</v>
      </c>
      <c r="D39" s="386">
        <v>100</v>
      </c>
      <c r="E39" s="1906" t="s">
        <v>3504</v>
      </c>
      <c r="F39" s="412">
        <f>SUMIF(116:116,E39,117:117)-SUMIF(116:116,C39,117:117)+100</f>
        <v>100</v>
      </c>
      <c r="G39" s="1906" t="s">
        <v>3504</v>
      </c>
      <c r="H39" s="386">
        <f>SUMIF(116:116,G39,117:117)-SUMIF(116:116,C39,117:117)+100</f>
        <v>100</v>
      </c>
      <c r="I39" s="1906" t="s">
        <v>3504</v>
      </c>
      <c r="J39" s="386">
        <f>SUMIF(116:116,I39,117:117)-SUMIF(116:116,C39,117:117)+100</f>
        <v>100</v>
      </c>
      <c r="K39" s="561">
        <v>2</v>
      </c>
      <c r="L39" s="2720"/>
      <c r="M39" s="2714"/>
      <c r="N39" s="2714"/>
      <c r="O39" s="2714"/>
      <c r="P39" s="3975"/>
      <c r="Q39" s="1352" t="str">
        <f t="shared" si="11"/>
        <v>层高</v>
      </c>
      <c r="R39" s="705" t="s">
        <v>14</v>
      </c>
      <c r="S39" s="706">
        <f t="shared" si="12"/>
        <v>100</v>
      </c>
      <c r="T39" s="705" t="s">
        <v>14</v>
      </c>
      <c r="U39" s="706">
        <f t="shared" si="13"/>
        <v>100</v>
      </c>
      <c r="V39" s="705" t="s">
        <v>14</v>
      </c>
      <c r="W39" s="706">
        <f t="shared" si="14"/>
        <v>100</v>
      </c>
      <c r="X39" s="1355"/>
      <c r="Y39" s="3977"/>
      <c r="Z39" s="1356" t="str">
        <f t="shared" si="15"/>
        <v>层高</v>
      </c>
      <c r="AA39" s="1353">
        <f t="shared" si="3"/>
        <v>1</v>
      </c>
      <c r="AB39" s="1353">
        <f t="shared" si="4"/>
        <v>1</v>
      </c>
      <c r="AC39" s="1353">
        <f t="shared" si="5"/>
        <v>1</v>
      </c>
    </row>
    <row r="40" spans="1:29" ht="15" hidden="1">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975"/>
      <c r="Q40" s="1352" t="str">
        <f t="shared" si="11"/>
        <v>单套建筑面积</v>
      </c>
      <c r="R40" s="705" t="s">
        <v>14</v>
      </c>
      <c r="S40" s="706">
        <f t="shared" si="12"/>
        <v>100</v>
      </c>
      <c r="T40" s="705" t="s">
        <v>14</v>
      </c>
      <c r="U40" s="706">
        <f t="shared" si="13"/>
        <v>100</v>
      </c>
      <c r="V40" s="705" t="s">
        <v>14</v>
      </c>
      <c r="W40" s="706">
        <f t="shared" si="14"/>
        <v>100</v>
      </c>
      <c r="X40" s="1355"/>
      <c r="Y40" s="3977"/>
      <c r="Z40" s="1356" t="str">
        <f t="shared" si="15"/>
        <v>单套建筑面积</v>
      </c>
      <c r="AA40" s="1353">
        <f t="shared" si="3"/>
        <v>1</v>
      </c>
      <c r="AB40" s="1353">
        <f t="shared" si="4"/>
        <v>1</v>
      </c>
      <c r="AC40" s="1353">
        <f t="shared" si="5"/>
        <v>1</v>
      </c>
    </row>
    <row r="41" spans="1:29" s="422" customFormat="1" ht="15">
      <c r="A41" s="419"/>
      <c r="B41" s="1354" t="s">
        <v>1789</v>
      </c>
      <c r="C41" s="565" t="s">
        <v>3505</v>
      </c>
      <c r="D41" s="386">
        <v>100</v>
      </c>
      <c r="E41" s="565" t="s">
        <v>3505</v>
      </c>
      <c r="F41" s="412">
        <f>SUMIF(120:120,E41,121:121)-SUMIF(120:120,C41,121:121)+100</f>
        <v>100</v>
      </c>
      <c r="G41" s="565" t="s">
        <v>3505</v>
      </c>
      <c r="H41" s="386">
        <f>SUMIF(120:120,G41,121:121)-SUMIF(120:120,C41,121:121)+100</f>
        <v>100</v>
      </c>
      <c r="I41" s="565" t="s">
        <v>3505</v>
      </c>
      <c r="J41" s="386">
        <f>SUMIF(120:120,I41,121:121)-SUMIF(120:120,C41,121:121)+100</f>
        <v>100</v>
      </c>
      <c r="K41" s="561">
        <v>2</v>
      </c>
      <c r="L41" s="2719"/>
      <c r="M41" s="2721"/>
      <c r="N41" s="2721"/>
      <c r="O41" s="2721"/>
      <c r="P41" s="3975"/>
      <c r="Q41" s="707" t="str">
        <f t="shared" si="11"/>
        <v>进深比</v>
      </c>
      <c r="R41" s="708" t="s">
        <v>14</v>
      </c>
      <c r="S41" s="709">
        <f t="shared" si="12"/>
        <v>100</v>
      </c>
      <c r="T41" s="708" t="s">
        <v>14</v>
      </c>
      <c r="U41" s="709">
        <f t="shared" si="13"/>
        <v>100</v>
      </c>
      <c r="V41" s="708" t="s">
        <v>14</v>
      </c>
      <c r="W41" s="709">
        <f t="shared" si="14"/>
        <v>100</v>
      </c>
      <c r="X41" s="710"/>
      <c r="Y41" s="3977"/>
      <c r="Z41" s="711" t="str">
        <f t="shared" si="15"/>
        <v>进深比</v>
      </c>
      <c r="AA41" s="1353">
        <f t="shared" si="3"/>
        <v>1</v>
      </c>
      <c r="AB41" s="1353">
        <f t="shared" si="4"/>
        <v>1</v>
      </c>
      <c r="AC41" s="1353">
        <f t="shared" si="5"/>
        <v>1</v>
      </c>
    </row>
    <row r="42" spans="1:29" ht="15">
      <c r="A42" s="423"/>
      <c r="B42" s="375" t="s">
        <v>1790</v>
      </c>
      <c r="C42" s="411" t="s">
        <v>3557</v>
      </c>
      <c r="D42" s="386">
        <v>100</v>
      </c>
      <c r="E42" s="1906" t="s">
        <v>3557</v>
      </c>
      <c r="F42" s="412">
        <f>SUMIF(122:122,E42,123:123)-SUMIF(122:122,C42,123:123)+100</f>
        <v>100</v>
      </c>
      <c r="G42" s="1906" t="s">
        <v>3557</v>
      </c>
      <c r="H42" s="386">
        <f>SUMIF(122:122,G42,123:123)-SUMIF(122:122,C42,123:123)+100</f>
        <v>100</v>
      </c>
      <c r="I42" s="1906" t="s">
        <v>3557</v>
      </c>
      <c r="J42" s="386">
        <f>SUMIF(122:122,I42,123:123)-SUMIF(122:122,C42,123:123)+100</f>
        <v>100</v>
      </c>
      <c r="K42" s="561">
        <v>3</v>
      </c>
      <c r="L42" s="2720"/>
      <c r="M42" s="2714"/>
      <c r="N42" s="2714"/>
      <c r="O42" s="2714"/>
      <c r="P42" s="3975"/>
      <c r="Q42" s="1352" t="str">
        <f t="shared" si="11"/>
        <v>内部装修</v>
      </c>
      <c r="R42" s="705" t="s">
        <v>14</v>
      </c>
      <c r="S42" s="706">
        <f t="shared" si="12"/>
        <v>100</v>
      </c>
      <c r="T42" s="705" t="s">
        <v>14</v>
      </c>
      <c r="U42" s="706">
        <f t="shared" si="13"/>
        <v>100</v>
      </c>
      <c r="V42" s="705" t="s">
        <v>14</v>
      </c>
      <c r="W42" s="706">
        <f t="shared" si="14"/>
        <v>100</v>
      </c>
      <c r="X42" s="1355"/>
      <c r="Y42" s="3977"/>
      <c r="Z42" s="1356" t="str">
        <f t="shared" si="15"/>
        <v>内部装修</v>
      </c>
      <c r="AA42" s="1353">
        <f t="shared" si="3"/>
        <v>1</v>
      </c>
      <c r="AB42" s="1353">
        <f t="shared" si="4"/>
        <v>1</v>
      </c>
      <c r="AC42" s="1353">
        <f t="shared" si="5"/>
        <v>1</v>
      </c>
    </row>
    <row r="43" spans="1:29" ht="15">
      <c r="A43" s="423"/>
      <c r="B43" s="375" t="s">
        <v>1705</v>
      </c>
      <c r="C43" s="1906" t="s">
        <v>3495</v>
      </c>
      <c r="D43" s="386">
        <v>100</v>
      </c>
      <c r="E43" s="1906" t="s">
        <v>3495</v>
      </c>
      <c r="F43" s="412">
        <f>SUMIF(124:124,E43,125:125)-SUMIF(124:124,C43,125:125)+100</f>
        <v>100</v>
      </c>
      <c r="G43" s="1906" t="s">
        <v>3495</v>
      </c>
      <c r="H43" s="386">
        <f>SUMIF(124:124,G43,125:125)-SUMIF(124:124,C43,125:125)+100</f>
        <v>100</v>
      </c>
      <c r="I43" s="1906" t="s">
        <v>3495</v>
      </c>
      <c r="J43" s="386">
        <f>SUMIF(124:124,I43,125:125)-SUMIF(124:124,C43,125:125)+100</f>
        <v>100</v>
      </c>
      <c r="K43" s="561">
        <v>2</v>
      </c>
      <c r="L43" s="2720"/>
      <c r="M43" s="2714"/>
      <c r="N43" s="2714"/>
      <c r="O43" s="2714"/>
      <c r="P43" s="3975"/>
      <c r="Q43" s="1352" t="str">
        <f t="shared" si="11"/>
        <v>内部装修维护情况</v>
      </c>
      <c r="R43" s="705" t="s">
        <v>14</v>
      </c>
      <c r="S43" s="706">
        <f t="shared" si="12"/>
        <v>100</v>
      </c>
      <c r="T43" s="705" t="s">
        <v>14</v>
      </c>
      <c r="U43" s="706">
        <f t="shared" si="13"/>
        <v>100</v>
      </c>
      <c r="V43" s="705" t="s">
        <v>14</v>
      </c>
      <c r="W43" s="706">
        <f t="shared" si="14"/>
        <v>100</v>
      </c>
      <c r="X43" s="1355"/>
      <c r="Y43" s="3977"/>
      <c r="Z43" s="1356" t="str">
        <f t="shared" si="15"/>
        <v>内部装修维护情况</v>
      </c>
      <c r="AA43" s="1353">
        <f t="shared" si="3"/>
        <v>1</v>
      </c>
      <c r="AB43" s="1353">
        <f t="shared" si="4"/>
        <v>1</v>
      </c>
      <c r="AC43" s="1353">
        <f t="shared" si="5"/>
        <v>1</v>
      </c>
    </row>
    <row r="44" spans="1:29" s="108" customFormat="1" ht="15">
      <c r="A44" s="424"/>
      <c r="B44" s="3640" t="s">
        <v>3889</v>
      </c>
      <c r="C44" s="3641" t="s">
        <v>3890</v>
      </c>
      <c r="D44" s="127">
        <v>100</v>
      </c>
      <c r="E44" s="3539" t="s">
        <v>4823</v>
      </c>
      <c r="F44" s="376">
        <f>SUMIF(126:126,E44,127:127)-SUMIF(126:126,C44,127:127)+100</f>
        <v>100</v>
      </c>
      <c r="G44" s="3539" t="s">
        <v>3891</v>
      </c>
      <c r="H44" s="127">
        <f>SUMIF(126:126,G44,127:127)-SUMIF(126:126,C44,127:127)+100</f>
        <v>100</v>
      </c>
      <c r="I44" s="3539" t="s">
        <v>4826</v>
      </c>
      <c r="J44" s="127">
        <f>SUMIF(126:126,I44,127:127)-SUMIF(126:126,C44,127:127)+100</f>
        <v>100</v>
      </c>
      <c r="K44" s="562"/>
      <c r="L44" s="2715"/>
      <c r="M44" s="2716"/>
      <c r="N44" s="2716"/>
      <c r="O44" s="2716"/>
      <c r="P44" s="3975"/>
      <c r="Q44" s="1343" t="str">
        <f t="shared" si="11"/>
        <v>经营类型</v>
      </c>
      <c r="R44" s="701" t="s">
        <v>14</v>
      </c>
      <c r="S44" s="702">
        <f t="shared" si="12"/>
        <v>100</v>
      </c>
      <c r="T44" s="701" t="s">
        <v>14</v>
      </c>
      <c r="U44" s="702">
        <f t="shared" si="13"/>
        <v>100</v>
      </c>
      <c r="V44" s="701" t="s">
        <v>14</v>
      </c>
      <c r="W44" s="702">
        <f t="shared" si="14"/>
        <v>100</v>
      </c>
      <c r="X44" s="703"/>
      <c r="Y44" s="3977"/>
      <c r="Z44" s="52" t="str">
        <f t="shared" si="15"/>
        <v>经营类型</v>
      </c>
      <c r="AA44" s="704">
        <f t="shared" si="3"/>
        <v>1</v>
      </c>
      <c r="AB44" s="704">
        <f t="shared" si="4"/>
        <v>1</v>
      </c>
      <c r="AC44" s="704">
        <f t="shared" si="5"/>
        <v>1</v>
      </c>
    </row>
    <row r="45" spans="1:29" ht="15.75" thickBot="1">
      <c r="A45" s="423"/>
      <c r="B45" s="3640" t="s">
        <v>4831</v>
      </c>
      <c r="C45" s="3539" t="s">
        <v>4833</v>
      </c>
      <c r="D45" s="386">
        <v>100</v>
      </c>
      <c r="E45" s="3539" t="s">
        <v>4833</v>
      </c>
      <c r="F45" s="412">
        <f>SUMIF(128:128,E45,129:129)-SUMIF(128:128,C45,129:129)+100</f>
        <v>100</v>
      </c>
      <c r="G45" s="3539" t="s">
        <v>4833</v>
      </c>
      <c r="H45" s="386">
        <f>SUMIF(128:128,G45,129:129)-SUMIF(128:128,C45,129:129)+100</f>
        <v>100</v>
      </c>
      <c r="I45" s="3539" t="s">
        <v>4833</v>
      </c>
      <c r="J45" s="386">
        <f>SUMIF(128:128,I45,129:129)-SUMIF(128:128,C45,129:129)+100</f>
        <v>100</v>
      </c>
      <c r="K45" s="562"/>
      <c r="L45" s="2720"/>
      <c r="M45" s="2714"/>
      <c r="N45" s="2714"/>
      <c r="O45" s="2714"/>
      <c r="P45" s="3975"/>
      <c r="Q45" s="1352" t="str">
        <f t="shared" si="11"/>
        <v>面积类型</v>
      </c>
      <c r="R45" s="705" t="s">
        <v>14</v>
      </c>
      <c r="S45" s="706">
        <f t="shared" si="12"/>
        <v>100</v>
      </c>
      <c r="T45" s="705" t="s">
        <v>14</v>
      </c>
      <c r="U45" s="706">
        <f t="shared" si="13"/>
        <v>100</v>
      </c>
      <c r="V45" s="705" t="s">
        <v>14</v>
      </c>
      <c r="W45" s="706">
        <f t="shared" si="14"/>
        <v>100</v>
      </c>
      <c r="X45" s="1355"/>
      <c r="Y45" s="3977"/>
      <c r="Z45" s="1356" t="str">
        <f t="shared" si="15"/>
        <v>面积类型</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976"/>
      <c r="Q46" s="1352">
        <f t="shared" si="11"/>
        <v>111</v>
      </c>
      <c r="R46" s="705" t="s">
        <v>14</v>
      </c>
      <c r="S46" s="706">
        <f t="shared" si="12"/>
        <v>100</v>
      </c>
      <c r="T46" s="705" t="s">
        <v>14</v>
      </c>
      <c r="U46" s="706">
        <f t="shared" si="13"/>
        <v>100</v>
      </c>
      <c r="V46" s="705" t="s">
        <v>14</v>
      </c>
      <c r="W46" s="706">
        <f t="shared" si="14"/>
        <v>100</v>
      </c>
      <c r="X46" s="1355"/>
      <c r="Y46" s="3978"/>
      <c r="Z46" s="1356">
        <f t="shared" si="15"/>
        <v>111</v>
      </c>
      <c r="AA46" s="1353">
        <f t="shared" si="3"/>
        <v>1</v>
      </c>
      <c r="AB46" s="1353">
        <f t="shared" si="4"/>
        <v>1</v>
      </c>
      <c r="AC46" s="1353">
        <f t="shared" si="5"/>
        <v>1</v>
      </c>
    </row>
    <row r="47" spans="1:29" ht="15">
      <c r="A47" s="430" t="s">
        <v>1706</v>
      </c>
      <c r="B47" s="431"/>
      <c r="C47" s="1154" t="s">
        <v>0</v>
      </c>
      <c r="D47" s="1155"/>
      <c r="E47" s="1156">
        <v>15</v>
      </c>
      <c r="F47" s="1157"/>
      <c r="G47" s="1158">
        <v>12</v>
      </c>
      <c r="H47" s="1159"/>
      <c r="I47" s="1156">
        <v>14</v>
      </c>
      <c r="J47" s="1159"/>
      <c r="K47" s="714"/>
      <c r="L47" s="2722"/>
      <c r="M47" s="2723"/>
      <c r="N47" s="2714"/>
      <c r="O47" s="2723"/>
      <c r="P47" s="3965" t="str">
        <f>A47</f>
        <v>成交单价（元/平方米）</v>
      </c>
      <c r="Q47" s="3965"/>
      <c r="R47" s="3979">
        <f>E47</f>
        <v>15</v>
      </c>
      <c r="S47" s="3979"/>
      <c r="T47" s="3979">
        <f>G47</f>
        <v>12</v>
      </c>
      <c r="U47" s="3979"/>
      <c r="V47" s="3979">
        <f>I47</f>
        <v>14</v>
      </c>
      <c r="W47" s="3979"/>
      <c r="X47" s="690"/>
      <c r="Y47" s="712"/>
      <c r="Z47" s="690"/>
      <c r="AA47" s="690"/>
      <c r="AB47" s="690"/>
      <c r="AC47" s="690"/>
    </row>
    <row r="48" spans="1:29" ht="15.75" thickBot="1">
      <c r="A48" s="437" t="s">
        <v>1791</v>
      </c>
      <c r="B48" s="438"/>
      <c r="C48" s="1160">
        <f>R49</f>
        <v>12.5</v>
      </c>
      <c r="D48" s="2317" t="s">
        <v>2136</v>
      </c>
      <c r="E48" s="1161">
        <f>R48</f>
        <v>14.4</v>
      </c>
      <c r="F48" s="2318"/>
      <c r="G48" s="1160">
        <f>T48</f>
        <v>10.9</v>
      </c>
      <c r="H48" s="2318"/>
      <c r="I48" s="1161">
        <f>V48</f>
        <v>12.2</v>
      </c>
      <c r="J48" s="2318"/>
      <c r="K48" s="2320">
        <f>F48+H48+J48</f>
        <v>0</v>
      </c>
      <c r="L48" s="2722"/>
      <c r="M48" s="2723"/>
      <c r="N48" s="2714"/>
      <c r="O48" s="2723"/>
      <c r="P48" s="3965" t="str">
        <f>A48</f>
        <v>比较价值（元/平方米）</v>
      </c>
      <c r="Q48" s="3965"/>
      <c r="R48" s="3966">
        <f>IF(F1="售价",ROUND(PRODUCT(R47,AA7:AA46),0),ROUND(PRODUCT(R47,AA7:AA46),1))</f>
        <v>14.4</v>
      </c>
      <c r="S48" s="3966"/>
      <c r="T48" s="3966">
        <f>IF(F1="售价",ROUND(PRODUCT(T47,AB7:AB46),0),ROUND(PRODUCT(T47,AB7:AB46),1))</f>
        <v>10.9</v>
      </c>
      <c r="U48" s="3966"/>
      <c r="V48" s="3966">
        <f>IF(F1="售价",ROUND(PRODUCT(V47,AC7:AC46),0),ROUND(PRODUCT(V47,AC7:AC46),1))</f>
        <v>12.2</v>
      </c>
      <c r="W48" s="3966"/>
      <c r="X48" s="690"/>
      <c r="Y48" s="690"/>
      <c r="Z48" s="690"/>
      <c r="AA48" s="690"/>
      <c r="AB48" s="690"/>
      <c r="AC48" s="690"/>
    </row>
    <row r="49" spans="1:29" ht="15.75" thickBot="1">
      <c r="A49" s="441" t="s">
        <v>1792</v>
      </c>
      <c r="B49" s="442"/>
      <c r="C49" s="1163">
        <f>R49</f>
        <v>12.5</v>
      </c>
      <c r="D49" s="1163"/>
      <c r="E49" s="1163"/>
      <c r="F49" s="1163"/>
      <c r="G49" s="1163"/>
      <c r="H49" s="1163"/>
      <c r="I49" s="1163"/>
      <c r="J49" s="1163"/>
      <c r="K49" s="715"/>
      <c r="L49" s="2722"/>
      <c r="M49" s="2723"/>
      <c r="N49" s="2714"/>
      <c r="O49" s="2723"/>
      <c r="P49" s="3967" t="str">
        <f>A49</f>
        <v>估价对象XX用房的比较价值（楼面单价，元/平方米）</v>
      </c>
      <c r="Q49" s="3968"/>
      <c r="R49" s="3969">
        <f>IF(F1="售价",ROUND(IF(D48="简单平均",AVERAGE(R48:V48),R48*F48+T48*H48+V48*J48),0),ROUND(IF(D48="简单平均",AVERAGE(R48:V48),R48*F48+T48*H48+V48*J48),1))</f>
        <v>12.5</v>
      </c>
      <c r="S49" s="3969"/>
      <c r="T49" s="3969"/>
      <c r="U49" s="3969"/>
      <c r="V49" s="3969"/>
      <c r="W49" s="396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1793</v>
      </c>
      <c r="D52" s="447"/>
      <c r="E52" s="448">
        <f>IF(E47&lt;E48,E48/E47-1,E47/E48-1)</f>
        <v>4.1666666666666741E-2</v>
      </c>
      <c r="F52" s="449" t="str">
        <f>IF(OR(E52&gt;=0.3,E52&lt;=-0.3),"超过30%","")</f>
        <v/>
      </c>
      <c r="G52" s="448">
        <f>IF(G47&lt;G48,G48/G47-1,G47/G48-1)</f>
        <v>0.10091743119266061</v>
      </c>
      <c r="H52" s="449" t="str">
        <f>IF(OR(G52&gt;=0.3,G52&lt;=-0.3),"超过30%","")</f>
        <v/>
      </c>
      <c r="I52" s="448">
        <f>IF(I47&lt;I48,I48/I47-1,I47/I48-1)</f>
        <v>0.14754098360655754</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1794</v>
      </c>
      <c r="D53" s="450"/>
      <c r="E53" s="448">
        <f>IF(E48&lt;G48,G48/E48-1,E48/G48-1)</f>
        <v>0.32110091743119273</v>
      </c>
      <c r="F53" s="449" t="str">
        <f>IF(OR(E53&gt;=0.2,E53&lt;=-0.2),"超过20%","")</f>
        <v>超过20%</v>
      </c>
      <c r="G53" s="448">
        <f>IF(G48&lt;I48,I48/G48-1,G48/I48-1)</f>
        <v>0.11926605504587151</v>
      </c>
      <c r="H53" s="449" t="str">
        <f>IF(OR(G53&gt;=0.2,G53&lt;=-0.2),"超过20%","")</f>
        <v/>
      </c>
      <c r="I53" s="448">
        <f>IF(I48&lt;E48,E48/I48-1,I48/E48-1)</f>
        <v>0.18032786885245922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1795</v>
      </c>
      <c r="D54" s="450"/>
      <c r="E54" s="448">
        <f>IF(E47&lt;G47,G47/E47-1,E47/G47-1)</f>
        <v>0.25</v>
      </c>
      <c r="F54" s="449" t="str">
        <f>IF(OR(E54&gt;=0.3,E54&lt;=-0.3),"超过30%","")</f>
        <v/>
      </c>
      <c r="G54" s="448">
        <f>IF(G47&lt;I47,I47/G47-1,G47/I47-1)</f>
        <v>0.16666666666666674</v>
      </c>
      <c r="H54" s="449" t="str">
        <f>IF(OR(G54&gt;=0.3,G54&lt;=-0.3),"超过30%","")</f>
        <v/>
      </c>
      <c r="I54" s="448">
        <f>IF(I47&lt;E47,E47/I47-1,I47/E47-1)</f>
        <v>7.1428571428571397E-2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1796</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1677</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1714</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1679</v>
      </c>
      <c r="B61" s="459"/>
      <c r="C61" s="471" t="s">
        <v>1774</v>
      </c>
      <c r="D61" s="3533" t="s">
        <v>3532</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1717</v>
      </c>
      <c r="B63" s="477" t="s">
        <v>1683</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1687</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1688</v>
      </c>
      <c r="B76" s="477" t="s">
        <v>1718</v>
      </c>
      <c r="C76" s="522" t="s">
        <v>1719</v>
      </c>
      <c r="D76" s="522" t="s">
        <v>1720</v>
      </c>
      <c r="E76" s="522" t="s">
        <v>1721</v>
      </c>
      <c r="F76" s="522" t="s">
        <v>1722</v>
      </c>
      <c r="G76" s="522" t="s">
        <v>1723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1724</v>
      </c>
      <c r="C78" s="527" t="s">
        <v>1719</v>
      </c>
      <c r="D78" s="527" t="s">
        <v>1720</v>
      </c>
      <c r="E78" s="527" t="s">
        <v>1721</v>
      </c>
      <c r="F78" s="527" t="s">
        <v>1722</v>
      </c>
      <c r="G78" s="527" t="s">
        <v>1723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1725</v>
      </c>
      <c r="C80" s="527" t="s">
        <v>1719</v>
      </c>
      <c r="D80" s="527" t="s">
        <v>1720</v>
      </c>
      <c r="E80" s="527" t="s">
        <v>1721</v>
      </c>
      <c r="F80" s="527" t="s">
        <v>1722</v>
      </c>
      <c r="G80" s="527" t="s">
        <v>1723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1777</v>
      </c>
      <c r="C82" s="608" t="s">
        <v>1797</v>
      </c>
      <c r="D82" s="608" t="s">
        <v>1798</v>
      </c>
      <c r="E82" s="608" t="s">
        <v>1799</v>
      </c>
      <c r="F82" s="608" t="s">
        <v>1800</v>
      </c>
      <c r="G82" s="608" t="s">
        <v>1801</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1731</v>
      </c>
      <c r="C84" s="527" t="s">
        <v>1719</v>
      </c>
      <c r="D84" s="527" t="s">
        <v>1720</v>
      </c>
      <c r="E84" s="527" t="s">
        <v>1721</v>
      </c>
      <c r="F84" s="527" t="s">
        <v>1722</v>
      </c>
      <c r="G84" s="527" t="s">
        <v>1723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1802</v>
      </c>
      <c r="C86" s="3534" t="s">
        <v>3905</v>
      </c>
      <c r="D86" s="3534" t="s">
        <v>3533</v>
      </c>
      <c r="E86" s="3534" t="s">
        <v>3534</v>
      </c>
      <c r="F86" s="3534" t="s">
        <v>3535</v>
      </c>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3536</v>
      </c>
      <c r="D88" s="503" t="s">
        <v>3537</v>
      </c>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95</v>
      </c>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3528</v>
      </c>
      <c r="D90" s="503" t="s">
        <v>3495</v>
      </c>
      <c r="E90" s="503" t="s">
        <v>3527</v>
      </c>
      <c r="F90" s="503" t="s">
        <v>3538</v>
      </c>
      <c r="G90" s="503" t="s">
        <v>3531</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3539</v>
      </c>
      <c r="D92" s="503" t="s">
        <v>3540</v>
      </c>
      <c r="E92" s="3535" t="s">
        <v>3541</v>
      </c>
      <c r="F92" s="3534" t="s">
        <v>3542</v>
      </c>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105</v>
      </c>
      <c r="D93" s="485">
        <v>100</v>
      </c>
      <c r="E93" s="485">
        <v>102</v>
      </c>
      <c r="F93" s="485">
        <v>104</v>
      </c>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1692</v>
      </c>
      <c r="B100" s="477" t="s">
        <v>1803</v>
      </c>
      <c r="C100" s="3535" t="s">
        <v>4828</v>
      </c>
      <c r="D100" s="479"/>
      <c r="E100" s="3536" t="s">
        <v>4829</v>
      </c>
      <c r="F100" s="3536" t="s">
        <v>4830</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2"/>
      <c r="O101" s="2752"/>
      <c r="P101" s="2742"/>
      <c r="Q101" s="2737"/>
      <c r="R101" s="2723"/>
      <c r="S101" s="2723"/>
      <c r="T101" s="2723"/>
      <c r="U101" s="2723"/>
      <c r="V101" s="2723"/>
      <c r="W101" s="2723"/>
      <c r="X101" s="2723"/>
      <c r="Y101" s="2723"/>
      <c r="Z101" s="2723"/>
      <c r="AA101" s="2723"/>
      <c r="AB101" s="2723"/>
      <c r="AC101" s="2723"/>
    </row>
    <row r="102" spans="1:29" ht="29.25" thickTop="1">
      <c r="A102" s="483"/>
      <c r="B102" s="487" t="s">
        <v>1735</v>
      </c>
      <c r="C102" s="527" t="str">
        <f>C103&amp;"(含)"&amp;"-"&amp;D103</f>
        <v>0(含)-200</v>
      </c>
      <c r="D102" s="527" t="str">
        <f t="shared" ref="D102:L102" si="23">D103&amp;"(含)"&amp;"-"&amp;E103</f>
        <v>200(含)-400</v>
      </c>
      <c r="E102" s="527" t="str">
        <f t="shared" si="23"/>
        <v>400(含)-600</v>
      </c>
      <c r="F102" s="527" t="str">
        <f t="shared" si="23"/>
        <v>600(含)-8000</v>
      </c>
      <c r="G102" s="527" t="str">
        <f t="shared" si="23"/>
        <v>8000(含)-1000</v>
      </c>
      <c r="H102" s="527" t="str">
        <f t="shared" si="23"/>
        <v>1000(含)-2000</v>
      </c>
      <c r="I102" s="527" t="str">
        <f t="shared" si="23"/>
        <v>2000(含)-3000</v>
      </c>
      <c r="J102" s="527" t="str">
        <f t="shared" si="23"/>
        <v>3000(含)-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200</v>
      </c>
      <c r="E103" s="544">
        <v>400</v>
      </c>
      <c r="F103" s="544">
        <v>600</v>
      </c>
      <c r="G103" s="544">
        <v>8000</v>
      </c>
      <c r="H103" s="544">
        <v>1000</v>
      </c>
      <c r="I103" s="544">
        <v>2000</v>
      </c>
      <c r="J103" s="545">
        <v>3000</v>
      </c>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I104" si="24">D104-2</f>
        <v>96</v>
      </c>
      <c r="F104" s="485">
        <f t="shared" si="24"/>
        <v>94</v>
      </c>
      <c r="G104" s="485">
        <f t="shared" si="24"/>
        <v>92</v>
      </c>
      <c r="H104" s="485">
        <f t="shared" si="24"/>
        <v>90</v>
      </c>
      <c r="I104" s="485">
        <f t="shared" si="24"/>
        <v>88</v>
      </c>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1736</v>
      </c>
      <c r="C105" s="3534" t="s">
        <v>3545</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1738</v>
      </c>
      <c r="C107" s="3534" t="s">
        <v>3546</v>
      </c>
      <c r="D107" s="3534" t="s">
        <v>3547</v>
      </c>
      <c r="E107" s="3534" t="s">
        <v>3548</v>
      </c>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1740</v>
      </c>
      <c r="C112" s="3534" t="s">
        <v>3549</v>
      </c>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1804</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1805</v>
      </c>
      <c r="C116" s="3534" t="s">
        <v>3550</v>
      </c>
      <c r="D116" s="3534" t="s">
        <v>3551</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1806</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1807</v>
      </c>
      <c r="C120" s="3537" t="s">
        <v>3552</v>
      </c>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1742</v>
      </c>
      <c r="C122" s="3534" t="s">
        <v>3546</v>
      </c>
      <c r="D122" s="3534" t="s">
        <v>3547</v>
      </c>
      <c r="E122" s="3534" t="s">
        <v>3548</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t="str">
        <f>B44</f>
        <v>经营类型</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t="str">
        <f>B45</f>
        <v>面积类型</v>
      </c>
      <c r="C128" s="3534" t="s">
        <v>4834</v>
      </c>
      <c r="D128" s="3534" t="s">
        <v>4832</v>
      </c>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v>100</v>
      </c>
      <c r="D129" s="485">
        <v>95</v>
      </c>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4"/>
      <c r="F1" s="2804"/>
      <c r="G1" s="2669"/>
      <c r="H1" s="2804"/>
      <c r="I1" s="2804"/>
      <c r="J1" s="2804"/>
      <c r="K1" s="2805">
        <f>MATCH(C1,'数据-取费表'!A6:A16,0)+5</f>
        <v>7</v>
      </c>
    </row>
    <row r="2" spans="1:33" ht="18" customHeight="1">
      <c r="A2" s="201" t="s">
        <v>1460</v>
      </c>
      <c r="B2" s="204">
        <f ca="1">C32</f>
        <v>0</v>
      </c>
      <c r="C2" s="276" t="s">
        <v>1593</v>
      </c>
      <c r="D2" s="276"/>
      <c r="E2" s="2804"/>
      <c r="F2" s="2804"/>
      <c r="G2" s="2804"/>
      <c r="H2" s="2804"/>
      <c r="I2" s="2804"/>
      <c r="J2" s="2804"/>
      <c r="K2" s="2804"/>
    </row>
    <row r="3" spans="1:33" ht="18" customHeight="1" thickBot="1">
      <c r="A3" s="203" t="s">
        <v>1462</v>
      </c>
      <c r="B3" s="204">
        <f ca="1">ROUND(B2*10000/IF(C1="",'数据-汇总表'!E3,INDIRECT("'数据-取费表'!K"&amp;$K$1)),0)</f>
        <v>0</v>
      </c>
      <c r="C3" s="276" t="s">
        <v>1594</v>
      </c>
      <c r="D3" s="276"/>
      <c r="E3" s="2804"/>
      <c r="F3" s="2804"/>
      <c r="G3" s="2804"/>
      <c r="H3" s="2804"/>
      <c r="I3" s="2804"/>
      <c r="J3" s="2804"/>
      <c r="K3" s="2804"/>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468.48</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468.48</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-0.36960000000000015</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9</v>
      </c>
      <c r="D20" s="846">
        <f ca="1">IF(C1="",'数据-汇总表'!E6,IF(INDIRECT("'数据-取费表'!c"&amp;$K$1)="住宅",INDIRECT("'数据-取费表'!s"&amp;$K$1),INDIRECT("'数据-取费表'!k"&amp;$K$1)+INDIRECT("'数据-取费表'!s"&amp;$K$1)))</f>
        <v>468.48</v>
      </c>
      <c r="E20" s="21">
        <f>'数据-取费表'!B28</f>
        <v>200</v>
      </c>
      <c r="F20" s="804"/>
      <c r="G20" s="12"/>
      <c r="H20" s="809"/>
      <c r="I20" s="809"/>
      <c r="J20" s="809"/>
      <c r="K20" s="810"/>
    </row>
    <row r="21" spans="1:33" s="803" customFormat="1" ht="13.5" customHeight="1">
      <c r="A21" s="790" t="s">
        <v>357</v>
      </c>
      <c r="B21" s="813" t="s">
        <v>1626</v>
      </c>
      <c r="C21" s="814">
        <f ca="1">C16+C17+C18</f>
        <v>-0.36960000000000015</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4014" t="s">
        <v>694</v>
      </c>
      <c r="C6" s="1074">
        <f ca="1">ROUND(F6*F8*F7*(1-F9)/10000,0)</f>
        <v>0</v>
      </c>
      <c r="D6" s="155" t="s">
        <v>2107</v>
      </c>
      <c r="E6" s="302" t="s">
        <v>696</v>
      </c>
      <c r="F6" s="303">
        <f ca="1">INDIRECT("'数据-取费表'!u"&amp;$G$1)</f>
        <v>0</v>
      </c>
      <c r="G6" s="1384"/>
      <c r="H6" s="1069" t="s">
        <v>398</v>
      </c>
      <c r="I6" s="4014" t="s">
        <v>694</v>
      </c>
      <c r="J6" s="301">
        <f ca="1">ROUND(M6*M8*M7*(1-M9)/10000,0)</f>
        <v>0</v>
      </c>
      <c r="K6" s="155" t="s">
        <v>2106</v>
      </c>
      <c r="L6" s="302" t="s">
        <v>696</v>
      </c>
      <c r="M6" s="303">
        <f ca="1">INDIRECT("'数据-取费表'!z"&amp;$G$1)</f>
        <v>0</v>
      </c>
    </row>
    <row r="7" spans="1:37" ht="18" customHeight="1">
      <c r="A7" s="1073"/>
      <c r="B7" s="4015"/>
      <c r="C7" s="1075"/>
      <c r="D7" s="307"/>
      <c r="E7" s="1076" t="s">
        <v>697</v>
      </c>
      <c r="F7" s="303">
        <f ca="1">IF(INDIRECT("'数据-取费表'!ah"&amp;$G$1)="",INDIRECT("'数据-取费表'!k"&amp;$G$1),INDIRECT("'数据-取费表'!ah"&amp;$G$1))</f>
        <v>0</v>
      </c>
      <c r="G7" s="1384"/>
      <c r="H7" s="304"/>
      <c r="I7" s="4015"/>
      <c r="J7" s="306"/>
      <c r="K7" s="307"/>
      <c r="L7" s="302" t="s">
        <v>697</v>
      </c>
      <c r="M7" s="303">
        <f ca="1">F7</f>
        <v>0</v>
      </c>
    </row>
    <row r="8" spans="1:37" ht="18" customHeight="1">
      <c r="A8" s="304"/>
      <c r="B8" s="4015"/>
      <c r="C8" s="306"/>
      <c r="D8" s="307"/>
      <c r="E8" s="302" t="s">
        <v>698</v>
      </c>
      <c r="F8" s="303">
        <f ca="1">INDIRECT("'数据-取费表'!ai"&amp;$G$1)</f>
        <v>0</v>
      </c>
      <c r="G8" s="1384"/>
      <c r="H8" s="304"/>
      <c r="I8" s="4015"/>
      <c r="J8" s="306"/>
      <c r="K8" s="307"/>
      <c r="L8" s="302" t="s">
        <v>698</v>
      </c>
      <c r="M8" s="303">
        <f ca="1">INDIRECT("'数据-取费表'!ai"&amp;$G$1)</f>
        <v>0</v>
      </c>
    </row>
    <row r="9" spans="1:37" ht="18" customHeight="1">
      <c r="A9" s="304"/>
      <c r="B9" s="4016"/>
      <c r="C9" s="306"/>
      <c r="D9" s="307"/>
      <c r="E9" s="302" t="s">
        <v>699</v>
      </c>
      <c r="F9" s="312">
        <f ca="1">INDIRECT("'数据-取费表'!w"&amp;$G$1)</f>
        <v>0</v>
      </c>
      <c r="G9" s="1384"/>
      <c r="H9" s="304"/>
      <c r="I9" s="401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2301</v>
      </c>
      <c r="I31" s="1398"/>
      <c r="J31" s="1399"/>
      <c r="K31" s="2473"/>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4012" t="s">
        <v>837</v>
      </c>
      <c r="L53" s="401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3499</v>
      </c>
      <c r="D1" s="1362" t="s">
        <v>43</v>
      </c>
      <c r="E1" s="1363" t="s">
        <v>678</v>
      </c>
      <c r="F1" s="1062">
        <f ca="1">J53</f>
        <v>40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4130.8548000000001</v>
      </c>
      <c r="C2" s="1387" t="s">
        <v>879</v>
      </c>
      <c r="D2" s="1471">
        <f ca="1">C40+J29+L46</f>
        <v>41308548</v>
      </c>
      <c r="E2" s="1388" t="s">
        <v>880</v>
      </c>
      <c r="F2" s="1389"/>
      <c r="G2" s="2704"/>
      <c r="H2" s="2693"/>
      <c r="I2" s="2693"/>
      <c r="J2" s="2693"/>
      <c r="K2" s="2694"/>
      <c r="L2" s="2693"/>
      <c r="M2" s="2693"/>
    </row>
    <row r="3" spans="1:37" ht="18" customHeight="1" thickBot="1">
      <c r="A3" s="1390" t="s">
        <v>881</v>
      </c>
      <c r="B3" s="1391">
        <f ca="1">IF(ISERROR(D2/F43),0,ROUND(D2/F43,0))</f>
        <v>88176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2439728</v>
      </c>
      <c r="D5" s="1364" t="s">
        <v>889</v>
      </c>
      <c r="E5" s="1071"/>
      <c r="F5" s="1072"/>
      <c r="G5" s="1384"/>
      <c r="H5" s="299">
        <v>1</v>
      </c>
      <c r="I5" s="300" t="s">
        <v>888</v>
      </c>
      <c r="J5" s="1070">
        <f ca="1">J6+J10+J12</f>
        <v>0</v>
      </c>
      <c r="K5" s="1364" t="s">
        <v>889</v>
      </c>
      <c r="L5" s="1071"/>
      <c r="M5" s="1072"/>
    </row>
    <row r="6" spans="1:37" ht="18" customHeight="1">
      <c r="A6" s="1069" t="s">
        <v>398</v>
      </c>
      <c r="B6" s="4014" t="s">
        <v>694</v>
      </c>
      <c r="C6" s="1074">
        <f ca="1">ROUND(F6*F8*F7*(1-F9),0)</f>
        <v>2436682</v>
      </c>
      <c r="D6" s="155" t="s">
        <v>2104</v>
      </c>
      <c r="E6" s="302" t="s">
        <v>696</v>
      </c>
      <c r="F6" s="303">
        <f ca="1">INDIRECT("'数据-取费表'!u"&amp;$G$1)</f>
        <v>15</v>
      </c>
      <c r="G6" s="1384"/>
      <c r="H6" s="1069" t="s">
        <v>398</v>
      </c>
      <c r="I6" s="4014" t="s">
        <v>694</v>
      </c>
      <c r="J6" s="301">
        <f ca="1">ROUND(M6*M8*M7*(1-M9),0)</f>
        <v>0</v>
      </c>
      <c r="K6" s="1376" t="s">
        <v>2105</v>
      </c>
      <c r="L6" s="302" t="s">
        <v>696</v>
      </c>
      <c r="M6" s="303">
        <f ca="1">INDIRECT("'数据-取费表'!z"&amp;$G$1)</f>
        <v>0</v>
      </c>
    </row>
    <row r="7" spans="1:37" ht="18" customHeight="1">
      <c r="A7" s="1073"/>
      <c r="B7" s="4015"/>
      <c r="C7" s="1075"/>
      <c r="D7" s="307"/>
      <c r="E7" s="1076" t="s">
        <v>697</v>
      </c>
      <c r="F7" s="303">
        <f ca="1">IF(INDIRECT("'数据-取费表'!ah"&amp;$G$1)="",INDIRECT("'数据-取费表'!k"&amp;$G$1),INDIRECT("'数据-取费表'!ah"&amp;$G$1))</f>
        <v>468.48</v>
      </c>
      <c r="G7" s="1384"/>
      <c r="H7" s="304"/>
      <c r="I7" s="4015"/>
      <c r="J7" s="306"/>
      <c r="K7" s="307"/>
      <c r="L7" s="302" t="s">
        <v>697</v>
      </c>
      <c r="M7" s="303">
        <f ca="1">F7</f>
        <v>468.48</v>
      </c>
    </row>
    <row r="8" spans="1:37" ht="18" customHeight="1">
      <c r="A8" s="304"/>
      <c r="B8" s="4015"/>
      <c r="C8" s="306"/>
      <c r="D8" s="307"/>
      <c r="E8" s="302" t="s">
        <v>698</v>
      </c>
      <c r="F8" s="303">
        <f ca="1">INDIRECT("'数据-取费表'!ai"&amp;$G$1)</f>
        <v>365</v>
      </c>
      <c r="G8" s="1384"/>
      <c r="H8" s="304"/>
      <c r="I8" s="4015"/>
      <c r="J8" s="306"/>
      <c r="K8" s="307"/>
      <c r="L8" s="302" t="s">
        <v>698</v>
      </c>
      <c r="M8" s="303">
        <f ca="1">INDIRECT("'数据-取费表'!ai"&amp;$G$1)</f>
        <v>365</v>
      </c>
    </row>
    <row r="9" spans="1:37" ht="18" customHeight="1">
      <c r="A9" s="304"/>
      <c r="B9" s="4016"/>
      <c r="C9" s="306"/>
      <c r="D9" s="307"/>
      <c r="E9" s="302" t="s">
        <v>699</v>
      </c>
      <c r="F9" s="312">
        <f ca="1">INDIRECT("'数据-取费表'!w"&amp;$G$1)</f>
        <v>0.05</v>
      </c>
      <c r="G9" s="1384"/>
      <c r="H9" s="304"/>
      <c r="I9" s="4016"/>
      <c r="J9" s="306"/>
      <c r="K9" s="307"/>
      <c r="L9" s="313" t="s">
        <v>699</v>
      </c>
      <c r="M9" s="314">
        <f ca="1">INDIRECT("'数据-取费表'!ab"&amp;$G$1)</f>
        <v>0</v>
      </c>
    </row>
    <row r="10" spans="1:37" ht="18" customHeight="1">
      <c r="A10" s="1069" t="s">
        <v>402</v>
      </c>
      <c r="B10" s="1365" t="s">
        <v>700</v>
      </c>
      <c r="C10" s="316">
        <f ca="1">ROUND(IF(F10="押一",C6/12*F11,IF(F10="押二",C6/12*2*F11,IF(F10="押三",C6/12*3*F11,C11*F11))),0)</f>
        <v>3046</v>
      </c>
      <c r="D10" s="1366" t="s">
        <v>2114</v>
      </c>
      <c r="E10" s="313" t="s">
        <v>701</v>
      </c>
      <c r="F10" s="1116" t="s">
        <v>3564</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2195669</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2108160</v>
      </c>
      <c r="D14" s="1345" t="s">
        <v>708</v>
      </c>
      <c r="E14" s="1342"/>
      <c r="F14" s="319"/>
      <c r="G14" s="1384"/>
      <c r="H14" s="982" t="s">
        <v>398</v>
      </c>
      <c r="I14" s="302" t="s">
        <v>709</v>
      </c>
      <c r="J14" s="21">
        <f ca="1">C29</f>
        <v>3136670</v>
      </c>
      <c r="K14" s="12"/>
      <c r="L14" s="807"/>
      <c r="M14" s="808"/>
    </row>
    <row r="15" spans="1:37" s="1397" customFormat="1" ht="18" customHeight="1" thickBot="1">
      <c r="A15" s="982" t="s">
        <v>399</v>
      </c>
      <c r="B15" s="302" t="s">
        <v>710</v>
      </c>
      <c r="C15" s="21">
        <f ca="1">ROUND(C14*F15,0)</f>
        <v>63245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47050</v>
      </c>
      <c r="K16" s="1087" t="s">
        <v>715</v>
      </c>
      <c r="L16" s="1088"/>
      <c r="M16" s="1072"/>
    </row>
    <row r="17" spans="1:37" s="1397" customFormat="1" ht="18" customHeight="1">
      <c r="A17" s="982" t="s">
        <v>681</v>
      </c>
      <c r="B17" s="302" t="s">
        <v>716</v>
      </c>
      <c r="C17" s="21">
        <f ca="1">ROUND(F17*(F43+INDIRECT("'数据-取费表'!S"&amp;$G$1)),0)</f>
        <v>93696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31622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2296723</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45934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47050</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80822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-47050</v>
      </c>
      <c r="K25" s="1095" t="s">
        <v>753</v>
      </c>
      <c r="L25" s="1096"/>
      <c r="M25" s="1097"/>
    </row>
    <row r="26" spans="1:37" ht="18" customHeight="1">
      <c r="A26" s="982" t="s">
        <v>397</v>
      </c>
      <c r="B26" s="302" t="s">
        <v>754</v>
      </c>
      <c r="C26" s="21">
        <f ca="1">ROUND((C19+C20)*F26,0)</f>
        <v>468531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3136670</v>
      </c>
      <c r="D29" s="1092"/>
      <c r="E29" s="1090"/>
      <c r="F29" s="1093"/>
      <c r="G29" s="1396"/>
      <c r="H29" s="334" t="s">
        <v>396</v>
      </c>
      <c r="I29" s="335" t="s">
        <v>768</v>
      </c>
      <c r="J29" s="336">
        <f ca="1">ROUND(J26/(1+F40)^F41,0)</f>
        <v>0</v>
      </c>
      <c r="K29" s="337" t="s">
        <v>769</v>
      </c>
      <c r="L29" s="338"/>
      <c r="M29" s="339">
        <f ca="1">INDIRECT("'数据-取费表'!k"&amp;$G$1)</f>
        <v>468.48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483175</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408434</v>
      </c>
      <c r="D31" s="1345" t="s">
        <v>720</v>
      </c>
      <c r="E31" s="1344" t="s">
        <v>770</v>
      </c>
      <c r="F31" s="2315" t="str">
        <f>IF(项目基本情况!B11="企业","——",IF(M47="住宅",IF(F6*F7*F8/12/(1+'数据-取费表'!F30)&gt;100000,4%,2.5%),IF(F6*F7*F8/12/(1+'数据-取费表'!F30)&gt;100000,12%,7%)))</f>
        <v>——</v>
      </c>
      <c r="G31" s="1384"/>
      <c r="H31" s="2806" t="s">
        <v>2301</v>
      </c>
      <c r="I31" s="1398"/>
      <c r="J31" s="1399"/>
      <c r="K31" s="2473"/>
      <c r="L31" s="2696"/>
      <c r="M31" s="2697"/>
    </row>
    <row r="32" spans="1:37" ht="18" customHeight="1">
      <c r="A32" s="982" t="s">
        <v>397</v>
      </c>
      <c r="B32" s="302" t="s">
        <v>723</v>
      </c>
      <c r="C32" s="21">
        <f ca="1">IF(项目基本情况!B11="自然人","——",ROUND(C6*F32/(1+'数据-取费表'!C42),0))</f>
        <v>129956</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278478</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47050</v>
      </c>
      <c r="D36" s="1344" t="s">
        <v>771</v>
      </c>
      <c r="E36" s="302" t="s">
        <v>712</v>
      </c>
      <c r="F36" s="328">
        <f ca="1">INDIRECT("'数据-取费表'!Ak"&amp;$G$1)</f>
        <v>1.4999999999999999E-2</v>
      </c>
      <c r="G36" s="1384"/>
      <c r="H36" s="2698"/>
      <c r="I36" s="1398"/>
      <c r="J36" s="1399"/>
      <c r="K36" s="2542"/>
      <c r="L36" s="2698"/>
      <c r="M36" s="2698"/>
    </row>
    <row r="37" spans="1:18" ht="18" customHeight="1">
      <c r="A37" s="982" t="s">
        <v>437</v>
      </c>
      <c r="B37" s="302" t="s">
        <v>742</v>
      </c>
      <c r="C37" s="21">
        <f ca="1">ROUND(C13*F37,0)</f>
        <v>3294</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24397</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1956553</v>
      </c>
      <c r="D39" s="1095" t="s">
        <v>773</v>
      </c>
      <c r="E39" s="1096"/>
      <c r="F39" s="1097"/>
      <c r="G39" s="1384"/>
      <c r="H39" s="2698"/>
      <c r="I39" s="1398"/>
      <c r="J39" s="1399"/>
      <c r="K39" s="2702"/>
      <c r="L39" s="2698"/>
      <c r="M39" s="2698"/>
    </row>
    <row r="40" spans="1:18" ht="18" customHeight="1">
      <c r="A40" s="299" t="s">
        <v>395</v>
      </c>
      <c r="B40" s="300" t="s">
        <v>774</v>
      </c>
      <c r="C40" s="301">
        <f ca="1">ROUND(C39*(1-((1+F42)/(1+F40))^F41)/(F40-F42),0)</f>
        <v>41308548</v>
      </c>
      <c r="D40" s="324" t="s">
        <v>758</v>
      </c>
      <c r="E40" s="302" t="s">
        <v>759</v>
      </c>
      <c r="F40" s="312">
        <f ca="1">INDIRECT("'数据-取费表'!I"&amp;$G$1)</f>
        <v>0.06</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40</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ROUND(C40/F43,0)</f>
        <v>88176</v>
      </c>
      <c r="D43" s="337" t="s">
        <v>777</v>
      </c>
      <c r="E43" s="338" t="s">
        <v>778</v>
      </c>
      <c r="F43" s="339">
        <f ca="1">INDIRECT("'数据-取费表'!k"&amp;$G$1)</f>
        <v>468.48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3348</v>
      </c>
      <c r="B45" s="1400"/>
      <c r="C45" s="1472">
        <f ca="1">ROUND((C68-C40)/10000,4)</f>
        <v>-4206.6039000000001</v>
      </c>
      <c r="D45" s="3430" t="s">
        <v>3349</v>
      </c>
      <c r="E45" s="1400"/>
      <c r="F45" s="1400"/>
      <c r="O45" s="1403" t="s">
        <v>808</v>
      </c>
      <c r="P45" s="1461"/>
      <c r="Q45" s="1461"/>
      <c r="R45" s="1461"/>
    </row>
    <row r="46" spans="1:18" s="1384" customFormat="1" ht="13.5" thickBot="1">
      <c r="A46" s="1404" t="s">
        <v>809</v>
      </c>
      <c r="C46" s="1405">
        <f ca="1">ROUND(C45,0)</f>
        <v>-4207</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3501</v>
      </c>
      <c r="K47" s="1416" t="s">
        <v>816</v>
      </c>
      <c r="L47" s="1417">
        <f ca="1">INDIRECT("'数据-取费表'!d"&amp;$G$1)</f>
        <v>40</v>
      </c>
      <c r="M47" s="1380" t="str">
        <f>IF(ISNUMBER(FIND("住宅",C1)),"住宅","非住宅")</f>
        <v>非住宅</v>
      </c>
      <c r="O47" s="1418" t="s">
        <v>403</v>
      </c>
      <c r="P47" s="1419" t="s">
        <v>817</v>
      </c>
      <c r="Q47" s="1420">
        <f ca="1">C40+J29</f>
        <v>41308548</v>
      </c>
      <c r="R47" s="1420" t="s">
        <v>818</v>
      </c>
    </row>
    <row r="48" spans="1:18" s="1384" customFormat="1" ht="28.5" thickBot="1">
      <c r="A48" s="1110" t="s">
        <v>438</v>
      </c>
      <c r="B48" s="300" t="s">
        <v>692</v>
      </c>
      <c r="C48" s="1359">
        <f ca="1">C49+C53+C55</f>
        <v>0</v>
      </c>
      <c r="D48" s="1112"/>
      <c r="E48" s="1113"/>
      <c r="F48" s="962"/>
      <c r="G48" s="722"/>
      <c r="H48" s="723"/>
      <c r="I48" s="1421" t="s">
        <v>819</v>
      </c>
      <c r="J48" s="1422" t="s">
        <v>3565</v>
      </c>
      <c r="K48" s="1423" t="s">
        <v>820</v>
      </c>
      <c r="L48" s="1424">
        <f ca="1">INDIRECT("'数据-取费表'!f"&amp;$G$1)</f>
        <v>40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3136670</v>
      </c>
      <c r="R49" s="1420" t="s">
        <v>818</v>
      </c>
    </row>
    <row r="50" spans="1:18" s="1384" customFormat="1" ht="13.5" thickBot="1">
      <c r="A50" s="976"/>
      <c r="B50" s="979"/>
      <c r="C50" s="980"/>
      <c r="D50" s="953"/>
      <c r="E50" s="1056" t="s">
        <v>697</v>
      </c>
      <c r="F50" s="1057">
        <f ca="1">F7</f>
        <v>468.48</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33822517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40</v>
      </c>
      <c r="K53" s="4012" t="s">
        <v>837</v>
      </c>
      <c r="L53" s="4013"/>
      <c r="O53" s="1418" t="s">
        <v>409</v>
      </c>
      <c r="P53" s="1419" t="s">
        <v>838</v>
      </c>
      <c r="Q53" s="1420">
        <f ca="1">Q47+Q48</f>
        <v>41308548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2195669</v>
      </c>
      <c r="D56" s="1447"/>
      <c r="E56" s="1448"/>
      <c r="F56" s="1440"/>
      <c r="I56" s="1449" t="s">
        <v>842</v>
      </c>
      <c r="J56" s="1450" t="s">
        <v>3517</v>
      </c>
      <c r="K56" s="1421" t="s">
        <v>843</v>
      </c>
      <c r="L56" s="1424" t="str">
        <f ca="1">IF(L48&lt;J51,"——",L48-J51)</f>
        <v>——</v>
      </c>
      <c r="O56" s="1418" t="s">
        <v>403</v>
      </c>
      <c r="P56" s="1419" t="s">
        <v>817</v>
      </c>
      <c r="Q56" s="1420">
        <f ca="1">C40+J29</f>
        <v>41308548</v>
      </c>
      <c r="R56" s="1420" t="s">
        <v>818</v>
      </c>
    </row>
    <row r="57" spans="1:18" s="1384" customFormat="1" ht="24.75" thickBot="1">
      <c r="A57" s="1451"/>
      <c r="B57" s="950" t="s">
        <v>767</v>
      </c>
      <c r="C57" s="238">
        <f ca="1">C29</f>
        <v>3136670</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50344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41308548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47050</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3294</v>
      </c>
      <c r="D65" s="964" t="s">
        <v>743</v>
      </c>
      <c r="E65" s="950" t="s">
        <v>744</v>
      </c>
      <c r="F65" s="330">
        <f t="shared" ca="1" si="0"/>
        <v>1.5E-3</v>
      </c>
      <c r="I65" s="1462" t="s">
        <v>867</v>
      </c>
      <c r="J65" s="1463">
        <v>40</v>
      </c>
      <c r="K65" s="1463">
        <v>30</v>
      </c>
      <c r="L65" s="1463">
        <v>50</v>
      </c>
      <c r="M65" s="1465">
        <v>0.02</v>
      </c>
      <c r="O65" s="1418" t="s">
        <v>403</v>
      </c>
      <c r="P65" s="1419" t="s">
        <v>868</v>
      </c>
      <c r="Q65" s="1420">
        <f ca="1">C40+J29</f>
        <v>41308548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-50344</v>
      </c>
      <c r="D67" s="963" t="s">
        <v>753</v>
      </c>
      <c r="E67" s="968"/>
      <c r="F67" s="969"/>
      <c r="O67" s="1428" t="s">
        <v>405</v>
      </c>
      <c r="P67" s="1419" t="s">
        <v>850</v>
      </c>
      <c r="Q67" s="1466">
        <f ca="1">L51</f>
        <v>33822517</v>
      </c>
      <c r="R67" s="1420" t="s">
        <v>870</v>
      </c>
    </row>
    <row r="68" spans="1:18" s="1384" customFormat="1" ht="16.5" thickBot="1">
      <c r="A68" s="947" t="s">
        <v>395</v>
      </c>
      <c r="B68" s="948" t="s">
        <v>774</v>
      </c>
      <c r="C68" s="301">
        <f ca="1">ROUND(C67*(1-((1+F70)/(1+F68))^F69)/(F68-F70),0)</f>
        <v>-757491</v>
      </c>
      <c r="D68" s="965" t="s">
        <v>758</v>
      </c>
      <c r="E68" s="950" t="s">
        <v>759</v>
      </c>
      <c r="F68" s="312">
        <f ca="1">F40</f>
        <v>0.06</v>
      </c>
      <c r="O68" s="1428" t="s">
        <v>406</v>
      </c>
      <c r="P68" s="1467" t="s">
        <v>871</v>
      </c>
      <c r="Q68" s="1420">
        <f ca="1">ROUND(Q69-Q70*Q71,0)</f>
        <v>1802856</v>
      </c>
      <c r="R68" s="1420" t="s">
        <v>414</v>
      </c>
    </row>
    <row r="69" spans="1:18" s="1384" customFormat="1" ht="13.5" thickBot="1">
      <c r="A69" s="951"/>
      <c r="B69" s="952"/>
      <c r="C69" s="306"/>
      <c r="D69" s="970" t="s">
        <v>762</v>
      </c>
      <c r="E69" s="950" t="s">
        <v>763</v>
      </c>
      <c r="F69" s="333">
        <f ca="1">F41</f>
        <v>40</v>
      </c>
      <c r="O69" s="1428" t="s">
        <v>411</v>
      </c>
      <c r="P69" s="1467" t="s">
        <v>872</v>
      </c>
      <c r="Q69" s="1420">
        <f ca="1">C39</f>
        <v>1956553</v>
      </c>
      <c r="R69" s="1420" t="s">
        <v>818</v>
      </c>
    </row>
    <row r="70" spans="1:18" s="1384" customFormat="1" ht="13.5" thickBot="1">
      <c r="A70" s="954"/>
      <c r="B70" s="955"/>
      <c r="C70" s="310"/>
      <c r="D70" s="966"/>
      <c r="E70" s="950" t="s">
        <v>766</v>
      </c>
      <c r="F70" s="1054"/>
      <c r="O70" s="1428" t="s">
        <v>412</v>
      </c>
      <c r="P70" s="1467" t="s">
        <v>873</v>
      </c>
      <c r="Q70" s="1420">
        <f ca="1">C13</f>
        <v>2195669</v>
      </c>
      <c r="R70" s="1420" t="s">
        <v>818</v>
      </c>
    </row>
    <row r="71" spans="1:18" s="1384" customFormat="1" ht="13.5" thickBot="1">
      <c r="A71" s="971" t="s">
        <v>396</v>
      </c>
      <c r="B71" s="972" t="s">
        <v>776</v>
      </c>
      <c r="C71" s="336">
        <f ca="1">ROUND(C68/F71,0)</f>
        <v>-1617</v>
      </c>
      <c r="D71" s="973" t="s">
        <v>777</v>
      </c>
      <c r="E71" s="974" t="s">
        <v>778</v>
      </c>
      <c r="F71" s="339">
        <f ca="1">F43</f>
        <v>468.48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153697</v>
      </c>
      <c r="D75" s="1384"/>
      <c r="E75" s="1384"/>
      <c r="F75" s="1384"/>
      <c r="K75" s="1402"/>
      <c r="L75" s="1384"/>
      <c r="O75" s="1418" t="s">
        <v>409</v>
      </c>
      <c r="P75" s="1419" t="s">
        <v>838</v>
      </c>
      <c r="Q75" s="1420">
        <f ca="1">Q65+Q66</f>
        <v>41308548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0.92100000000000004</v>
      </c>
    </row>
    <row r="80" spans="1:18">
      <c r="B80" s="340" t="s">
        <v>800</v>
      </c>
      <c r="C80" s="274">
        <f ca="1">ROUND(C75/C39,3)</f>
        <v>7.9000000000000001E-2</v>
      </c>
    </row>
    <row r="81" spans="2:3">
      <c r="B81" s="270" t="s">
        <v>801</v>
      </c>
      <c r="C81" s="238"/>
    </row>
    <row r="82" spans="2:3">
      <c r="B82" s="273" t="s">
        <v>802</v>
      </c>
      <c r="C82" s="275">
        <f ca="1">1-C83</f>
        <v>0.94699999999999995</v>
      </c>
    </row>
    <row r="83" spans="2:3">
      <c r="B83" s="273" t="s">
        <v>803</v>
      </c>
      <c r="C83" s="274">
        <f ca="1">ROUND(C13/C40,3)</f>
        <v>5.2999999999999999E-2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2429</v>
      </c>
      <c r="B1" s="2830"/>
      <c r="C1" s="2842"/>
      <c r="D1" s="2842"/>
      <c r="E1" s="2831"/>
      <c r="F1" s="2832"/>
      <c r="G1" s="2833"/>
      <c r="J1" s="2836" t="s">
        <v>2308</v>
      </c>
      <c r="K1" s="2837"/>
      <c r="L1" s="2837"/>
      <c r="M1" s="2837"/>
      <c r="N1" s="2837"/>
      <c r="O1" s="2837"/>
      <c r="P1" s="2837"/>
      <c r="Q1" s="2837"/>
      <c r="R1" s="2838"/>
      <c r="S1" s="2839"/>
      <c r="T1" s="2839"/>
      <c r="U1" s="2839"/>
    </row>
    <row r="2" spans="1:22" s="2851" customFormat="1" ht="13.15" customHeight="1">
      <c r="A2" s="1385" t="s">
        <v>2309</v>
      </c>
      <c r="B2" s="2841" t="e">
        <f>IF(D2="——",C40,C40+E2)</f>
        <v>#DIV/0!</v>
      </c>
      <c r="C2" s="2842" t="s">
        <v>2310</v>
      </c>
      <c r="D2" s="3440" t="s">
        <v>3355</v>
      </c>
      <c r="E2" s="3441"/>
      <c r="F2" s="2844"/>
      <c r="G2" s="2845"/>
      <c r="H2" s="2846"/>
      <c r="I2" s="2847"/>
      <c r="J2" s="4023" t="s">
        <v>2311</v>
      </c>
      <c r="K2" s="4024"/>
      <c r="L2" s="2848" t="s">
        <v>2312</v>
      </c>
      <c r="M2" s="2848" t="s">
        <v>2313</v>
      </c>
      <c r="N2" s="2848" t="s">
        <v>2314</v>
      </c>
      <c r="O2" s="2848" t="s">
        <v>2315</v>
      </c>
      <c r="P2" s="2848" t="s">
        <v>2316</v>
      </c>
      <c r="Q2" s="2849" t="s">
        <v>2317</v>
      </c>
      <c r="R2" s="2850" t="s">
        <v>2318</v>
      </c>
      <c r="S2" s="2839"/>
      <c r="T2" s="2839"/>
      <c r="U2" s="2839"/>
      <c r="V2" s="2847"/>
    </row>
    <row r="3" spans="1:22" s="2851" customFormat="1" ht="13.15" customHeight="1">
      <c r="A3" s="2852" t="s">
        <v>2319</v>
      </c>
      <c r="B3" s="2853" t="e">
        <f>ROUND(B2*10000/B4,0)</f>
        <v>#DIV/0!</v>
      </c>
      <c r="C3" s="2842" t="s">
        <v>2320</v>
      </c>
      <c r="D3" s="2842"/>
      <c r="E3" s="2843"/>
      <c r="F3" s="2844"/>
      <c r="G3" s="2845"/>
      <c r="H3" s="2846"/>
      <c r="I3" s="2847"/>
      <c r="J3" s="4025" t="s">
        <v>2321</v>
      </c>
      <c r="K3" s="4026"/>
      <c r="L3" s="2854"/>
      <c r="M3" s="2854"/>
      <c r="N3" s="2854"/>
      <c r="O3" s="2854"/>
      <c r="P3" s="2854"/>
      <c r="Q3" s="2855"/>
      <c r="R3" s="2856">
        <f>SUM(L3:Q3)</f>
        <v>0</v>
      </c>
      <c r="S3" s="2839"/>
      <c r="T3" s="2839"/>
      <c r="U3" s="2839"/>
      <c r="V3" s="2847"/>
    </row>
    <row r="4" spans="1:22" s="2851" customFormat="1" ht="13.15" customHeight="1">
      <c r="A4" s="2857" t="s">
        <v>2322</v>
      </c>
      <c r="B4" s="2858"/>
      <c r="C4" s="2842"/>
      <c r="D4" s="2842"/>
      <c r="E4" s="2843"/>
      <c r="F4" s="2844"/>
      <c r="G4" s="2845"/>
      <c r="H4" s="2846"/>
      <c r="I4" s="2847"/>
      <c r="J4" s="4025" t="s">
        <v>2323</v>
      </c>
      <c r="K4" s="4026"/>
      <c r="L4" s="2859"/>
      <c r="M4" s="2859"/>
      <c r="N4" s="2859"/>
      <c r="O4" s="2859"/>
      <c r="P4" s="2859"/>
      <c r="Q4" s="2860"/>
      <c r="R4" s="2861">
        <f>SUM(L4:Q4)</f>
        <v>0</v>
      </c>
      <c r="S4" s="2839"/>
      <c r="T4" s="2839"/>
      <c r="U4" s="2839"/>
      <c r="V4" s="2847"/>
    </row>
    <row r="5" spans="1:22" s="2851" customFormat="1" ht="13.15" customHeight="1" thickBot="1">
      <c r="A5" s="2862" t="s">
        <v>2324</v>
      </c>
      <c r="B5" s="2863"/>
      <c r="C5" s="2842"/>
      <c r="D5" s="2864"/>
      <c r="E5" s="2844"/>
      <c r="F5" s="2844"/>
      <c r="G5" s="2845"/>
      <c r="H5" s="2846"/>
      <c r="I5" s="2847"/>
      <c r="J5" s="2865" t="s">
        <v>2325</v>
      </c>
      <c r="K5" s="2866"/>
      <c r="L5" s="2866"/>
      <c r="M5" s="2867"/>
      <c r="N5" s="2867"/>
      <c r="O5" s="2867"/>
      <c r="P5" s="2867"/>
      <c r="Q5" s="2867"/>
      <c r="R5" s="2850">
        <f>SUM(R14,R19,R24,R25,R27,R28)</f>
        <v>0</v>
      </c>
      <c r="S5" s="2839"/>
      <c r="T5" s="2839" t="s">
        <v>2326</v>
      </c>
      <c r="U5" s="2839" t="e">
        <f>ROUND(R5*10000/365/R3,1)</f>
        <v>#DIV/0!</v>
      </c>
      <c r="V5" s="2847"/>
    </row>
    <row r="6" spans="1:22" s="2851" customFormat="1" ht="13.15" customHeight="1" thickBot="1">
      <c r="A6" s="4031" t="s">
        <v>2327</v>
      </c>
      <c r="B6" s="4032"/>
      <c r="C6" s="4033"/>
      <c r="D6" s="2868"/>
      <c r="E6" s="2869"/>
      <c r="F6" s="2870"/>
      <c r="G6" s="2871"/>
      <c r="H6" s="2846"/>
      <c r="I6" s="2847"/>
      <c r="J6" s="4017">
        <v>1</v>
      </c>
      <c r="K6" s="4018" t="s">
        <v>2328</v>
      </c>
      <c r="L6" s="2872" t="s">
        <v>2329</v>
      </c>
      <c r="M6" s="2873" t="s">
        <v>2330</v>
      </c>
      <c r="N6" s="2873" t="s">
        <v>2331</v>
      </c>
      <c r="O6" s="2873" t="s">
        <v>2332</v>
      </c>
      <c r="P6" s="2873" t="s">
        <v>2333</v>
      </c>
      <c r="Q6" s="2873" t="s">
        <v>2334</v>
      </c>
      <c r="R6" s="2856" t="s">
        <v>2335</v>
      </c>
      <c r="S6" s="2839"/>
      <c r="T6" s="2839" t="s">
        <v>2336</v>
      </c>
      <c r="U6" s="2839"/>
      <c r="V6" s="2847"/>
    </row>
    <row r="7" spans="1:22" s="2851" customFormat="1" ht="13.15" customHeight="1">
      <c r="A7" s="2874" t="s">
        <v>2337</v>
      </c>
      <c r="B7" s="2875"/>
      <c r="C7" s="2876"/>
      <c r="D7" s="2877">
        <f>SUM(D9,D10,D11,D17,0)</f>
        <v>0</v>
      </c>
      <c r="E7" s="2878" t="e">
        <f>E9+E10+E11+E17</f>
        <v>#DIV/0!</v>
      </c>
      <c r="F7" s="2879"/>
      <c r="G7" s="2880"/>
      <c r="H7" s="2846"/>
      <c r="I7" s="2847"/>
      <c r="J7" s="4017"/>
      <c r="K7" s="4019"/>
      <c r="L7" s="2881" t="s">
        <v>2338</v>
      </c>
      <c r="M7" s="2882"/>
      <c r="N7" s="2858"/>
      <c r="O7" s="2883"/>
      <c r="P7" s="2883"/>
      <c r="Q7" s="2884">
        <v>365</v>
      </c>
      <c r="R7" s="2885">
        <f>ROUND(M7*N7*O7*P7*Q7/10000,0)</f>
        <v>0</v>
      </c>
      <c r="S7" s="2839"/>
      <c r="T7" s="2839" t="s">
        <v>2339</v>
      </c>
      <c r="U7" s="2839"/>
      <c r="V7" s="2847"/>
    </row>
    <row r="8" spans="1:22" s="2851" customFormat="1" ht="13.15" customHeight="1">
      <c r="A8" s="2886" t="s">
        <v>2340</v>
      </c>
      <c r="B8" s="4034" t="s">
        <v>2341</v>
      </c>
      <c r="C8" s="4035"/>
      <c r="D8" s="2887" t="s">
        <v>2342</v>
      </c>
      <c r="E8" s="2888" t="s">
        <v>2343</v>
      </c>
      <c r="F8" s="2889" t="s">
        <v>2344</v>
      </c>
      <c r="G8" s="2890"/>
      <c r="H8" s="2846"/>
      <c r="I8" s="2847"/>
      <c r="J8" s="4017"/>
      <c r="K8" s="4019"/>
      <c r="L8" s="2881" t="s">
        <v>2345</v>
      </c>
      <c r="M8" s="2882"/>
      <c r="N8" s="2858"/>
      <c r="O8" s="2883"/>
      <c r="P8" s="2883"/>
      <c r="Q8" s="2884">
        <v>365</v>
      </c>
      <c r="R8" s="2885">
        <f t="shared" ref="R8:R13" si="0">ROUND(M8*N8*O8*P8*Q8/10000,0)</f>
        <v>0</v>
      </c>
      <c r="S8" s="2839"/>
      <c r="T8" s="2839" t="s">
        <v>2346</v>
      </c>
      <c r="U8" s="2839"/>
      <c r="V8" s="2847"/>
    </row>
    <row r="9" spans="1:22" s="2851" customFormat="1" ht="13.15" customHeight="1">
      <c r="A9" s="2886">
        <v>1</v>
      </c>
      <c r="B9" s="4034" t="s">
        <v>2347</v>
      </c>
      <c r="C9" s="4035"/>
      <c r="D9" s="2887">
        <f>ROUND(D6*E9,0)</f>
        <v>0</v>
      </c>
      <c r="E9" s="2891"/>
      <c r="F9" s="2892" t="s">
        <v>2348</v>
      </c>
      <c r="G9" s="2871"/>
      <c r="H9" s="2846"/>
      <c r="I9" s="2847"/>
      <c r="J9" s="4017"/>
      <c r="K9" s="4019"/>
      <c r="L9" s="2881" t="s">
        <v>2349</v>
      </c>
      <c r="M9" s="2882"/>
      <c r="N9" s="2858"/>
      <c r="O9" s="2883"/>
      <c r="P9" s="2883"/>
      <c r="Q9" s="2884">
        <v>365</v>
      </c>
      <c r="R9" s="2885">
        <f t="shared" si="0"/>
        <v>0</v>
      </c>
      <c r="S9" s="2839"/>
      <c r="T9" s="2839"/>
      <c r="U9" s="2839"/>
      <c r="V9" s="2847"/>
    </row>
    <row r="10" spans="1:22" s="2851" customFormat="1" ht="13.15" customHeight="1">
      <c r="A10" s="2886">
        <v>2</v>
      </c>
      <c r="B10" s="4034" t="s">
        <v>2350</v>
      </c>
      <c r="C10" s="4035"/>
      <c r="D10" s="2887">
        <f>ROUND(D6*E10,0)</f>
        <v>0</v>
      </c>
      <c r="E10" s="2891"/>
      <c r="F10" s="2892" t="s">
        <v>2351</v>
      </c>
      <c r="G10" s="2871"/>
      <c r="H10" s="2846"/>
      <c r="I10" s="2847"/>
      <c r="J10" s="4017"/>
      <c r="K10" s="4019"/>
      <c r="L10" s="2881" t="s">
        <v>2352</v>
      </c>
      <c r="M10" s="2882"/>
      <c r="N10" s="2858"/>
      <c r="O10" s="2883"/>
      <c r="P10" s="2883"/>
      <c r="Q10" s="2884">
        <v>365</v>
      </c>
      <c r="R10" s="2885">
        <f t="shared" si="0"/>
        <v>0</v>
      </c>
      <c r="S10" s="2839"/>
      <c r="T10" s="2839"/>
      <c r="U10" s="2839"/>
      <c r="V10" s="2847"/>
    </row>
    <row r="11" spans="1:22" s="2851" customFormat="1" ht="13.15" customHeight="1">
      <c r="A11" s="2886">
        <v>3</v>
      </c>
      <c r="B11" s="4034" t="s">
        <v>2353</v>
      </c>
      <c r="C11" s="4035"/>
      <c r="D11" s="2887">
        <f>D12+D14+D15+D16</f>
        <v>0</v>
      </c>
      <c r="E11" s="2893" t="e">
        <f>D11/D6</f>
        <v>#DIV/0!</v>
      </c>
      <c r="F11" s="2889"/>
      <c r="G11" s="2890"/>
      <c r="H11" s="2846"/>
      <c r="I11" s="2847"/>
      <c r="J11" s="4017"/>
      <c r="K11" s="4019"/>
      <c r="L11" s="2881" t="s">
        <v>2354</v>
      </c>
      <c r="M11" s="2882"/>
      <c r="N11" s="2858"/>
      <c r="O11" s="2883"/>
      <c r="P11" s="2883"/>
      <c r="Q11" s="2884">
        <v>365</v>
      </c>
      <c r="R11" s="2885">
        <f t="shared" si="0"/>
        <v>0</v>
      </c>
      <c r="S11" s="2839"/>
      <c r="T11" s="2839"/>
      <c r="U11" s="2839"/>
      <c r="V11" s="2847"/>
    </row>
    <row r="12" spans="1:22" s="2851" customFormat="1" ht="13.15" customHeight="1">
      <c r="A12" s="2894" t="s">
        <v>2355</v>
      </c>
      <c r="B12" s="4027" t="s">
        <v>2356</v>
      </c>
      <c r="C12" s="4028"/>
      <c r="D12" s="2895">
        <f>ROUND(D13*1.2%*(1-30%),0)</f>
        <v>0</v>
      </c>
      <c r="E12" s="2896">
        <v>1.2E-2</v>
      </c>
      <c r="F12" s="2889" t="s">
        <v>2357</v>
      </c>
      <c r="G12" s="2890"/>
      <c r="H12" s="2846"/>
      <c r="I12" s="2847"/>
      <c r="J12" s="4017"/>
      <c r="K12" s="4019"/>
      <c r="L12" s="2881" t="s">
        <v>2358</v>
      </c>
      <c r="M12" s="2882"/>
      <c r="N12" s="2858"/>
      <c r="O12" s="2883"/>
      <c r="P12" s="2883"/>
      <c r="Q12" s="2884">
        <v>365</v>
      </c>
      <c r="R12" s="2885">
        <f t="shared" si="0"/>
        <v>0</v>
      </c>
      <c r="S12" s="2839"/>
      <c r="T12" s="2839"/>
      <c r="U12" s="2839"/>
      <c r="V12" s="2847"/>
    </row>
    <row r="13" spans="1:22" s="2851" customFormat="1" ht="13.15" customHeight="1">
      <c r="A13" s="2894"/>
      <c r="B13" s="2897"/>
      <c r="C13" s="2898" t="s">
        <v>2359</v>
      </c>
      <c r="D13" s="2899"/>
      <c r="E13" s="2900"/>
      <c r="F13" s="2889"/>
      <c r="G13" s="2890"/>
      <c r="H13" s="2846"/>
      <c r="I13" s="2847"/>
      <c r="J13" s="4017"/>
      <c r="K13" s="4019"/>
      <c r="L13" s="2881" t="s">
        <v>2360</v>
      </c>
      <c r="M13" s="2882"/>
      <c r="N13" s="2858"/>
      <c r="O13" s="2883"/>
      <c r="P13" s="2883"/>
      <c r="Q13" s="2884">
        <v>365</v>
      </c>
      <c r="R13" s="2885">
        <f t="shared" si="0"/>
        <v>0</v>
      </c>
      <c r="S13" s="2839"/>
      <c r="T13" s="2839"/>
      <c r="U13" s="2839"/>
      <c r="V13" s="2847"/>
    </row>
    <row r="14" spans="1:22" s="2851" customFormat="1" ht="13.15" customHeight="1">
      <c r="A14" s="2894" t="s">
        <v>2361</v>
      </c>
      <c r="B14" s="4027" t="s">
        <v>2362</v>
      </c>
      <c r="C14" s="4028"/>
      <c r="D14" s="2895">
        <f>ROUND(E14*B5/10000,0)</f>
        <v>0</v>
      </c>
      <c r="E14" s="2884"/>
      <c r="F14" s="2889" t="s">
        <v>2363</v>
      </c>
      <c r="G14" s="2890"/>
      <c r="H14" s="2846"/>
      <c r="I14" s="2847"/>
      <c r="J14" s="4017"/>
      <c r="K14" s="4020"/>
      <c r="L14" s="2901" t="s">
        <v>2364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2365</v>
      </c>
      <c r="B15" s="4027" t="s">
        <v>2366</v>
      </c>
      <c r="C15" s="4028"/>
      <c r="D15" s="2895">
        <f>ROUND(D6*E15,0)</f>
        <v>0</v>
      </c>
      <c r="E15" s="2896">
        <v>5.5E-2</v>
      </c>
      <c r="F15" s="2889" t="s">
        <v>2367</v>
      </c>
      <c r="G15" s="2871"/>
      <c r="H15" s="2846"/>
      <c r="I15" s="2847"/>
      <c r="J15" s="4017">
        <v>2</v>
      </c>
      <c r="K15" s="4018" t="s">
        <v>2368</v>
      </c>
      <c r="L15" s="2881" t="s">
        <v>2369</v>
      </c>
      <c r="M15" s="2882" t="s">
        <v>2370</v>
      </c>
      <c r="N15" s="2882" t="s">
        <v>2371</v>
      </c>
      <c r="O15" s="2883" t="s">
        <v>2372</v>
      </c>
      <c r="P15" s="2883" t="s">
        <v>2334</v>
      </c>
      <c r="Q15" s="2858" t="s">
        <v>2373</v>
      </c>
      <c r="R15" s="2905" t="s">
        <v>2335</v>
      </c>
      <c r="S15" s="2839"/>
      <c r="T15" s="2839"/>
      <c r="U15" s="2839"/>
      <c r="V15" s="2847"/>
    </row>
    <row r="16" spans="1:22" s="2851" customFormat="1" ht="13.15" customHeight="1">
      <c r="A16" s="2894" t="s">
        <v>2374</v>
      </c>
      <c r="B16" s="4027" t="s">
        <v>2375</v>
      </c>
      <c r="C16" s="4028"/>
      <c r="D16" s="2906">
        <f>D6*E16</f>
        <v>0</v>
      </c>
      <c r="E16" s="2907"/>
      <c r="F16" s="2892" t="s">
        <v>2376</v>
      </c>
      <c r="G16" s="2871"/>
      <c r="H16" s="2846"/>
      <c r="I16" s="2847"/>
      <c r="J16" s="4017"/>
      <c r="K16" s="4019"/>
      <c r="L16" s="2881" t="s">
        <v>2377</v>
      </c>
      <c r="M16" s="2882"/>
      <c r="N16" s="2882"/>
      <c r="O16" s="2883"/>
      <c r="P16" s="2884">
        <v>365</v>
      </c>
      <c r="Q16" s="2858"/>
      <c r="R16" s="2905">
        <f>ROUND(M16*N16*O16*P16/10000,0)</f>
        <v>0</v>
      </c>
      <c r="S16" s="2839"/>
      <c r="T16" s="2839"/>
      <c r="U16" s="2839"/>
      <c r="V16" s="2847"/>
    </row>
    <row r="17" spans="1:22" s="2851" customFormat="1" ht="13.15" customHeight="1" thickBot="1">
      <c r="A17" s="2908">
        <v>4</v>
      </c>
      <c r="B17" s="4029" t="s">
        <v>2378</v>
      </c>
      <c r="C17" s="4030"/>
      <c r="D17" s="2909">
        <f>ROUND(D6*E17,0)</f>
        <v>0</v>
      </c>
      <c r="E17" s="2910"/>
      <c r="F17" s="2911" t="s">
        <v>2379</v>
      </c>
      <c r="G17" s="2871"/>
      <c r="H17" s="2846"/>
      <c r="I17" s="2847"/>
      <c r="J17" s="4017"/>
      <c r="K17" s="4019"/>
      <c r="L17" s="2881" t="s">
        <v>2380</v>
      </c>
      <c r="M17" s="2882"/>
      <c r="N17" s="2882"/>
      <c r="O17" s="2883"/>
      <c r="P17" s="2884">
        <v>365</v>
      </c>
      <c r="Q17" s="2858"/>
      <c r="R17" s="2905">
        <f>ROUND(M17*N17*O17*P17/10000,0)</f>
        <v>0</v>
      </c>
      <c r="S17" s="2839"/>
      <c r="T17" s="2839"/>
      <c r="U17" s="2839"/>
      <c r="V17" s="2847"/>
    </row>
    <row r="18" spans="1:22" s="2851" customFormat="1" ht="13.15" customHeight="1" thickBot="1">
      <c r="A18" s="2874" t="s">
        <v>2381</v>
      </c>
      <c r="B18" s="2875"/>
      <c r="C18" s="2875"/>
      <c r="D18" s="2912">
        <f>ROUND(D6*E18,0)</f>
        <v>0</v>
      </c>
      <c r="E18" s="2913"/>
      <c r="F18" s="2914" t="s">
        <v>2382</v>
      </c>
      <c r="G18" s="2871"/>
      <c r="H18" s="2846"/>
      <c r="I18" s="2847"/>
      <c r="J18" s="4017"/>
      <c r="K18" s="4019"/>
      <c r="L18" s="2881" t="s">
        <v>2383</v>
      </c>
      <c r="M18" s="2882"/>
      <c r="N18" s="2882"/>
      <c r="O18" s="2883"/>
      <c r="P18" s="2884">
        <v>365</v>
      </c>
      <c r="Q18" s="2858"/>
      <c r="R18" s="2905">
        <f>ROUND(M18*N18*O18*P18/10000,0)</f>
        <v>0</v>
      </c>
      <c r="S18" s="2839"/>
      <c r="T18" s="2839"/>
      <c r="U18" s="2839"/>
      <c r="V18" s="2847"/>
    </row>
    <row r="19" spans="1:22" s="2851" customFormat="1" ht="13.15" customHeight="1" thickBot="1">
      <c r="A19" s="2915" t="s">
        <v>2384</v>
      </c>
      <c r="B19" s="2869"/>
      <c r="C19" s="2869"/>
      <c r="D19" s="2869"/>
      <c r="E19" s="2869"/>
      <c r="F19" s="2870"/>
      <c r="G19" s="2890"/>
      <c r="H19" s="2846"/>
      <c r="I19" s="2847"/>
      <c r="J19" s="4017"/>
      <c r="K19" s="4020"/>
      <c r="L19" s="2901" t="s">
        <v>2364</v>
      </c>
      <c r="M19" s="2902"/>
      <c r="N19" s="2902">
        <f>SUM(N16:N18)</f>
        <v>0</v>
      </c>
      <c r="O19" s="2903"/>
      <c r="P19" s="2916" t="s">
        <v>2428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4017">
        <v>3</v>
      </c>
      <c r="K20" s="4018" t="s">
        <v>2385</v>
      </c>
      <c r="L20" s="2881" t="s">
        <v>2386</v>
      </c>
      <c r="M20" s="2882" t="s">
        <v>2387</v>
      </c>
      <c r="N20" s="2919" t="s">
        <v>2388</v>
      </c>
      <c r="O20" s="2883" t="s">
        <v>2389</v>
      </c>
      <c r="P20" s="2884" t="s">
        <v>2390</v>
      </c>
      <c r="Q20" s="2858" t="s">
        <v>2391</v>
      </c>
      <c r="R20" s="2905" t="s">
        <v>2392</v>
      </c>
      <c r="S20" s="2920"/>
      <c r="T20" s="2920"/>
      <c r="U20" s="2920"/>
      <c r="V20" s="2847"/>
    </row>
    <row r="21" spans="1:22" s="2851" customFormat="1" ht="13.15" customHeight="1">
      <c r="A21" s="2874"/>
      <c r="B21" s="2875"/>
      <c r="C21" s="2921" t="s">
        <v>2393</v>
      </c>
      <c r="D21" s="2922" t="s">
        <v>2394</v>
      </c>
      <c r="E21" s="2923" t="s">
        <v>2395</v>
      </c>
      <c r="F21" s="2918"/>
      <c r="G21" s="2890"/>
      <c r="H21" s="2846"/>
      <c r="I21" s="2847"/>
      <c r="J21" s="4017"/>
      <c r="K21" s="4019"/>
      <c r="L21" s="2881" t="s">
        <v>2396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2397</v>
      </c>
      <c r="D22" s="2926" t="s">
        <v>2398</v>
      </c>
      <c r="E22" s="2927" t="s">
        <v>2399</v>
      </c>
      <c r="F22" s="2918"/>
      <c r="G22" s="2928"/>
      <c r="H22" s="2846"/>
      <c r="I22" s="2847"/>
      <c r="J22" s="4017"/>
      <c r="K22" s="4019"/>
      <c r="L22" s="2881" t="s">
        <v>2400</v>
      </c>
      <c r="M22" s="2882"/>
      <c r="N22" s="2882"/>
      <c r="O22" s="2883"/>
      <c r="P22" s="2884">
        <v>365</v>
      </c>
      <c r="Q22" s="2858"/>
      <c r="R22" s="2924">
        <f>ROUND(M22*N22*O22*P22/10000,0)</f>
        <v>0</v>
      </c>
      <c r="S22" s="2920"/>
      <c r="T22" s="2920"/>
      <c r="U22" s="2920"/>
      <c r="V22" s="2847"/>
    </row>
    <row r="23" spans="1:22" s="2851" customFormat="1" ht="13.15" customHeight="1">
      <c r="A23" s="2929">
        <v>1</v>
      </c>
      <c r="B23" s="2930" t="s">
        <v>2401</v>
      </c>
      <c r="C23" s="2931">
        <f>D6</f>
        <v>0</v>
      </c>
      <c r="D23" s="2932">
        <f>C23*(1+D24)</f>
        <v>0</v>
      </c>
      <c r="E23" s="2933">
        <f>D23*(1+E24)</f>
        <v>0</v>
      </c>
      <c r="F23" s="2934"/>
      <c r="G23" s="2935"/>
      <c r="H23" s="2846"/>
      <c r="I23" s="2847"/>
      <c r="J23" s="4017"/>
      <c r="K23" s="4019"/>
      <c r="L23" s="2881" t="s">
        <v>2402</v>
      </c>
      <c r="M23" s="2882"/>
      <c r="N23" s="2882"/>
      <c r="O23" s="2883"/>
      <c r="P23" s="2884">
        <v>365</v>
      </c>
      <c r="Q23" s="2858"/>
      <c r="R23" s="2924">
        <f>ROUND(M23*N23*O23*P23/10000,0)</f>
        <v>0</v>
      </c>
      <c r="S23" s="2839"/>
      <c r="T23" s="2839"/>
      <c r="U23" s="2839"/>
      <c r="V23" s="2847"/>
    </row>
    <row r="24" spans="1:22" s="2851" customFormat="1" ht="13.15" customHeight="1">
      <c r="A24" s="2936"/>
      <c r="B24" s="2937" t="s">
        <v>2403</v>
      </c>
      <c r="C24" s="2938"/>
      <c r="D24" s="2939"/>
      <c r="E24" s="2940"/>
      <c r="F24" s="2941"/>
      <c r="G24" s="2935"/>
      <c r="H24" s="2846"/>
      <c r="I24" s="2847"/>
      <c r="J24" s="4017"/>
      <c r="K24" s="4020"/>
      <c r="L24" s="2901" t="s">
        <v>2364</v>
      </c>
      <c r="M24" s="2902">
        <f>SUM(M21:M23)</f>
        <v>0</v>
      </c>
      <c r="N24" s="2902"/>
      <c r="O24" s="2903"/>
      <c r="P24" s="2916" t="s">
        <v>2428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2404</v>
      </c>
      <c r="L25" s="2944"/>
      <c r="M25" s="2944"/>
      <c r="N25" s="2944"/>
      <c r="O25" s="2944"/>
      <c r="P25" s="2945"/>
      <c r="Q25" s="2946">
        <v>0</v>
      </c>
      <c r="R25" s="2917">
        <f>ROUND(R14*Q25,0)</f>
        <v>0</v>
      </c>
      <c r="S25" s="2839"/>
      <c r="T25" s="2839"/>
      <c r="U25" s="2839"/>
      <c r="V25" s="2947"/>
    </row>
    <row r="26" spans="1:22" s="2948" customFormat="1" ht="13.15" customHeight="1">
      <c r="A26" s="2929">
        <v>2</v>
      </c>
      <c r="B26" s="2930" t="s">
        <v>2405</v>
      </c>
      <c r="C26" s="2931">
        <f>D7</f>
        <v>0</v>
      </c>
      <c r="D26" s="2932">
        <f>D23*D27</f>
        <v>0</v>
      </c>
      <c r="E26" s="2933">
        <f>E23*E27</f>
        <v>0</v>
      </c>
      <c r="F26" s="2934"/>
      <c r="G26" s="2935"/>
      <c r="H26" s="2846"/>
      <c r="I26" s="2847"/>
      <c r="J26" s="4021">
        <v>5</v>
      </c>
      <c r="K26" s="2949" t="s">
        <v>2406</v>
      </c>
      <c r="L26" s="2950"/>
      <c r="M26" s="2951"/>
      <c r="N26" s="2952" t="s">
        <v>2407</v>
      </c>
      <c r="O26" s="2952" t="s">
        <v>2408</v>
      </c>
      <c r="P26" s="2953" t="s">
        <v>2409</v>
      </c>
      <c r="Q26" s="2953" t="s">
        <v>2410</v>
      </c>
      <c r="R26" s="2856" t="s">
        <v>2335</v>
      </c>
      <c r="S26" s="2954"/>
      <c r="T26" s="2954"/>
      <c r="U26" s="2954"/>
      <c r="V26" s="2947"/>
    </row>
    <row r="27" spans="1:22" s="2851" customFormat="1" ht="13.15" customHeight="1">
      <c r="A27" s="2936"/>
      <c r="B27" s="2937" t="s">
        <v>2411</v>
      </c>
      <c r="C27" s="2955" t="e">
        <f>E7</f>
        <v>#DIV/0!</v>
      </c>
      <c r="D27" s="2939"/>
      <c r="E27" s="2940"/>
      <c r="F27" s="2941"/>
      <c r="G27" s="2935"/>
      <c r="H27" s="2956"/>
      <c r="I27" s="2947"/>
      <c r="J27" s="402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2412</v>
      </c>
      <c r="F28" s="2941"/>
      <c r="G28" s="2928"/>
      <c r="H28" s="2956"/>
      <c r="I28" s="2947"/>
      <c r="J28" s="2962">
        <v>6</v>
      </c>
      <c r="K28" s="2963" t="s">
        <v>2413</v>
      </c>
      <c r="L28" s="2964" t="s">
        <v>2414</v>
      </c>
      <c r="M28" s="2965"/>
      <c r="N28" s="2964" t="s">
        <v>2415</v>
      </c>
      <c r="O28" s="2966"/>
      <c r="P28" s="2964" t="s">
        <v>2416</v>
      </c>
      <c r="Q28" s="2967">
        <v>1.4999999999999999E-2</v>
      </c>
      <c r="R28" s="2968"/>
      <c r="S28" s="2920"/>
      <c r="T28" s="2920"/>
      <c r="U28" s="2920"/>
      <c r="V28" s="2947"/>
    </row>
    <row r="29" spans="1:22" s="2948" customFormat="1" ht="13.15" customHeight="1">
      <c r="A29" s="2929">
        <v>3</v>
      </c>
      <c r="B29" s="2930" t="s">
        <v>2417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2418</v>
      </c>
      <c r="K31" s="2837"/>
      <c r="L31" s="2837"/>
      <c r="M31" s="2837"/>
      <c r="N31" s="2837"/>
      <c r="O31" s="2837"/>
      <c r="P31" s="2837"/>
      <c r="Q31" s="2837"/>
      <c r="R31" s="2838"/>
      <c r="S31" s="2920"/>
      <c r="T31" s="2839"/>
      <c r="U31" s="2839"/>
      <c r="V31" s="2947"/>
    </row>
    <row r="32" spans="1:22" s="2948" customFormat="1" ht="13.15" customHeight="1">
      <c r="A32" s="2929">
        <v>4</v>
      </c>
      <c r="B32" s="2930" t="s">
        <v>2419</v>
      </c>
      <c r="C32" s="2931">
        <f>C23-C26-C29</f>
        <v>0</v>
      </c>
      <c r="D32" s="2932">
        <f>D23-D26-D29</f>
        <v>0</v>
      </c>
      <c r="E32" s="2933">
        <f>E23-E26-E29</f>
        <v>0</v>
      </c>
      <c r="F32" s="2934"/>
      <c r="G32" s="2928"/>
      <c r="H32" s="2846"/>
      <c r="I32" s="2847"/>
      <c r="J32" s="4023" t="s">
        <v>2311</v>
      </c>
      <c r="K32" s="4024"/>
      <c r="L32" s="2848" t="s">
        <v>2312</v>
      </c>
      <c r="M32" s="2848" t="s">
        <v>2313</v>
      </c>
      <c r="N32" s="2848" t="s">
        <v>2314</v>
      </c>
      <c r="O32" s="2848" t="s">
        <v>2315</v>
      </c>
      <c r="P32" s="2848" t="s">
        <v>2316</v>
      </c>
      <c r="Q32" s="2849" t="s">
        <v>2317</v>
      </c>
      <c r="R32" s="2971" t="s">
        <v>2318</v>
      </c>
      <c r="S32" s="2920"/>
      <c r="T32" s="2839"/>
      <c r="U32" s="2839"/>
      <c r="V32" s="2947"/>
    </row>
    <row r="33" spans="1:23" s="2851" customFormat="1" ht="13.15" customHeight="1">
      <c r="A33" s="2929"/>
      <c r="B33" s="2930"/>
      <c r="C33" s="2931"/>
      <c r="D33" s="2972"/>
      <c r="E33" s="2973"/>
      <c r="F33" s="2934"/>
      <c r="G33" s="2928"/>
      <c r="H33" s="2956"/>
      <c r="I33" s="2947"/>
      <c r="J33" s="4025" t="s">
        <v>2321</v>
      </c>
      <c r="K33" s="4026"/>
      <c r="L33" s="2854"/>
      <c r="M33" s="2854"/>
      <c r="N33" s="2854"/>
      <c r="O33" s="2854"/>
      <c r="P33" s="2854"/>
      <c r="Q33" s="2855"/>
      <c r="R33" s="2974">
        <f>SUM(L33:Q33)</f>
        <v>0</v>
      </c>
      <c r="S33" s="2920"/>
      <c r="T33" s="2839"/>
      <c r="U33" s="2839"/>
      <c r="V33" s="2847"/>
    </row>
    <row r="34" spans="1:23" s="2851" customFormat="1" ht="13.15" customHeight="1">
      <c r="A34" s="2929">
        <v>5</v>
      </c>
      <c r="B34" s="2930" t="s">
        <v>2420</v>
      </c>
      <c r="C34" s="2975"/>
      <c r="D34" s="2976"/>
      <c r="E34" s="2977"/>
      <c r="F34" s="2934"/>
      <c r="G34" s="2928"/>
      <c r="H34" s="2956"/>
      <c r="I34" s="2947"/>
      <c r="J34" s="4025" t="s">
        <v>2323</v>
      </c>
      <c r="K34" s="402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2421</v>
      </c>
      <c r="C35" s="2979"/>
      <c r="D35" s="2980"/>
      <c r="E35" s="2981"/>
      <c r="F35" s="2934"/>
      <c r="G35" s="2982"/>
      <c r="H35" s="2846"/>
      <c r="I35" s="2947"/>
      <c r="J35" s="2865" t="s">
        <v>2325</v>
      </c>
      <c r="K35" s="2866"/>
      <c r="L35" s="2866"/>
      <c r="M35" s="2867"/>
      <c r="N35" s="2867"/>
      <c r="O35" s="2867"/>
      <c r="P35" s="2867"/>
      <c r="Q35" s="2867"/>
      <c r="R35" s="2983">
        <f>R40+R41+R43</f>
        <v>0</v>
      </c>
      <c r="S35" s="2920"/>
      <c r="T35" s="2839" t="s">
        <v>2326</v>
      </c>
      <c r="U35" s="2839"/>
      <c r="V35" s="2847"/>
    </row>
    <row r="36" spans="1:23" s="2851" customFormat="1" ht="13.15" customHeight="1" thickBot="1">
      <c r="A36" s="2929">
        <v>7</v>
      </c>
      <c r="B36" s="2984" t="s">
        <v>2422</v>
      </c>
      <c r="C36" s="2985"/>
      <c r="D36" s="2986"/>
      <c r="E36" s="2987"/>
      <c r="F36" s="2988">
        <f>C36+D36+E36</f>
        <v>0</v>
      </c>
      <c r="G36" s="2928"/>
      <c r="H36" s="2846"/>
      <c r="I36" s="2847"/>
      <c r="J36" s="4017">
        <v>1</v>
      </c>
      <c r="K36" s="4018" t="s">
        <v>2423</v>
      </c>
      <c r="L36" s="2872"/>
      <c r="M36" s="2873"/>
      <c r="N36" s="2873"/>
      <c r="O36" s="2873"/>
      <c r="P36" s="2873"/>
      <c r="Q36" s="2873"/>
      <c r="R36" s="2856" t="s">
        <v>2335</v>
      </c>
      <c r="S36" s="2920"/>
      <c r="T36" s="2839" t="s">
        <v>2336</v>
      </c>
      <c r="U36" s="2839"/>
      <c r="V36" s="2847"/>
    </row>
    <row r="37" spans="1:23" s="2851" customFormat="1" ht="13.15" customHeight="1">
      <c r="A37" s="2929"/>
      <c r="B37" s="2930"/>
      <c r="C37" s="2930"/>
      <c r="D37" s="2930"/>
      <c r="E37" s="2930"/>
      <c r="F37" s="2934"/>
      <c r="G37" s="2928"/>
      <c r="H37" s="2846"/>
      <c r="I37" s="2847"/>
      <c r="J37" s="4017"/>
      <c r="K37" s="4019"/>
      <c r="L37" s="2881"/>
      <c r="M37" s="2882"/>
      <c r="N37" s="2858"/>
      <c r="O37" s="2883"/>
      <c r="P37" s="2883"/>
      <c r="Q37" s="2884"/>
      <c r="R37" s="2885"/>
      <c r="S37" s="2920"/>
      <c r="T37" s="2839" t="s">
        <v>2339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4017"/>
      <c r="K38" s="4019"/>
      <c r="L38" s="2881"/>
      <c r="M38" s="2882"/>
      <c r="N38" s="2858"/>
      <c r="O38" s="2883"/>
      <c r="P38" s="2883"/>
      <c r="Q38" s="2884"/>
      <c r="R38" s="2885"/>
      <c r="S38" s="2920"/>
      <c r="T38" s="2839" t="s">
        <v>2346</v>
      </c>
      <c r="U38" s="2839"/>
      <c r="V38" s="2847"/>
    </row>
    <row r="39" spans="1:23" s="2851" customFormat="1" ht="13.15" customHeight="1">
      <c r="A39" s="2929">
        <v>9</v>
      </c>
      <c r="B39" s="2930" t="s">
        <v>2424</v>
      </c>
      <c r="C39" s="2895" t="e">
        <f>C38</f>
        <v>#DIV/0!</v>
      </c>
      <c r="D39" s="2930">
        <f>D38/(1+D34)^C36</f>
        <v>0</v>
      </c>
      <c r="E39" s="2930">
        <f>E38/(1+E34)^(C36+D36)</f>
        <v>0</v>
      </c>
      <c r="F39" s="2934"/>
      <c r="G39" s="2989"/>
      <c r="H39" s="2846"/>
      <c r="I39" s="2847"/>
      <c r="J39" s="4017"/>
      <c r="K39" s="4019"/>
      <c r="L39" s="2881"/>
      <c r="M39" s="2882"/>
      <c r="N39" s="2858"/>
      <c r="O39" s="2883"/>
      <c r="P39" s="2883"/>
      <c r="Q39" s="2884"/>
      <c r="R39" s="2885"/>
      <c r="S39" s="2920"/>
      <c r="T39" s="2839"/>
      <c r="U39" s="2839"/>
      <c r="V39" s="2847"/>
    </row>
    <row r="40" spans="1:23" s="2851" customFormat="1" ht="13.15" customHeight="1">
      <c r="A40" s="2990">
        <v>10</v>
      </c>
      <c r="B40" s="2930" t="s">
        <v>2425</v>
      </c>
      <c r="C40" s="2991" t="e">
        <f>C39+D39+E39</f>
        <v>#DIV/0!</v>
      </c>
      <c r="D40" s="2992"/>
      <c r="E40" s="2992"/>
      <c r="F40" s="2993"/>
      <c r="G40" s="2928"/>
      <c r="H40" s="2846"/>
      <c r="I40" s="2847"/>
      <c r="J40" s="4017"/>
      <c r="K40" s="4020"/>
      <c r="L40" s="2901" t="s">
        <v>2364</v>
      </c>
      <c r="M40" s="2902"/>
      <c r="N40" s="2902"/>
      <c r="O40" s="2903"/>
      <c r="P40" s="2903"/>
      <c r="Q40" s="2904"/>
      <c r="R40" s="2850">
        <f>SUM(R37:R39)</f>
        <v>0</v>
      </c>
      <c r="S40" s="2920"/>
      <c r="T40" s="2839"/>
      <c r="U40" s="2839"/>
      <c r="V40" s="2847"/>
    </row>
    <row r="41" spans="1:23" s="2851" customFormat="1" ht="13.15" customHeight="1" thickBot="1">
      <c r="A41" s="2994">
        <v>11</v>
      </c>
      <c r="B41" s="2995" t="s">
        <v>2426</v>
      </c>
      <c r="C41" s="2995" t="e">
        <f>ROUND(C40*10000/B4,0)</f>
        <v>#DIV/0!</v>
      </c>
      <c r="D41" s="2996"/>
      <c r="E41" s="2996"/>
      <c r="F41" s="2997"/>
      <c r="G41" s="2998"/>
      <c r="H41" s="2846"/>
      <c r="I41" s="2847"/>
      <c r="J41" s="2942">
        <v>2</v>
      </c>
      <c r="K41" s="2943" t="s">
        <v>2404</v>
      </c>
      <c r="L41" s="2944"/>
      <c r="M41" s="2944"/>
      <c r="N41" s="2944"/>
      <c r="O41" s="2944"/>
      <c r="P41" s="2945"/>
      <c r="Q41" s="2946"/>
      <c r="R41" s="2917">
        <f>ROUND(R40*Q41,0)</f>
        <v>0</v>
      </c>
      <c r="S41" s="2920"/>
      <c r="T41" s="2839"/>
      <c r="U41" s="2954"/>
      <c r="V41" s="2847"/>
    </row>
    <row r="42" spans="1:23" s="2851" customFormat="1" ht="13.15" customHeight="1">
      <c r="G42" s="2998"/>
      <c r="H42" s="2846"/>
      <c r="I42" s="2847"/>
      <c r="J42" s="4021">
        <v>3</v>
      </c>
      <c r="K42" s="2949" t="s">
        <v>2406</v>
      </c>
      <c r="L42" s="2950"/>
      <c r="M42" s="2951"/>
      <c r="N42" s="2952" t="s">
        <v>2407</v>
      </c>
      <c r="O42" s="2952" t="s">
        <v>2408</v>
      </c>
      <c r="P42" s="2953" t="s">
        <v>2409</v>
      </c>
      <c r="Q42" s="2953" t="s">
        <v>2410</v>
      </c>
      <c r="R42" s="2856" t="s">
        <v>2335</v>
      </c>
      <c r="S42" s="2954"/>
      <c r="T42" s="2954"/>
      <c r="U42" s="2839"/>
      <c r="V42" s="2847"/>
    </row>
    <row r="43" spans="1:23" ht="13.15" customHeight="1">
      <c r="A43" s="2851"/>
      <c r="B43" s="2851"/>
      <c r="C43" s="2851"/>
      <c r="D43" s="2851"/>
      <c r="E43" s="2851"/>
      <c r="F43" s="2851"/>
      <c r="I43" s="2834"/>
      <c r="J43" s="402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2413</v>
      </c>
      <c r="L44" s="3002" t="s">
        <v>2414</v>
      </c>
      <c r="M44" s="2965"/>
      <c r="N44" s="3002" t="s">
        <v>2415</v>
      </c>
      <c r="O44" s="2965"/>
      <c r="P44" s="3002" t="s">
        <v>2416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5"/>
      <c r="G1" s="1489"/>
      <c r="H1" s="1489"/>
      <c r="I1" s="1489"/>
      <c r="J1" s="1489"/>
      <c r="K1" s="1489"/>
      <c r="L1" s="1489"/>
      <c r="M1" s="1489"/>
      <c r="N1" s="1489"/>
      <c r="O1" s="1489"/>
      <c r="P1" s="1489"/>
      <c r="Q1" s="1489"/>
      <c r="R1" s="1489"/>
      <c r="S1" s="1489"/>
    </row>
    <row r="2" spans="1:22" ht="15.75">
      <c r="A2" s="1870" t="s">
        <v>1460</v>
      </c>
      <c r="B2" s="1871">
        <f ca="1">SUMIF(B6:B13,"&lt;&gt;#ref!",B6:B13)</f>
        <v>4130.8548000000001</v>
      </c>
      <c r="C2" s="1872" t="s">
        <v>1649</v>
      </c>
      <c r="D2" s="1873" t="s">
        <v>1650</v>
      </c>
      <c r="E2" s="2605">
        <f>SUM(E6:E13)</f>
        <v>468.48</v>
      </c>
      <c r="F2" s="2705"/>
      <c r="G2" s="1489"/>
      <c r="H2" s="1489"/>
      <c r="I2" s="1489"/>
      <c r="J2" s="1489"/>
      <c r="K2" s="1489"/>
      <c r="L2" s="1489"/>
      <c r="M2" s="1489"/>
      <c r="N2" s="1489"/>
      <c r="O2" s="1489"/>
      <c r="P2" s="1489"/>
      <c r="Q2" s="1489"/>
      <c r="R2" s="1489"/>
      <c r="S2" s="1489"/>
    </row>
    <row r="3" spans="1:22" ht="15.75">
      <c r="A3" s="1870" t="s">
        <v>686</v>
      </c>
      <c r="B3" s="2599">
        <f ca="1">ROUND(B2*10000/E2,0)</f>
        <v>88176</v>
      </c>
      <c r="C3" s="1872" t="s">
        <v>1657</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1651</v>
      </c>
      <c r="B5" s="4036" t="s">
        <v>1652</v>
      </c>
      <c r="C5" s="4037"/>
      <c r="D5" s="2706"/>
      <c r="E5" s="1874" t="s">
        <v>1653</v>
      </c>
      <c r="F5" s="1875" t="s">
        <v>1654</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4130.8548000000001</v>
      </c>
      <c r="C6" s="1872" t="s">
        <v>1649</v>
      </c>
      <c r="D6" s="2707"/>
      <c r="E6" s="2604">
        <f>IF(OR(A6=0,F6="否"),0,'数据-取费表'!K6+'数据-取费表'!S6)</f>
        <v>468.48</v>
      </c>
      <c r="F6" s="1876" t="s">
        <v>1655</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1649</v>
      </c>
      <c r="D7" s="2707"/>
      <c r="E7" s="2604">
        <f>IF(OR(A7=0,F7="否"),0,'数据-取费表'!K7+'数据-取费表'!S7)</f>
        <v>0</v>
      </c>
      <c r="F7" s="1876" t="s">
        <v>1655</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1649</v>
      </c>
      <c r="D8" s="2707"/>
      <c r="E8" s="2604">
        <f>IF(OR(A8=0,F8="否"),0,'数据-取费表'!K8+'数据-取费表'!S8)</f>
        <v>0</v>
      </c>
      <c r="F8" s="1876" t="s">
        <v>1655</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1649</v>
      </c>
      <c r="D9" s="2707"/>
      <c r="E9" s="2604">
        <f>IF(OR(A9=0,F9="否"),0,'数据-取费表'!K9+'数据-取费表'!S9)</f>
        <v>0</v>
      </c>
      <c r="F9" s="1876" t="s">
        <v>1655</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1649</v>
      </c>
      <c r="D10" s="2707"/>
      <c r="E10" s="2604">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1649</v>
      </c>
      <c r="D11" s="2707"/>
      <c r="E11" s="2604">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1649</v>
      </c>
      <c r="D12" s="2707"/>
      <c r="E12" s="2604">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1649</v>
      </c>
      <c r="D13" s="2708"/>
      <c r="E13" s="2604">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4"/>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468.48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1664</v>
      </c>
      <c r="B4" s="356"/>
      <c r="C4" s="3984" t="s">
        <v>1665</v>
      </c>
      <c r="D4" s="3985"/>
      <c r="E4" s="3986" t="s">
        <v>1666</v>
      </c>
      <c r="F4" s="3987"/>
      <c r="G4" s="3984" t="s">
        <v>1667</v>
      </c>
      <c r="H4" s="3985"/>
      <c r="I4" s="3984" t="s">
        <v>1668</v>
      </c>
      <c r="J4" s="3985"/>
      <c r="K4" s="1889" t="s">
        <v>1669</v>
      </c>
      <c r="L4" s="2713"/>
      <c r="M4" s="2714"/>
      <c r="N4" s="2714"/>
      <c r="O4" s="2714"/>
      <c r="P4" s="3988" t="s">
        <v>1670</v>
      </c>
      <c r="Q4" s="3989"/>
      <c r="R4" s="3994" t="s">
        <v>1666</v>
      </c>
      <c r="S4" s="3995"/>
      <c r="T4" s="3994" t="s">
        <v>1667</v>
      </c>
      <c r="U4" s="3995"/>
      <c r="V4" s="3979" t="s">
        <v>1668</v>
      </c>
      <c r="W4" s="3979"/>
      <c r="X4" s="1355"/>
      <c r="Y4" s="3994" t="s">
        <v>1670</v>
      </c>
      <c r="Z4" s="3995"/>
      <c r="AA4" s="3981" t="s">
        <v>1666</v>
      </c>
      <c r="AB4" s="3981" t="s">
        <v>1667</v>
      </c>
      <c r="AC4" s="3981" t="s">
        <v>1668</v>
      </c>
    </row>
    <row r="5" spans="1:29" ht="15">
      <c r="A5" s="358"/>
      <c r="B5" s="359"/>
      <c r="C5" s="4009" t="s">
        <v>1671</v>
      </c>
      <c r="D5" s="4008"/>
      <c r="E5" s="4038" t="s">
        <v>1672</v>
      </c>
      <c r="F5" s="4003"/>
      <c r="G5" s="4009" t="s">
        <v>1673</v>
      </c>
      <c r="H5" s="4008"/>
      <c r="I5" s="4009" t="s">
        <v>1674</v>
      </c>
      <c r="J5" s="4008"/>
      <c r="K5" s="1890"/>
      <c r="L5" s="2713"/>
      <c r="M5" s="2714"/>
      <c r="N5" s="2714"/>
      <c r="O5" s="2714"/>
      <c r="P5" s="3990"/>
      <c r="Q5" s="3991"/>
      <c r="R5" s="3996"/>
      <c r="S5" s="3997"/>
      <c r="T5" s="3996"/>
      <c r="U5" s="3997"/>
      <c r="V5" s="3979"/>
      <c r="W5" s="3979"/>
      <c r="X5" s="1355"/>
      <c r="Y5" s="3996"/>
      <c r="Z5" s="3997"/>
      <c r="AA5" s="3982"/>
      <c r="AB5" s="3982"/>
      <c r="AC5" s="3982"/>
    </row>
    <row r="6" spans="1:29" ht="15.75" thickBot="1">
      <c r="A6" s="360"/>
      <c r="B6" s="361"/>
      <c r="C6" s="4000" t="s">
        <v>1675</v>
      </c>
      <c r="D6" s="4001"/>
      <c r="E6" s="4010" t="s">
        <v>1675</v>
      </c>
      <c r="F6" s="4011"/>
      <c r="G6" s="4000" t="s">
        <v>1675</v>
      </c>
      <c r="H6" s="4001"/>
      <c r="I6" s="4000" t="s">
        <v>1675</v>
      </c>
      <c r="J6" s="4001"/>
      <c r="K6" s="1890" t="s">
        <v>1676</v>
      </c>
      <c r="L6" s="2713"/>
      <c r="M6" s="2714"/>
      <c r="N6" s="2714"/>
      <c r="O6" s="2714"/>
      <c r="P6" s="3992"/>
      <c r="Q6" s="3993"/>
      <c r="R6" s="3996"/>
      <c r="S6" s="3997"/>
      <c r="T6" s="3998"/>
      <c r="U6" s="3999"/>
      <c r="V6" s="3979"/>
      <c r="W6" s="3979"/>
      <c r="X6" s="1355"/>
      <c r="Y6" s="3998"/>
      <c r="Z6" s="3999"/>
      <c r="AA6" s="3983"/>
      <c r="AB6" s="3983"/>
      <c r="AC6" s="3983"/>
    </row>
    <row r="7" spans="1:29" s="108" customFormat="1" ht="15.75" thickBot="1">
      <c r="A7" s="362" t="s">
        <v>1677</v>
      </c>
      <c r="B7" s="363"/>
      <c r="C7" s="364">
        <f>'数据-取费表'!B2</f>
        <v>45583</v>
      </c>
      <c r="D7" s="365">
        <v>100</v>
      </c>
      <c r="E7" s="366"/>
      <c r="F7" s="367">
        <f>SUMIF(58:58,YEAR(E7)&amp;"-"&amp;MONTH(E7),59:59)</f>
        <v>0</v>
      </c>
      <c r="G7" s="366"/>
      <c r="H7" s="365">
        <f>SUMIF(58:58,YEAR(G7)&amp;"-"&amp;MONTH(G7),59:59)</f>
        <v>0</v>
      </c>
      <c r="I7" s="366"/>
      <c r="J7" s="365">
        <f>SUMIF(58:58,YEAR(I7)&amp;"-"&amp;MONTH(I7),59:59)</f>
        <v>0</v>
      </c>
      <c r="K7" s="1891"/>
      <c r="L7" s="2715"/>
      <c r="M7" s="2716"/>
      <c r="N7" s="2716"/>
      <c r="O7" s="2716"/>
      <c r="P7" s="4004" t="s">
        <v>1678</v>
      </c>
      <c r="Q7" s="4006"/>
      <c r="R7" s="701" t="s">
        <v>20</v>
      </c>
      <c r="S7" s="702">
        <f t="shared" ref="S7:S15" si="0">F7</f>
        <v>0</v>
      </c>
      <c r="T7" s="701" t="s">
        <v>20</v>
      </c>
      <c r="U7" s="702">
        <f t="shared" ref="U7:U15" si="1">H7</f>
        <v>0</v>
      </c>
      <c r="V7" s="701" t="s">
        <v>20</v>
      </c>
      <c r="W7" s="702">
        <f t="shared" ref="W7:W15" si="2">J7</f>
        <v>0</v>
      </c>
      <c r="X7" s="703"/>
      <c r="Y7" s="4004" t="s">
        <v>1678</v>
      </c>
      <c r="Z7" s="4005"/>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4004" t="s">
        <v>1681</v>
      </c>
      <c r="Q8" s="4005"/>
      <c r="R8" s="701" t="s">
        <v>20</v>
      </c>
      <c r="S8" s="702">
        <f t="shared" si="0"/>
        <v>100</v>
      </c>
      <c r="T8" s="701" t="s">
        <v>20</v>
      </c>
      <c r="U8" s="702">
        <f t="shared" si="1"/>
        <v>100</v>
      </c>
      <c r="V8" s="701" t="s">
        <v>20</v>
      </c>
      <c r="W8" s="702">
        <f t="shared" si="2"/>
        <v>100</v>
      </c>
      <c r="X8" s="703"/>
      <c r="Y8" s="4004" t="s">
        <v>1681</v>
      </c>
      <c r="Z8" s="4005"/>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980" t="s">
        <v>1684</v>
      </c>
      <c r="Q9" s="1343" t="str">
        <f t="shared" ref="Q9:Q15" si="6">B9</f>
        <v>用途</v>
      </c>
      <c r="R9" s="701" t="s">
        <v>14</v>
      </c>
      <c r="S9" s="702">
        <f t="shared" si="0"/>
        <v>100</v>
      </c>
      <c r="T9" s="701" t="s">
        <v>14</v>
      </c>
      <c r="U9" s="702">
        <f t="shared" si="1"/>
        <v>100</v>
      </c>
      <c r="V9" s="701" t="s">
        <v>14</v>
      </c>
      <c r="W9" s="702">
        <f t="shared" si="2"/>
        <v>100</v>
      </c>
      <c r="X9" s="703"/>
      <c r="Y9" s="3869"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980"/>
      <c r="Q10" s="1343" t="str">
        <f t="shared" si="6"/>
        <v>土地使用年限（年）</v>
      </c>
      <c r="R10" s="701" t="s">
        <v>14</v>
      </c>
      <c r="S10" s="702">
        <f t="shared" si="0"/>
        <v>100</v>
      </c>
      <c r="T10" s="701" t="s">
        <v>14</v>
      </c>
      <c r="U10" s="702">
        <f t="shared" si="1"/>
        <v>100</v>
      </c>
      <c r="V10" s="701" t="s">
        <v>14</v>
      </c>
      <c r="W10" s="702">
        <f t="shared" si="2"/>
        <v>100</v>
      </c>
      <c r="X10" s="703"/>
      <c r="Y10" s="386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980"/>
      <c r="Q11" s="1343" t="str">
        <f t="shared" si="6"/>
        <v>容积率</v>
      </c>
      <c r="R11" s="701" t="s">
        <v>18</v>
      </c>
      <c r="S11" s="702" t="e">
        <f t="shared" si="0"/>
        <v>#N/A</v>
      </c>
      <c r="T11" s="701" t="s">
        <v>18</v>
      </c>
      <c r="U11" s="702" t="e">
        <f t="shared" si="1"/>
        <v>#N/A</v>
      </c>
      <c r="V11" s="701" t="s">
        <v>18</v>
      </c>
      <c r="W11" s="702" t="e">
        <f t="shared" si="2"/>
        <v>#N/A</v>
      </c>
      <c r="X11" s="703"/>
      <c r="Y11" s="386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980"/>
      <c r="Q12" s="1343">
        <f t="shared" si="6"/>
        <v>111</v>
      </c>
      <c r="R12" s="701" t="s">
        <v>18</v>
      </c>
      <c r="S12" s="702">
        <f t="shared" si="0"/>
        <v>100</v>
      </c>
      <c r="T12" s="701" t="s">
        <v>18</v>
      </c>
      <c r="U12" s="702">
        <f t="shared" si="1"/>
        <v>100</v>
      </c>
      <c r="V12" s="701" t="s">
        <v>18</v>
      </c>
      <c r="W12" s="702">
        <f t="shared" si="2"/>
        <v>100</v>
      </c>
      <c r="X12" s="703"/>
      <c r="Y12" s="386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980"/>
      <c r="Q13" s="1343">
        <f t="shared" si="6"/>
        <v>111</v>
      </c>
      <c r="R13" s="701" t="s">
        <v>18</v>
      </c>
      <c r="S13" s="702">
        <f t="shared" si="0"/>
        <v>100</v>
      </c>
      <c r="T13" s="701" t="s">
        <v>18</v>
      </c>
      <c r="U13" s="702">
        <f t="shared" si="1"/>
        <v>100</v>
      </c>
      <c r="V13" s="701" t="s">
        <v>18</v>
      </c>
      <c r="W13" s="702">
        <f t="shared" si="2"/>
        <v>100</v>
      </c>
      <c r="X13" s="703"/>
      <c r="Y13" s="386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980"/>
      <c r="Q14" s="1343">
        <f t="shared" si="6"/>
        <v>111</v>
      </c>
      <c r="R14" s="701" t="s">
        <v>18</v>
      </c>
      <c r="S14" s="702">
        <f t="shared" si="0"/>
        <v>100</v>
      </c>
      <c r="T14" s="701" t="s">
        <v>18</v>
      </c>
      <c r="U14" s="702">
        <f t="shared" si="1"/>
        <v>100</v>
      </c>
      <c r="V14" s="701" t="s">
        <v>18</v>
      </c>
      <c r="W14" s="702">
        <f t="shared" si="2"/>
        <v>100</v>
      </c>
      <c r="X14" s="703"/>
      <c r="Y14" s="3869"/>
      <c r="Z14" s="52">
        <f t="shared" si="7"/>
        <v>111</v>
      </c>
      <c r="AA14" s="704">
        <f t="shared" si="3"/>
        <v>1</v>
      </c>
      <c r="AB14" s="704">
        <f t="shared" si="4"/>
        <v>1</v>
      </c>
      <c r="AC14" s="704">
        <f t="shared" si="5"/>
        <v>1</v>
      </c>
    </row>
    <row r="15" spans="1:29" ht="15">
      <c r="A15" s="391" t="s">
        <v>1688</v>
      </c>
      <c r="B15" s="61" t="s">
        <v>1255</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970" t="s">
        <v>1689</v>
      </c>
      <c r="Q15" s="1352" t="str">
        <f t="shared" si="6"/>
        <v>居住社区成熟度</v>
      </c>
      <c r="R15" s="705" t="s">
        <v>18</v>
      </c>
      <c r="S15" s="706">
        <f t="shared" si="0"/>
        <v>100</v>
      </c>
      <c r="T15" s="705" t="s">
        <v>18</v>
      </c>
      <c r="U15" s="706">
        <f t="shared" si="1"/>
        <v>100</v>
      </c>
      <c r="V15" s="705" t="s">
        <v>18</v>
      </c>
      <c r="W15" s="706">
        <f t="shared" si="2"/>
        <v>100</v>
      </c>
      <c r="X15" s="1355"/>
      <c r="Y15" s="3972"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971"/>
      <c r="Q16" s="1352"/>
      <c r="R16" s="705"/>
      <c r="S16" s="706"/>
      <c r="T16" s="705"/>
      <c r="U16" s="706"/>
      <c r="V16" s="705"/>
      <c r="W16" s="706"/>
      <c r="X16" s="1355"/>
      <c r="Y16" s="3973"/>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971"/>
      <c r="Q17" s="1352" t="str">
        <f>B17</f>
        <v>交通便捷度</v>
      </c>
      <c r="R17" s="705" t="s">
        <v>18</v>
      </c>
      <c r="S17" s="706">
        <f>F17</f>
        <v>100</v>
      </c>
      <c r="T17" s="705" t="s">
        <v>18</v>
      </c>
      <c r="U17" s="706">
        <f>H17</f>
        <v>100</v>
      </c>
      <c r="V17" s="705" t="s">
        <v>18</v>
      </c>
      <c r="W17" s="706">
        <f>J17</f>
        <v>100</v>
      </c>
      <c r="X17" s="1355"/>
      <c r="Y17" s="397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971"/>
      <c r="Q18" s="1352"/>
      <c r="R18" s="705"/>
      <c r="S18" s="706"/>
      <c r="T18" s="705"/>
      <c r="U18" s="706"/>
      <c r="V18" s="705"/>
      <c r="W18" s="706"/>
      <c r="X18" s="1355"/>
      <c r="Y18" s="3973"/>
      <c r="Z18" s="1356"/>
      <c r="AA18" s="1353">
        <v>1</v>
      </c>
      <c r="AB18" s="1353">
        <v>1</v>
      </c>
      <c r="AC18" s="1353">
        <v>1</v>
      </c>
    </row>
    <row r="19" spans="1:29" ht="15">
      <c r="A19" s="379"/>
      <c r="B19" s="402" t="s">
        <v>1256</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971"/>
      <c r="Q19" s="1352" t="str">
        <f>B19</f>
        <v>公共配套设施</v>
      </c>
      <c r="R19" s="705" t="s">
        <v>18</v>
      </c>
      <c r="S19" s="706">
        <f>F19</f>
        <v>100</v>
      </c>
      <c r="T19" s="705" t="s">
        <v>18</v>
      </c>
      <c r="U19" s="706">
        <f>H19</f>
        <v>100</v>
      </c>
      <c r="V19" s="705" t="s">
        <v>18</v>
      </c>
      <c r="W19" s="706">
        <f>J19</f>
        <v>100</v>
      </c>
      <c r="X19" s="1355"/>
      <c r="Y19" s="397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971"/>
      <c r="Q20" s="1352"/>
      <c r="R20" s="705"/>
      <c r="S20" s="706"/>
      <c r="T20" s="705"/>
      <c r="U20" s="706"/>
      <c r="V20" s="705"/>
      <c r="W20" s="706"/>
      <c r="X20" s="1355"/>
      <c r="Y20" s="3973"/>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971"/>
      <c r="Q21" s="1352" t="str">
        <f>B21</f>
        <v>基础设施水平</v>
      </c>
      <c r="R21" s="705" t="s">
        <v>14</v>
      </c>
      <c r="S21" s="706">
        <f>F21</f>
        <v>100</v>
      </c>
      <c r="T21" s="705" t="s">
        <v>14</v>
      </c>
      <c r="U21" s="706">
        <f>H21</f>
        <v>100</v>
      </c>
      <c r="V21" s="705" t="s">
        <v>14</v>
      </c>
      <c r="W21" s="706">
        <f>J21</f>
        <v>100</v>
      </c>
      <c r="X21" s="1355"/>
      <c r="Y21" s="39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971"/>
      <c r="Q22" s="1352"/>
      <c r="R22" s="705"/>
      <c r="S22" s="706"/>
      <c r="T22" s="705"/>
      <c r="U22" s="706"/>
      <c r="V22" s="705"/>
      <c r="W22" s="706"/>
      <c r="X22" s="1355"/>
      <c r="Y22" s="3973"/>
      <c r="Z22" s="1356"/>
      <c r="AA22" s="1353">
        <v>1</v>
      </c>
      <c r="AB22" s="1353">
        <v>1</v>
      </c>
      <c r="AC22" s="1353">
        <v>1</v>
      </c>
    </row>
    <row r="23" spans="1:29" ht="15">
      <c r="A23" s="379"/>
      <c r="B23" s="402" t="s">
        <v>1259</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971"/>
      <c r="Q23" s="1352" t="str">
        <f>B23</f>
        <v>自然及人文环境</v>
      </c>
      <c r="R23" s="705" t="s">
        <v>18</v>
      </c>
      <c r="S23" s="706">
        <f>F23</f>
        <v>100</v>
      </c>
      <c r="T23" s="705" t="s">
        <v>18</v>
      </c>
      <c r="U23" s="706">
        <f>H23</f>
        <v>100</v>
      </c>
      <c r="V23" s="705" t="s">
        <v>18</v>
      </c>
      <c r="W23" s="706">
        <f>J23</f>
        <v>100</v>
      </c>
      <c r="X23" s="1355"/>
      <c r="Y23" s="397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971"/>
      <c r="Q24" s="1352"/>
      <c r="R24" s="705"/>
      <c r="S24" s="706"/>
      <c r="T24" s="705"/>
      <c r="U24" s="706"/>
      <c r="V24" s="705"/>
      <c r="W24" s="706"/>
      <c r="X24" s="1355"/>
      <c r="Y24" s="3973"/>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97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973"/>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971"/>
      <c r="Q26" s="1352" t="str">
        <f t="shared" si="11"/>
        <v>朝向</v>
      </c>
      <c r="R26" s="705" t="s">
        <v>18</v>
      </c>
      <c r="S26" s="706">
        <f t="shared" si="12"/>
        <v>100</v>
      </c>
      <c r="T26" s="705" t="s">
        <v>18</v>
      </c>
      <c r="U26" s="706">
        <f t="shared" si="13"/>
        <v>100</v>
      </c>
      <c r="V26" s="705" t="s">
        <v>18</v>
      </c>
      <c r="W26" s="706">
        <f t="shared" si="14"/>
        <v>100</v>
      </c>
      <c r="X26" s="1355"/>
      <c r="Y26" s="397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971"/>
      <c r="Q27" s="1343">
        <f t="shared" si="11"/>
        <v>111</v>
      </c>
      <c r="R27" s="701" t="s">
        <v>18</v>
      </c>
      <c r="S27" s="702">
        <f t="shared" si="12"/>
        <v>100</v>
      </c>
      <c r="T27" s="701" t="s">
        <v>18</v>
      </c>
      <c r="U27" s="702">
        <f t="shared" si="13"/>
        <v>100</v>
      </c>
      <c r="V27" s="701" t="s">
        <v>18</v>
      </c>
      <c r="W27" s="702">
        <f t="shared" si="14"/>
        <v>100</v>
      </c>
      <c r="X27" s="703"/>
      <c r="Y27" s="397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971"/>
      <c r="Q28" s="1352">
        <f t="shared" si="11"/>
        <v>111</v>
      </c>
      <c r="R28" s="705" t="s">
        <v>18</v>
      </c>
      <c r="S28" s="706">
        <f t="shared" si="12"/>
        <v>100</v>
      </c>
      <c r="T28" s="705" t="s">
        <v>18</v>
      </c>
      <c r="U28" s="706">
        <f t="shared" si="13"/>
        <v>100</v>
      </c>
      <c r="V28" s="705" t="s">
        <v>18</v>
      </c>
      <c r="W28" s="706">
        <f t="shared" si="14"/>
        <v>100</v>
      </c>
      <c r="X28" s="1355"/>
      <c r="Y28" s="397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971"/>
      <c r="Q29" s="1352">
        <f t="shared" si="11"/>
        <v>111</v>
      </c>
      <c r="R29" s="705" t="s">
        <v>18</v>
      </c>
      <c r="S29" s="706">
        <f t="shared" si="12"/>
        <v>100</v>
      </c>
      <c r="T29" s="705" t="s">
        <v>18</v>
      </c>
      <c r="U29" s="706">
        <f t="shared" si="13"/>
        <v>100</v>
      </c>
      <c r="V29" s="705" t="s">
        <v>18</v>
      </c>
      <c r="W29" s="706">
        <f t="shared" si="14"/>
        <v>100</v>
      </c>
      <c r="X29" s="1355"/>
      <c r="Y29" s="397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971"/>
      <c r="Q30" s="1352">
        <f t="shared" si="11"/>
        <v>111</v>
      </c>
      <c r="R30" s="705" t="s">
        <v>18</v>
      </c>
      <c r="S30" s="706">
        <f t="shared" si="12"/>
        <v>100</v>
      </c>
      <c r="T30" s="705" t="s">
        <v>18</v>
      </c>
      <c r="U30" s="706">
        <f t="shared" si="13"/>
        <v>100</v>
      </c>
      <c r="V30" s="705" t="s">
        <v>18</v>
      </c>
      <c r="W30" s="706">
        <f t="shared" si="14"/>
        <v>100</v>
      </c>
      <c r="X30" s="1355"/>
      <c r="Y30" s="397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971"/>
      <c r="Q31" s="1352">
        <f t="shared" si="11"/>
        <v>111</v>
      </c>
      <c r="R31" s="705" t="s">
        <v>18</v>
      </c>
      <c r="S31" s="706">
        <f t="shared" si="12"/>
        <v>100</v>
      </c>
      <c r="T31" s="705" t="s">
        <v>18</v>
      </c>
      <c r="U31" s="706">
        <f t="shared" si="13"/>
        <v>100</v>
      </c>
      <c r="V31" s="705" t="s">
        <v>18</v>
      </c>
      <c r="W31" s="706">
        <f t="shared" si="14"/>
        <v>100</v>
      </c>
      <c r="X31" s="1355"/>
      <c r="Y31" s="3973"/>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974" t="s">
        <v>1694</v>
      </c>
      <c r="Q32" s="1352" t="str">
        <f t="shared" si="11"/>
        <v>建筑类型</v>
      </c>
      <c r="R32" s="705" t="s">
        <v>18</v>
      </c>
      <c r="S32" s="706">
        <f t="shared" si="12"/>
        <v>100</v>
      </c>
      <c r="T32" s="705" t="s">
        <v>18</v>
      </c>
      <c r="U32" s="706">
        <f t="shared" si="13"/>
        <v>100</v>
      </c>
      <c r="V32" s="705" t="s">
        <v>18</v>
      </c>
      <c r="W32" s="706">
        <f t="shared" si="14"/>
        <v>100</v>
      </c>
      <c r="X32" s="1355"/>
      <c r="Y32" s="3977"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975"/>
      <c r="Q33" s="707" t="str">
        <f t="shared" si="11"/>
        <v>项目建筑规模</v>
      </c>
      <c r="R33" s="708" t="s">
        <v>18</v>
      </c>
      <c r="S33" s="709" t="e">
        <f t="shared" si="12"/>
        <v>#N/A</v>
      </c>
      <c r="T33" s="708" t="s">
        <v>18</v>
      </c>
      <c r="U33" s="709" t="e">
        <f t="shared" si="13"/>
        <v>#N/A</v>
      </c>
      <c r="V33" s="708" t="s">
        <v>18</v>
      </c>
      <c r="W33" s="709" t="e">
        <f t="shared" si="14"/>
        <v>#N/A</v>
      </c>
      <c r="X33" s="710"/>
      <c r="Y33" s="3977"/>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975"/>
      <c r="Q34" s="1352" t="str">
        <f t="shared" si="11"/>
        <v>建筑结构</v>
      </c>
      <c r="R34" s="705" t="s">
        <v>18</v>
      </c>
      <c r="S34" s="706">
        <f t="shared" si="12"/>
        <v>100</v>
      </c>
      <c r="T34" s="705" t="s">
        <v>18</v>
      </c>
      <c r="U34" s="706">
        <f t="shared" si="13"/>
        <v>100</v>
      </c>
      <c r="V34" s="705" t="s">
        <v>18</v>
      </c>
      <c r="W34" s="706">
        <f t="shared" si="14"/>
        <v>100</v>
      </c>
      <c r="X34" s="1355"/>
      <c r="Y34" s="3977"/>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975"/>
      <c r="Q35" s="1352" t="str">
        <f t="shared" si="11"/>
        <v>建筑品质</v>
      </c>
      <c r="R35" s="705" t="s">
        <v>18</v>
      </c>
      <c r="S35" s="706">
        <f t="shared" si="12"/>
        <v>100</v>
      </c>
      <c r="T35" s="705" t="s">
        <v>18</v>
      </c>
      <c r="U35" s="706">
        <f t="shared" si="13"/>
        <v>100</v>
      </c>
      <c r="V35" s="705" t="s">
        <v>18</v>
      </c>
      <c r="W35" s="706">
        <f t="shared" si="14"/>
        <v>100</v>
      </c>
      <c r="X35" s="1355"/>
      <c r="Y35" s="3977"/>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975"/>
      <c r="Q36" s="1352" t="str">
        <f t="shared" si="11"/>
        <v>公共部分装修</v>
      </c>
      <c r="R36" s="705" t="s">
        <v>18</v>
      </c>
      <c r="S36" s="706">
        <f t="shared" si="12"/>
        <v>100</v>
      </c>
      <c r="T36" s="705" t="s">
        <v>18</v>
      </c>
      <c r="U36" s="706">
        <f t="shared" si="13"/>
        <v>100</v>
      </c>
      <c r="V36" s="705" t="s">
        <v>18</v>
      </c>
      <c r="W36" s="706">
        <f t="shared" si="14"/>
        <v>100</v>
      </c>
      <c r="X36" s="1355"/>
      <c r="Y36" s="3977"/>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975"/>
      <c r="Q37" s="1343" t="str">
        <f t="shared" si="11"/>
        <v>成新度</v>
      </c>
      <c r="R37" s="701" t="s">
        <v>18</v>
      </c>
      <c r="S37" s="702" t="e">
        <f t="shared" si="12"/>
        <v>#N/A</v>
      </c>
      <c r="T37" s="701" t="s">
        <v>18</v>
      </c>
      <c r="U37" s="702" t="e">
        <f t="shared" si="13"/>
        <v>#N/A</v>
      </c>
      <c r="V37" s="701" t="s">
        <v>18</v>
      </c>
      <c r="W37" s="702" t="e">
        <f t="shared" si="14"/>
        <v>#N/A</v>
      </c>
      <c r="X37" s="703"/>
      <c r="Y37" s="3977"/>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975" t="s">
        <v>1694</v>
      </c>
      <c r="Q38" s="1352" t="str">
        <f t="shared" si="11"/>
        <v>物业管理</v>
      </c>
      <c r="R38" s="705" t="s">
        <v>18</v>
      </c>
      <c r="S38" s="706">
        <f t="shared" si="12"/>
        <v>100</v>
      </c>
      <c r="T38" s="705" t="s">
        <v>18</v>
      </c>
      <c r="U38" s="706">
        <f t="shared" si="13"/>
        <v>100</v>
      </c>
      <c r="V38" s="705" t="s">
        <v>18</v>
      </c>
      <c r="W38" s="706">
        <f t="shared" si="14"/>
        <v>100</v>
      </c>
      <c r="X38" s="1355"/>
      <c r="Y38" s="3977"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975"/>
      <c r="Q39" s="1352" t="str">
        <f t="shared" si="11"/>
        <v>市政基础设施</v>
      </c>
      <c r="R39" s="705" t="s">
        <v>18</v>
      </c>
      <c r="S39" s="706">
        <f t="shared" si="12"/>
        <v>100</v>
      </c>
      <c r="T39" s="705" t="s">
        <v>18</v>
      </c>
      <c r="U39" s="706">
        <f t="shared" si="13"/>
        <v>100</v>
      </c>
      <c r="V39" s="705" t="s">
        <v>18</v>
      </c>
      <c r="W39" s="706">
        <f t="shared" si="14"/>
        <v>100</v>
      </c>
      <c r="X39" s="1355"/>
      <c r="Y39" s="3977"/>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975"/>
      <c r="Q40" s="1352" t="str">
        <f t="shared" si="11"/>
        <v>房型</v>
      </c>
      <c r="R40" s="705" t="s">
        <v>18</v>
      </c>
      <c r="S40" s="706">
        <f t="shared" si="12"/>
        <v>100</v>
      </c>
      <c r="T40" s="705" t="s">
        <v>18</v>
      </c>
      <c r="U40" s="706">
        <f t="shared" si="13"/>
        <v>100</v>
      </c>
      <c r="V40" s="705" t="s">
        <v>18</v>
      </c>
      <c r="W40" s="706">
        <f t="shared" si="14"/>
        <v>100</v>
      </c>
      <c r="X40" s="1355"/>
      <c r="Y40" s="3977"/>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975"/>
      <c r="Q41" s="707" t="str">
        <f t="shared" si="11"/>
        <v>单套/主力户型建筑面积</v>
      </c>
      <c r="R41" s="708" t="s">
        <v>18</v>
      </c>
      <c r="S41" s="709">
        <f t="shared" si="12"/>
        <v>100</v>
      </c>
      <c r="T41" s="708" t="s">
        <v>18</v>
      </c>
      <c r="U41" s="709">
        <f t="shared" si="13"/>
        <v>100</v>
      </c>
      <c r="V41" s="708" t="s">
        <v>18</v>
      </c>
      <c r="W41" s="709">
        <f t="shared" si="14"/>
        <v>100</v>
      </c>
      <c r="X41" s="710"/>
      <c r="Y41" s="3977"/>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975"/>
      <c r="Q42" s="1352" t="str">
        <f t="shared" si="11"/>
        <v>内部装修</v>
      </c>
      <c r="R42" s="705" t="s">
        <v>18</v>
      </c>
      <c r="S42" s="706">
        <f t="shared" si="12"/>
        <v>100</v>
      </c>
      <c r="T42" s="705" t="s">
        <v>18</v>
      </c>
      <c r="U42" s="706">
        <f t="shared" si="13"/>
        <v>100</v>
      </c>
      <c r="V42" s="705" t="s">
        <v>18</v>
      </c>
      <c r="W42" s="706">
        <f t="shared" si="14"/>
        <v>100</v>
      </c>
      <c r="X42" s="1355"/>
      <c r="Y42" s="3977"/>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975"/>
      <c r="Q43" s="1352" t="str">
        <f t="shared" si="11"/>
        <v>内部装修维护情况</v>
      </c>
      <c r="R43" s="705" t="s">
        <v>18</v>
      </c>
      <c r="S43" s="706">
        <f t="shared" si="12"/>
        <v>100</v>
      </c>
      <c r="T43" s="705" t="s">
        <v>18</v>
      </c>
      <c r="U43" s="706">
        <f t="shared" si="13"/>
        <v>100</v>
      </c>
      <c r="V43" s="705" t="s">
        <v>18</v>
      </c>
      <c r="W43" s="706">
        <f t="shared" si="14"/>
        <v>100</v>
      </c>
      <c r="X43" s="1355"/>
      <c r="Y43" s="397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975"/>
      <c r="Q44" s="1343">
        <f t="shared" si="11"/>
        <v>111</v>
      </c>
      <c r="R44" s="701" t="s">
        <v>18</v>
      </c>
      <c r="S44" s="702">
        <f t="shared" si="12"/>
        <v>100</v>
      </c>
      <c r="T44" s="701" t="s">
        <v>18</v>
      </c>
      <c r="U44" s="702">
        <f t="shared" si="13"/>
        <v>100</v>
      </c>
      <c r="V44" s="701" t="s">
        <v>18</v>
      </c>
      <c r="W44" s="702">
        <f t="shared" si="14"/>
        <v>100</v>
      </c>
      <c r="X44" s="703"/>
      <c r="Y44" s="397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975"/>
      <c r="Q45" s="1352">
        <f t="shared" si="11"/>
        <v>111</v>
      </c>
      <c r="R45" s="705" t="s">
        <v>18</v>
      </c>
      <c r="S45" s="706">
        <f t="shared" si="12"/>
        <v>100</v>
      </c>
      <c r="T45" s="705" t="s">
        <v>18</v>
      </c>
      <c r="U45" s="706">
        <f t="shared" si="13"/>
        <v>100</v>
      </c>
      <c r="V45" s="705" t="s">
        <v>18</v>
      </c>
      <c r="W45" s="706">
        <f t="shared" si="14"/>
        <v>100</v>
      </c>
      <c r="X45" s="1355"/>
      <c r="Y45" s="397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976"/>
      <c r="Q46" s="1352">
        <f t="shared" si="11"/>
        <v>111</v>
      </c>
      <c r="R46" s="705" t="s">
        <v>17</v>
      </c>
      <c r="S46" s="706">
        <f t="shared" si="12"/>
        <v>100</v>
      </c>
      <c r="T46" s="705" t="s">
        <v>17</v>
      </c>
      <c r="U46" s="706">
        <f t="shared" si="13"/>
        <v>100</v>
      </c>
      <c r="V46" s="705" t="s">
        <v>17</v>
      </c>
      <c r="W46" s="706">
        <f t="shared" si="14"/>
        <v>100</v>
      </c>
      <c r="X46" s="1355"/>
      <c r="Y46" s="3978"/>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2"/>
      <c r="M47" s="2723"/>
      <c r="N47" s="2714"/>
      <c r="O47" s="2723"/>
      <c r="P47" s="3965" t="str">
        <f>A47</f>
        <v>成交单价（元/平方米）</v>
      </c>
      <c r="Q47" s="3965"/>
      <c r="R47" s="3966">
        <f>E47</f>
        <v>0</v>
      </c>
      <c r="S47" s="3966"/>
      <c r="T47" s="3966">
        <f>G47</f>
        <v>0</v>
      </c>
      <c r="U47" s="3966"/>
      <c r="V47" s="3966">
        <f>I47</f>
        <v>0</v>
      </c>
      <c r="W47" s="3966"/>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2"/>
      <c r="M48" s="2723"/>
      <c r="N48" s="2723"/>
      <c r="O48" s="2723"/>
      <c r="P48" s="3965" t="str">
        <f>A48</f>
        <v>比较价值（元/平方米）</v>
      </c>
      <c r="Q48" s="3965"/>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2"/>
      <c r="M49" s="2723"/>
      <c r="N49" s="2723"/>
      <c r="O49" s="2723"/>
      <c r="P49" s="3967" t="str">
        <f>A49</f>
        <v>估价对象XX用房的比较价值（楼面单价，元/平方米）</v>
      </c>
      <c r="Q49" s="3968"/>
      <c r="R49" s="3969" t="e">
        <f>IF(F1="售价",ROUND(IF(D48="简单平均",AVERAGE(R48:V48),R48*F48+T48*H48+V48*J48),0),ROUND(IF(D48="简单平均",AVERAGE(R48:V48),R48*F48+T48*H48+V48*J48),1))</f>
        <v>#DIV/0!</v>
      </c>
      <c r="S49" s="3969"/>
      <c r="T49" s="3969"/>
      <c r="U49" s="3969"/>
      <c r="V49" s="3969"/>
      <c r="W49" s="396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468.48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1767</v>
      </c>
      <c r="B4" s="356"/>
      <c r="C4" s="3984" t="s">
        <v>1768</v>
      </c>
      <c r="D4" s="3985"/>
      <c r="E4" s="3986" t="s">
        <v>1769</v>
      </c>
      <c r="F4" s="3987"/>
      <c r="G4" s="3984" t="s">
        <v>1770</v>
      </c>
      <c r="H4" s="3985"/>
      <c r="I4" s="3984" t="s">
        <v>1771</v>
      </c>
      <c r="J4" s="3985"/>
      <c r="K4" s="559" t="s">
        <v>1772</v>
      </c>
      <c r="L4" s="2713"/>
      <c r="M4" s="2714"/>
      <c r="N4" s="2714"/>
      <c r="O4" s="2714"/>
      <c r="P4" s="4045" t="s">
        <v>1773</v>
      </c>
      <c r="Q4" s="4046"/>
      <c r="R4" s="4049" t="s">
        <v>1769</v>
      </c>
      <c r="S4" s="4050"/>
      <c r="T4" s="4049" t="s">
        <v>1770</v>
      </c>
      <c r="U4" s="4050"/>
      <c r="V4" s="4051" t="s">
        <v>1771</v>
      </c>
      <c r="W4" s="4051"/>
      <c r="X4" s="1958"/>
      <c r="Y4" s="4049" t="s">
        <v>1773</v>
      </c>
      <c r="Z4" s="4050"/>
      <c r="AA4" s="4053" t="s">
        <v>1769</v>
      </c>
      <c r="AB4" s="4053" t="s">
        <v>1770</v>
      </c>
      <c r="AC4" s="4042" t="s">
        <v>1771</v>
      </c>
    </row>
    <row r="5" spans="1:29" ht="15">
      <c r="A5" s="358"/>
      <c r="B5" s="359"/>
      <c r="C5" s="4009" t="s">
        <v>1671</v>
      </c>
      <c r="D5" s="4008"/>
      <c r="E5" s="4038" t="s">
        <v>1672</v>
      </c>
      <c r="F5" s="4003"/>
      <c r="G5" s="4009" t="s">
        <v>1673</v>
      </c>
      <c r="H5" s="4008"/>
      <c r="I5" s="4009" t="s">
        <v>1674</v>
      </c>
      <c r="J5" s="4008"/>
      <c r="K5" s="559"/>
      <c r="L5" s="2713"/>
      <c r="M5" s="2714"/>
      <c r="N5" s="2714"/>
      <c r="O5" s="2714"/>
      <c r="P5" s="4047"/>
      <c r="Q5" s="3991"/>
      <c r="R5" s="3996"/>
      <c r="S5" s="3997"/>
      <c r="T5" s="3996"/>
      <c r="U5" s="3997"/>
      <c r="V5" s="3979"/>
      <c r="W5" s="3979"/>
      <c r="X5" s="1355"/>
      <c r="Y5" s="3996"/>
      <c r="Z5" s="3997"/>
      <c r="AA5" s="3982"/>
      <c r="AB5" s="3982"/>
      <c r="AC5" s="4043"/>
    </row>
    <row r="6" spans="1:29" ht="15.75" thickBot="1">
      <c r="A6" s="360"/>
      <c r="B6" s="361"/>
      <c r="C6" s="4000" t="s">
        <v>1675</v>
      </c>
      <c r="D6" s="4001"/>
      <c r="E6" s="4010" t="s">
        <v>1675</v>
      </c>
      <c r="F6" s="4011"/>
      <c r="G6" s="4000" t="s">
        <v>1675</v>
      </c>
      <c r="H6" s="4001"/>
      <c r="I6" s="4000" t="s">
        <v>1675</v>
      </c>
      <c r="J6" s="4001"/>
      <c r="K6" s="559" t="s">
        <v>1676</v>
      </c>
      <c r="L6" s="2713"/>
      <c r="M6" s="2714"/>
      <c r="N6" s="2714"/>
      <c r="O6" s="2714"/>
      <c r="P6" s="4048"/>
      <c r="Q6" s="3993"/>
      <c r="R6" s="3996"/>
      <c r="S6" s="3997"/>
      <c r="T6" s="3998"/>
      <c r="U6" s="3999"/>
      <c r="V6" s="3979"/>
      <c r="W6" s="3979"/>
      <c r="X6" s="1355"/>
      <c r="Y6" s="3998"/>
      <c r="Z6" s="3999"/>
      <c r="AA6" s="3983"/>
      <c r="AB6" s="3983"/>
      <c r="AC6" s="4044"/>
    </row>
    <row r="7" spans="1:29" s="108" customFormat="1" ht="15.75" thickBot="1">
      <c r="A7" s="362" t="s">
        <v>1677</v>
      </c>
      <c r="B7" s="363"/>
      <c r="C7" s="364">
        <f>'数据-取费表'!B2</f>
        <v>45583</v>
      </c>
      <c r="D7" s="365">
        <v>100</v>
      </c>
      <c r="E7" s="366"/>
      <c r="F7" s="367">
        <f>SUMIF(59:59,YEAR(E7)&amp;"-"&amp;MONTH(E7),60:60)</f>
        <v>0</v>
      </c>
      <c r="G7" s="366"/>
      <c r="H7" s="365">
        <f>SUMIF(59:59,YEAR(G7)&amp;"-"&amp;MONTH(G7),60:60)</f>
        <v>0</v>
      </c>
      <c r="I7" s="366"/>
      <c r="J7" s="365">
        <f>SUMIF(59:59,YEAR(I7)&amp;"-"&amp;MONTH(I7),60:60)</f>
        <v>0</v>
      </c>
      <c r="K7" s="560"/>
      <c r="L7" s="2715"/>
      <c r="M7" s="2716"/>
      <c r="N7" s="2716"/>
      <c r="O7" s="2716"/>
      <c r="P7" s="4052" t="s">
        <v>1678</v>
      </c>
      <c r="Q7" s="4006"/>
      <c r="R7" s="701" t="s">
        <v>14</v>
      </c>
      <c r="S7" s="702">
        <f t="shared" ref="S7:S15" si="0">F7</f>
        <v>0</v>
      </c>
      <c r="T7" s="701" t="s">
        <v>14</v>
      </c>
      <c r="U7" s="702">
        <f t="shared" ref="U7:U15" si="1">H7</f>
        <v>0</v>
      </c>
      <c r="V7" s="701" t="s">
        <v>14</v>
      </c>
      <c r="W7" s="702">
        <f t="shared" ref="W7:W15" si="2">J7</f>
        <v>0</v>
      </c>
      <c r="X7" s="703"/>
      <c r="Y7" s="4004" t="s">
        <v>1678</v>
      </c>
      <c r="Z7" s="4005"/>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4052" t="s">
        <v>1681</v>
      </c>
      <c r="Q8" s="4005"/>
      <c r="R8" s="701" t="s">
        <v>14</v>
      </c>
      <c r="S8" s="702">
        <f t="shared" si="0"/>
        <v>100</v>
      </c>
      <c r="T8" s="701" t="s">
        <v>14</v>
      </c>
      <c r="U8" s="702">
        <f t="shared" si="1"/>
        <v>100</v>
      </c>
      <c r="V8" s="701" t="s">
        <v>14</v>
      </c>
      <c r="W8" s="702">
        <f t="shared" si="2"/>
        <v>100</v>
      </c>
      <c r="X8" s="703"/>
      <c r="Y8" s="4004" t="s">
        <v>1681</v>
      </c>
      <c r="Z8" s="4005"/>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980" t="s">
        <v>1684</v>
      </c>
      <c r="Q9" s="1343" t="str">
        <f t="shared" ref="Q9:Q15" si="6">B9</f>
        <v>用途</v>
      </c>
      <c r="R9" s="701" t="s">
        <v>14</v>
      </c>
      <c r="S9" s="702">
        <f t="shared" si="0"/>
        <v>100</v>
      </c>
      <c r="T9" s="701" t="s">
        <v>14</v>
      </c>
      <c r="U9" s="702">
        <f t="shared" si="1"/>
        <v>100</v>
      </c>
      <c r="V9" s="701" t="s">
        <v>14</v>
      </c>
      <c r="W9" s="702">
        <f t="shared" si="2"/>
        <v>100</v>
      </c>
      <c r="X9" s="703"/>
      <c r="Y9" s="3869" t="s">
        <v>1685</v>
      </c>
      <c r="Z9" s="52" t="str">
        <f t="shared" ref="Z9:Z15" si="7">Q9</f>
        <v>用途</v>
      </c>
      <c r="AA9" s="704">
        <f t="shared" si="3"/>
        <v>1</v>
      </c>
      <c r="AB9" s="704">
        <f t="shared" si="4"/>
        <v>1</v>
      </c>
      <c r="AC9" s="1959">
        <f t="shared" si="5"/>
        <v>1</v>
      </c>
    </row>
    <row r="10" spans="1:29" s="378" customFormat="1" ht="27">
      <c r="A10" s="374"/>
      <c r="B10" s="375" t="s">
        <v>1686</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980"/>
      <c r="Q10" s="1343" t="str">
        <f t="shared" si="6"/>
        <v>土地使用年限（年）</v>
      </c>
      <c r="R10" s="701" t="s">
        <v>14</v>
      </c>
      <c r="S10" s="702">
        <f t="shared" si="0"/>
        <v>100</v>
      </c>
      <c r="T10" s="701" t="s">
        <v>14</v>
      </c>
      <c r="U10" s="702">
        <f t="shared" si="1"/>
        <v>100</v>
      </c>
      <c r="V10" s="701" t="s">
        <v>14</v>
      </c>
      <c r="W10" s="702">
        <f t="shared" si="2"/>
        <v>100</v>
      </c>
      <c r="X10" s="703"/>
      <c r="Y10" s="3869"/>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980"/>
      <c r="Q11" s="1343" t="str">
        <f t="shared" si="6"/>
        <v>容积率</v>
      </c>
      <c r="R11" s="701" t="s">
        <v>14</v>
      </c>
      <c r="S11" s="702">
        <f t="shared" si="0"/>
        <v>100</v>
      </c>
      <c r="T11" s="701" t="s">
        <v>14</v>
      </c>
      <c r="U11" s="702">
        <f t="shared" si="1"/>
        <v>100</v>
      </c>
      <c r="V11" s="701" t="s">
        <v>14</v>
      </c>
      <c r="W11" s="702">
        <f t="shared" si="2"/>
        <v>100</v>
      </c>
      <c r="X11" s="703"/>
      <c r="Y11" s="386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980"/>
      <c r="Q12" s="1343">
        <f t="shared" si="6"/>
        <v>111</v>
      </c>
      <c r="R12" s="701" t="s">
        <v>14</v>
      </c>
      <c r="S12" s="702">
        <f t="shared" si="0"/>
        <v>100</v>
      </c>
      <c r="T12" s="701" t="s">
        <v>14</v>
      </c>
      <c r="U12" s="702">
        <f t="shared" si="1"/>
        <v>100</v>
      </c>
      <c r="V12" s="701" t="s">
        <v>14</v>
      </c>
      <c r="W12" s="702">
        <f t="shared" si="2"/>
        <v>100</v>
      </c>
      <c r="X12" s="703"/>
      <c r="Y12" s="386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980"/>
      <c r="Q13" s="1343">
        <f t="shared" si="6"/>
        <v>111</v>
      </c>
      <c r="R13" s="701" t="s">
        <v>14</v>
      </c>
      <c r="S13" s="702">
        <f t="shared" si="0"/>
        <v>100</v>
      </c>
      <c r="T13" s="701" t="s">
        <v>14</v>
      </c>
      <c r="U13" s="702">
        <f t="shared" si="1"/>
        <v>100</v>
      </c>
      <c r="V13" s="701" t="s">
        <v>14</v>
      </c>
      <c r="W13" s="702">
        <f t="shared" si="2"/>
        <v>100</v>
      </c>
      <c r="X13" s="703"/>
      <c r="Y13" s="386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980"/>
      <c r="Q14" s="1343">
        <f t="shared" si="6"/>
        <v>111</v>
      </c>
      <c r="R14" s="701" t="s">
        <v>14</v>
      </c>
      <c r="S14" s="702">
        <f t="shared" si="0"/>
        <v>100</v>
      </c>
      <c r="T14" s="701" t="s">
        <v>14</v>
      </c>
      <c r="U14" s="702">
        <f t="shared" si="1"/>
        <v>100</v>
      </c>
      <c r="V14" s="701" t="s">
        <v>14</v>
      </c>
      <c r="W14" s="702">
        <f t="shared" si="2"/>
        <v>100</v>
      </c>
      <c r="X14" s="703"/>
      <c r="Y14" s="3869"/>
      <c r="Z14" s="52">
        <f t="shared" si="7"/>
        <v>111</v>
      </c>
      <c r="AA14" s="704">
        <f t="shared" si="3"/>
        <v>1</v>
      </c>
      <c r="AB14" s="704">
        <f t="shared" si="4"/>
        <v>1</v>
      </c>
      <c r="AC14" s="1959">
        <f t="shared" si="5"/>
        <v>1</v>
      </c>
    </row>
    <row r="15" spans="1:29" ht="15">
      <c r="A15" s="391" t="s">
        <v>1688</v>
      </c>
      <c r="B15" s="577" t="s">
        <v>1809</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970" t="s">
        <v>1689</v>
      </c>
      <c r="Q15" s="1352" t="str">
        <f t="shared" si="6"/>
        <v>办公集聚程度</v>
      </c>
      <c r="R15" s="705" t="s">
        <v>14</v>
      </c>
      <c r="S15" s="706">
        <f t="shared" si="0"/>
        <v>100</v>
      </c>
      <c r="T15" s="705" t="s">
        <v>14</v>
      </c>
      <c r="U15" s="706">
        <f t="shared" si="1"/>
        <v>100</v>
      </c>
      <c r="V15" s="705" t="s">
        <v>14</v>
      </c>
      <c r="W15" s="706">
        <f t="shared" si="2"/>
        <v>100</v>
      </c>
      <c r="X15" s="1355"/>
      <c r="Y15" s="3972"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971"/>
      <c r="Q16" s="1352"/>
      <c r="R16" s="705"/>
      <c r="S16" s="706"/>
      <c r="T16" s="705"/>
      <c r="U16" s="706"/>
      <c r="V16" s="705"/>
      <c r="W16" s="706"/>
      <c r="X16" s="1355"/>
      <c r="Y16" s="3973"/>
      <c r="Z16" s="1356"/>
      <c r="AA16" s="1353">
        <v>1</v>
      </c>
      <c r="AB16" s="1353">
        <v>1</v>
      </c>
      <c r="AC16" s="1962">
        <v>1</v>
      </c>
    </row>
    <row r="17" spans="1:29" ht="15">
      <c r="A17" s="379"/>
      <c r="B17" s="579" t="s">
        <v>1257</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971"/>
      <c r="Q17" s="1352" t="str">
        <f>B17</f>
        <v>交通便捷度</v>
      </c>
      <c r="R17" s="705" t="s">
        <v>14</v>
      </c>
      <c r="S17" s="706">
        <f>F17</f>
        <v>100</v>
      </c>
      <c r="T17" s="705" t="s">
        <v>14</v>
      </c>
      <c r="U17" s="706">
        <f>H17</f>
        <v>100</v>
      </c>
      <c r="V17" s="705" t="s">
        <v>14</v>
      </c>
      <c r="W17" s="706">
        <f>J17</f>
        <v>100</v>
      </c>
      <c r="X17" s="1355"/>
      <c r="Y17" s="397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971"/>
      <c r="Q18" s="1352"/>
      <c r="R18" s="705"/>
      <c r="S18" s="706"/>
      <c r="T18" s="705"/>
      <c r="U18" s="706"/>
      <c r="V18" s="705"/>
      <c r="W18" s="706"/>
      <c r="X18" s="1355"/>
      <c r="Y18" s="3973"/>
      <c r="Z18" s="1356"/>
      <c r="AA18" s="1353">
        <v>1</v>
      </c>
      <c r="AB18" s="1353">
        <v>1</v>
      </c>
      <c r="AC18" s="1962">
        <v>1</v>
      </c>
    </row>
    <row r="19" spans="1:29" ht="15">
      <c r="A19" s="379"/>
      <c r="B19" s="579" t="s">
        <v>1810</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971"/>
      <c r="Q19" s="1352" t="str">
        <f>B19</f>
        <v>公共配套设施</v>
      </c>
      <c r="R19" s="705" t="s">
        <v>14</v>
      </c>
      <c r="S19" s="706">
        <f>F19</f>
        <v>100</v>
      </c>
      <c r="T19" s="705" t="s">
        <v>14</v>
      </c>
      <c r="U19" s="706">
        <f>H19</f>
        <v>100</v>
      </c>
      <c r="V19" s="705" t="s">
        <v>14</v>
      </c>
      <c r="W19" s="706">
        <f>J19</f>
        <v>100</v>
      </c>
      <c r="X19" s="1355"/>
      <c r="Y19" s="397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971"/>
      <c r="Q20" s="1352"/>
      <c r="R20" s="705"/>
      <c r="S20" s="706"/>
      <c r="T20" s="705"/>
      <c r="U20" s="706"/>
      <c r="V20" s="705"/>
      <c r="W20" s="706"/>
      <c r="X20" s="1355"/>
      <c r="Y20" s="3973"/>
      <c r="Z20" s="1356"/>
      <c r="AA20" s="1353">
        <v>1</v>
      </c>
      <c r="AB20" s="1353">
        <v>1</v>
      </c>
      <c r="AC20" s="1962">
        <v>1</v>
      </c>
    </row>
    <row r="21" spans="1:29" ht="1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971"/>
      <c r="Q21" s="1352" t="str">
        <f>B21</f>
        <v>基础设施水平</v>
      </c>
      <c r="R21" s="705" t="s">
        <v>14</v>
      </c>
      <c r="S21" s="706">
        <f>F21</f>
        <v>100</v>
      </c>
      <c r="T21" s="705" t="s">
        <v>14</v>
      </c>
      <c r="U21" s="706">
        <f>H21</f>
        <v>100</v>
      </c>
      <c r="V21" s="705" t="s">
        <v>14</v>
      </c>
      <c r="W21" s="706">
        <f>J21</f>
        <v>100</v>
      </c>
      <c r="X21" s="1355"/>
      <c r="Y21" s="397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971"/>
      <c r="Q22" s="1352"/>
      <c r="R22" s="705"/>
      <c r="S22" s="706"/>
      <c r="T22" s="705"/>
      <c r="U22" s="706"/>
      <c r="V22" s="705"/>
      <c r="W22" s="706"/>
      <c r="X22" s="1355"/>
      <c r="Y22" s="3973"/>
      <c r="Z22" s="1356"/>
      <c r="AA22" s="1353">
        <v>1</v>
      </c>
      <c r="AB22" s="1353">
        <v>1</v>
      </c>
      <c r="AC22" s="1962">
        <v>1</v>
      </c>
    </row>
    <row r="23" spans="1:29" ht="15">
      <c r="A23" s="379"/>
      <c r="B23" s="579" t="s">
        <v>1812</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971"/>
      <c r="Q23" s="1352" t="str">
        <f>B23</f>
        <v>环境质量</v>
      </c>
      <c r="R23" s="705" t="s">
        <v>14</v>
      </c>
      <c r="S23" s="706">
        <f>F23</f>
        <v>100</v>
      </c>
      <c r="T23" s="705" t="s">
        <v>14</v>
      </c>
      <c r="U23" s="706">
        <f>H23</f>
        <v>100</v>
      </c>
      <c r="V23" s="705" t="s">
        <v>14</v>
      </c>
      <c r="W23" s="706">
        <f>J23</f>
        <v>100</v>
      </c>
      <c r="X23" s="1355"/>
      <c r="Y23" s="397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971"/>
      <c r="Q24" s="1352"/>
      <c r="R24" s="705"/>
      <c r="S24" s="706"/>
      <c r="T24" s="705"/>
      <c r="U24" s="706"/>
      <c r="V24" s="705"/>
      <c r="W24" s="706"/>
      <c r="X24" s="1355"/>
      <c r="Y24" s="3973"/>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971"/>
      <c r="Q25" s="1352" t="str">
        <f>B25</f>
        <v>毗邻道路的类型与等级</v>
      </c>
      <c r="R25" s="705" t="s">
        <v>14</v>
      </c>
      <c r="S25" s="706">
        <f>F25</f>
        <v>100</v>
      </c>
      <c r="T25" s="705" t="s">
        <v>14</v>
      </c>
      <c r="U25" s="706">
        <f>H25</f>
        <v>100</v>
      </c>
      <c r="V25" s="705" t="s">
        <v>14</v>
      </c>
      <c r="W25" s="706">
        <f>J25</f>
        <v>100</v>
      </c>
      <c r="X25" s="1355"/>
      <c r="Y25" s="397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971"/>
      <c r="Q26" s="1352"/>
      <c r="R26" s="705"/>
      <c r="S26" s="706"/>
      <c r="T26" s="705"/>
      <c r="U26" s="706"/>
      <c r="V26" s="705"/>
      <c r="W26" s="706"/>
      <c r="X26" s="1355"/>
      <c r="Y26" s="3973"/>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971"/>
      <c r="Q27" s="1352" t="str">
        <f t="shared" ref="Q27:Q47" si="11">B27</f>
        <v>楼层</v>
      </c>
      <c r="R27" s="705" t="s">
        <v>14</v>
      </c>
      <c r="S27" s="706">
        <f>F27</f>
        <v>100</v>
      </c>
      <c r="T27" s="705" t="s">
        <v>14</v>
      </c>
      <c r="U27" s="706">
        <f>H27</f>
        <v>100</v>
      </c>
      <c r="V27" s="705" t="s">
        <v>14</v>
      </c>
      <c r="W27" s="706">
        <f>J27</f>
        <v>100</v>
      </c>
      <c r="X27" s="1355"/>
      <c r="Y27" s="3973"/>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971"/>
      <c r="Q28" s="1343" t="str">
        <f t="shared" si="11"/>
        <v>朝向</v>
      </c>
      <c r="R28" s="701" t="s">
        <v>14</v>
      </c>
      <c r="S28" s="702">
        <f>F28</f>
        <v>100</v>
      </c>
      <c r="T28" s="701" t="s">
        <v>14</v>
      </c>
      <c r="U28" s="702">
        <f>H28</f>
        <v>100</v>
      </c>
      <c r="V28" s="701" t="s">
        <v>14</v>
      </c>
      <c r="W28" s="702">
        <f>J28</f>
        <v>100</v>
      </c>
      <c r="X28" s="703"/>
      <c r="Y28" s="397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971"/>
      <c r="Q29" s="1352">
        <f t="shared" si="11"/>
        <v>111</v>
      </c>
      <c r="R29" s="705" t="s">
        <v>14</v>
      </c>
      <c r="S29" s="706">
        <f t="shared" ref="S29:S47" si="12">F29</f>
        <v>100</v>
      </c>
      <c r="T29" s="705" t="s">
        <v>14</v>
      </c>
      <c r="U29" s="706">
        <f t="shared" ref="U29:U47" si="13">H29</f>
        <v>100</v>
      </c>
      <c r="V29" s="705" t="s">
        <v>14</v>
      </c>
      <c r="W29" s="706">
        <f t="shared" ref="W29:W47" si="14">J29</f>
        <v>100</v>
      </c>
      <c r="X29" s="1355"/>
      <c r="Y29" s="397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971"/>
      <c r="Q30" s="1352">
        <f t="shared" si="11"/>
        <v>111</v>
      </c>
      <c r="R30" s="705" t="s">
        <v>14</v>
      </c>
      <c r="S30" s="706">
        <f t="shared" si="12"/>
        <v>100</v>
      </c>
      <c r="T30" s="705" t="s">
        <v>14</v>
      </c>
      <c r="U30" s="706">
        <f t="shared" si="13"/>
        <v>100</v>
      </c>
      <c r="V30" s="705" t="s">
        <v>14</v>
      </c>
      <c r="W30" s="706">
        <f t="shared" si="14"/>
        <v>100</v>
      </c>
      <c r="X30" s="1355"/>
      <c r="Y30" s="397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971"/>
      <c r="Q31" s="1352">
        <f t="shared" si="11"/>
        <v>111</v>
      </c>
      <c r="R31" s="705" t="s">
        <v>14</v>
      </c>
      <c r="S31" s="706">
        <f t="shared" si="12"/>
        <v>100</v>
      </c>
      <c r="T31" s="705" t="s">
        <v>14</v>
      </c>
      <c r="U31" s="706">
        <f t="shared" si="13"/>
        <v>100</v>
      </c>
      <c r="V31" s="705" t="s">
        <v>14</v>
      </c>
      <c r="W31" s="706">
        <f t="shared" si="14"/>
        <v>100</v>
      </c>
      <c r="X31" s="1355"/>
      <c r="Y31" s="397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971"/>
      <c r="Q32" s="1352">
        <f t="shared" si="11"/>
        <v>111</v>
      </c>
      <c r="R32" s="705" t="s">
        <v>14</v>
      </c>
      <c r="S32" s="706">
        <f t="shared" si="12"/>
        <v>100</v>
      </c>
      <c r="T32" s="705" t="s">
        <v>14</v>
      </c>
      <c r="U32" s="706">
        <f t="shared" si="13"/>
        <v>100</v>
      </c>
      <c r="V32" s="705" t="s">
        <v>14</v>
      </c>
      <c r="W32" s="706">
        <f t="shared" si="14"/>
        <v>100</v>
      </c>
      <c r="X32" s="1355"/>
      <c r="Y32" s="3973"/>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974" t="s">
        <v>1694</v>
      </c>
      <c r="Q33" s="1352" t="str">
        <f t="shared" si="11"/>
        <v>建筑类型</v>
      </c>
      <c r="R33" s="705" t="s">
        <v>14</v>
      </c>
      <c r="S33" s="706">
        <f t="shared" si="12"/>
        <v>100</v>
      </c>
      <c r="T33" s="705" t="s">
        <v>14</v>
      </c>
      <c r="U33" s="706">
        <f t="shared" si="13"/>
        <v>100</v>
      </c>
      <c r="V33" s="705" t="s">
        <v>14</v>
      </c>
      <c r="W33" s="706">
        <f t="shared" si="14"/>
        <v>100</v>
      </c>
      <c r="X33" s="1355"/>
      <c r="Y33" s="3977"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975"/>
      <c r="Q34" s="707" t="str">
        <f t="shared" si="11"/>
        <v>项目建筑规模</v>
      </c>
      <c r="R34" s="708" t="s">
        <v>14</v>
      </c>
      <c r="S34" s="709" t="e">
        <f t="shared" si="12"/>
        <v>#N/A</v>
      </c>
      <c r="T34" s="708" t="s">
        <v>14</v>
      </c>
      <c r="U34" s="709" t="e">
        <f t="shared" si="13"/>
        <v>#N/A</v>
      </c>
      <c r="V34" s="708" t="s">
        <v>14</v>
      </c>
      <c r="W34" s="709" t="e">
        <f t="shared" si="14"/>
        <v>#N/A</v>
      </c>
      <c r="X34" s="710"/>
      <c r="Y34" s="3977"/>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975"/>
      <c r="Q35" s="1352" t="str">
        <f t="shared" si="11"/>
        <v>建筑结构</v>
      </c>
      <c r="R35" s="705" t="s">
        <v>14</v>
      </c>
      <c r="S35" s="706">
        <f t="shared" si="12"/>
        <v>100</v>
      </c>
      <c r="T35" s="705" t="s">
        <v>14</v>
      </c>
      <c r="U35" s="706">
        <f t="shared" si="13"/>
        <v>100</v>
      </c>
      <c r="V35" s="705" t="s">
        <v>14</v>
      </c>
      <c r="W35" s="706">
        <f t="shared" si="14"/>
        <v>100</v>
      </c>
      <c r="X35" s="1355"/>
      <c r="Y35" s="3977"/>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975"/>
      <c r="Q36" s="1352" t="str">
        <f t="shared" si="11"/>
        <v>公共部分装修</v>
      </c>
      <c r="R36" s="705" t="s">
        <v>14</v>
      </c>
      <c r="S36" s="706">
        <f t="shared" si="12"/>
        <v>100</v>
      </c>
      <c r="T36" s="705" t="s">
        <v>14</v>
      </c>
      <c r="U36" s="706">
        <f t="shared" si="13"/>
        <v>100</v>
      </c>
      <c r="V36" s="705" t="s">
        <v>14</v>
      </c>
      <c r="W36" s="706">
        <f t="shared" si="14"/>
        <v>100</v>
      </c>
      <c r="X36" s="1355"/>
      <c r="Y36" s="3977"/>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975"/>
      <c r="Q37" s="1352" t="str">
        <f t="shared" si="11"/>
        <v>成新度</v>
      </c>
      <c r="R37" s="705" t="s">
        <v>14</v>
      </c>
      <c r="S37" s="706" t="e">
        <f t="shared" si="12"/>
        <v>#N/A</v>
      </c>
      <c r="T37" s="705" t="s">
        <v>14</v>
      </c>
      <c r="U37" s="706" t="e">
        <f t="shared" si="13"/>
        <v>#N/A</v>
      </c>
      <c r="V37" s="705" t="s">
        <v>14</v>
      </c>
      <c r="W37" s="706" t="e">
        <f t="shared" si="14"/>
        <v>#N/A</v>
      </c>
      <c r="X37" s="1355"/>
      <c r="Y37" s="3977"/>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975"/>
      <c r="Q38" s="1343" t="str">
        <f t="shared" si="11"/>
        <v>写字楼等级</v>
      </c>
      <c r="R38" s="701" t="s">
        <v>14</v>
      </c>
      <c r="S38" s="702">
        <f t="shared" si="12"/>
        <v>100</v>
      </c>
      <c r="T38" s="701" t="s">
        <v>14</v>
      </c>
      <c r="U38" s="702">
        <f t="shared" si="13"/>
        <v>100</v>
      </c>
      <c r="V38" s="701" t="s">
        <v>14</v>
      </c>
      <c r="W38" s="702">
        <f t="shared" si="14"/>
        <v>100</v>
      </c>
      <c r="X38" s="703"/>
      <c r="Y38" s="3977"/>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975" t="s">
        <v>1694</v>
      </c>
      <c r="Q39" s="1352" t="str">
        <f t="shared" si="11"/>
        <v>物业管理</v>
      </c>
      <c r="R39" s="705" t="s">
        <v>14</v>
      </c>
      <c r="S39" s="706">
        <f t="shared" si="12"/>
        <v>100</v>
      </c>
      <c r="T39" s="705" t="s">
        <v>14</v>
      </c>
      <c r="U39" s="706">
        <f t="shared" si="13"/>
        <v>100</v>
      </c>
      <c r="V39" s="705" t="s">
        <v>14</v>
      </c>
      <c r="W39" s="706">
        <f t="shared" si="14"/>
        <v>100</v>
      </c>
      <c r="X39" s="1355"/>
      <c r="Y39" s="3977"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975"/>
      <c r="Q40" s="1352" t="str">
        <f t="shared" si="11"/>
        <v>市政基础设施</v>
      </c>
      <c r="R40" s="705" t="s">
        <v>14</v>
      </c>
      <c r="S40" s="706">
        <f t="shared" si="12"/>
        <v>100</v>
      </c>
      <c r="T40" s="705" t="s">
        <v>14</v>
      </c>
      <c r="U40" s="706">
        <f t="shared" si="13"/>
        <v>100</v>
      </c>
      <c r="V40" s="705" t="s">
        <v>14</v>
      </c>
      <c r="W40" s="706">
        <f t="shared" si="14"/>
        <v>100</v>
      </c>
      <c r="X40" s="1355"/>
      <c r="Y40" s="3977"/>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975"/>
      <c r="Q41" s="1352" t="str">
        <f t="shared" si="11"/>
        <v>层高</v>
      </c>
      <c r="R41" s="705" t="s">
        <v>14</v>
      </c>
      <c r="S41" s="706">
        <f t="shared" si="12"/>
        <v>100</v>
      </c>
      <c r="T41" s="705" t="s">
        <v>14</v>
      </c>
      <c r="U41" s="706">
        <f t="shared" si="13"/>
        <v>100</v>
      </c>
      <c r="V41" s="705" t="s">
        <v>14</v>
      </c>
      <c r="W41" s="706">
        <f t="shared" si="14"/>
        <v>100</v>
      </c>
      <c r="X41" s="1355"/>
      <c r="Y41" s="3977"/>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975"/>
      <c r="Q42" s="707" t="str">
        <f t="shared" si="11"/>
        <v>单套建筑面积</v>
      </c>
      <c r="R42" s="708" t="s">
        <v>14</v>
      </c>
      <c r="S42" s="709">
        <f t="shared" si="12"/>
        <v>100</v>
      </c>
      <c r="T42" s="708" t="s">
        <v>14</v>
      </c>
      <c r="U42" s="709">
        <f t="shared" si="13"/>
        <v>100</v>
      </c>
      <c r="V42" s="708" t="s">
        <v>14</v>
      </c>
      <c r="W42" s="709">
        <f t="shared" si="14"/>
        <v>100</v>
      </c>
      <c r="X42" s="710"/>
      <c r="Y42" s="3977"/>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975"/>
      <c r="Q43" s="1352" t="str">
        <f t="shared" si="11"/>
        <v>内部装修</v>
      </c>
      <c r="R43" s="705" t="s">
        <v>14</v>
      </c>
      <c r="S43" s="706">
        <f t="shared" si="12"/>
        <v>100</v>
      </c>
      <c r="T43" s="705" t="s">
        <v>14</v>
      </c>
      <c r="U43" s="706">
        <f t="shared" si="13"/>
        <v>100</v>
      </c>
      <c r="V43" s="705" t="s">
        <v>14</v>
      </c>
      <c r="W43" s="706">
        <f t="shared" si="14"/>
        <v>100</v>
      </c>
      <c r="X43" s="1355"/>
      <c r="Y43" s="3977"/>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975"/>
      <c r="Q44" s="1352" t="str">
        <f t="shared" si="11"/>
        <v>内部装修维护情况</v>
      </c>
      <c r="R44" s="705" t="s">
        <v>14</v>
      </c>
      <c r="S44" s="706">
        <f t="shared" si="12"/>
        <v>100</v>
      </c>
      <c r="T44" s="705" t="s">
        <v>14</v>
      </c>
      <c r="U44" s="706">
        <f t="shared" si="13"/>
        <v>100</v>
      </c>
      <c r="V44" s="705" t="s">
        <v>14</v>
      </c>
      <c r="W44" s="706">
        <f t="shared" si="14"/>
        <v>100</v>
      </c>
      <c r="X44" s="1355"/>
      <c r="Y44" s="397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975"/>
      <c r="Q45" s="1343">
        <f t="shared" si="11"/>
        <v>111</v>
      </c>
      <c r="R45" s="701" t="s">
        <v>14</v>
      </c>
      <c r="S45" s="702">
        <f t="shared" si="12"/>
        <v>100</v>
      </c>
      <c r="T45" s="701" t="s">
        <v>14</v>
      </c>
      <c r="U45" s="702">
        <f t="shared" si="13"/>
        <v>100</v>
      </c>
      <c r="V45" s="701" t="s">
        <v>14</v>
      </c>
      <c r="W45" s="702">
        <f t="shared" si="14"/>
        <v>100</v>
      </c>
      <c r="X45" s="703"/>
      <c r="Y45" s="397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975"/>
      <c r="Q46" s="1352">
        <f t="shared" si="11"/>
        <v>111</v>
      </c>
      <c r="R46" s="705" t="s">
        <v>14</v>
      </c>
      <c r="S46" s="706">
        <f t="shared" si="12"/>
        <v>100</v>
      </c>
      <c r="T46" s="705" t="s">
        <v>14</v>
      </c>
      <c r="U46" s="706">
        <f t="shared" si="13"/>
        <v>100</v>
      </c>
      <c r="V46" s="705" t="s">
        <v>14</v>
      </c>
      <c r="W46" s="706">
        <f t="shared" si="14"/>
        <v>100</v>
      </c>
      <c r="X46" s="1355"/>
      <c r="Y46" s="397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976"/>
      <c r="Q47" s="1352">
        <f t="shared" si="11"/>
        <v>111</v>
      </c>
      <c r="R47" s="705" t="s">
        <v>14</v>
      </c>
      <c r="S47" s="706">
        <f t="shared" si="12"/>
        <v>100</v>
      </c>
      <c r="T47" s="705" t="s">
        <v>14</v>
      </c>
      <c r="U47" s="706">
        <f t="shared" si="13"/>
        <v>100</v>
      </c>
      <c r="V47" s="705" t="s">
        <v>14</v>
      </c>
      <c r="W47" s="706">
        <f t="shared" si="14"/>
        <v>100</v>
      </c>
      <c r="X47" s="1355"/>
      <c r="Y47" s="3978"/>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2"/>
      <c r="M48" s="2714"/>
      <c r="N48" s="2714"/>
      <c r="O48" s="2714"/>
      <c r="P48" s="3980" t="str">
        <f>A48</f>
        <v>成交单价（元/平方米）</v>
      </c>
      <c r="Q48" s="3965"/>
      <c r="R48" s="3966">
        <f>E48</f>
        <v>0</v>
      </c>
      <c r="S48" s="3966"/>
      <c r="T48" s="3966">
        <f>G48</f>
        <v>0</v>
      </c>
      <c r="U48" s="3966"/>
      <c r="V48" s="3966">
        <f>I48</f>
        <v>0</v>
      </c>
      <c r="W48" s="3966"/>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2"/>
      <c r="M49" s="2714"/>
      <c r="N49" s="2714"/>
      <c r="O49" s="2714"/>
      <c r="P49" s="3980" t="str">
        <f>A49</f>
        <v>比较价值（元/平方米）</v>
      </c>
      <c r="Q49" s="3965"/>
      <c r="R49" s="3966" t="e">
        <f>IF(F1="售价",ROUND(PRODUCT(R48,AA7:AA47),0),ROUND(PRODUCT(R48,AA7:AA47),1))</f>
        <v>#DIV/0!</v>
      </c>
      <c r="S49" s="3966"/>
      <c r="T49" s="3966" t="e">
        <f>IF(F1="售价",ROUND(PRODUCT(T48,AB7:AB47),0),ROUND(PRODUCT(T48,AB7:AB47),1))</f>
        <v>#DIV/0!</v>
      </c>
      <c r="U49" s="3966"/>
      <c r="V49" s="3966" t="e">
        <f>IF(F1="售价",ROUND(PRODUCT(V48,AC7:AC47),0),ROUND(PRODUCT(V48,AC7:AC47),1))</f>
        <v>#DIV/0!</v>
      </c>
      <c r="W49" s="3966"/>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2"/>
      <c r="M50" s="2714"/>
      <c r="N50" s="2714"/>
      <c r="O50" s="2714"/>
      <c r="P50" s="4039" t="str">
        <f>A50</f>
        <v>估价对象XX用房的比较价值（楼面单价，元/平方米）</v>
      </c>
      <c r="Q50" s="4040"/>
      <c r="R50" s="4041" t="e">
        <f>IF(F1="售价",ROUND(IF(D49="简单平均",AVERAGE(R49:V49),R49*F49+T49*H49+V49*J49),0),ROUND(IF(D49="简单平均",AVERAGE(R49:V49),R49*F49+T49*H49+V49*J49),1))</f>
        <v>#DIV/0!</v>
      </c>
      <c r="S50" s="4041"/>
      <c r="T50" s="4041"/>
      <c r="U50" s="4041"/>
      <c r="V50" s="4041"/>
      <c r="W50" s="404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1796</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1677</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1714</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1679</v>
      </c>
      <c r="B62" s="459"/>
      <c r="C62" s="471" t="s">
        <v>1774</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1717</v>
      </c>
      <c r="B64" s="477" t="s">
        <v>1683</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1686</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1688</v>
      </c>
      <c r="B77" s="477" t="s">
        <v>1819</v>
      </c>
      <c r="C77" s="522" t="s">
        <v>1719</v>
      </c>
      <c r="D77" s="522" t="s">
        <v>1720</v>
      </c>
      <c r="E77" s="522" t="s">
        <v>1721</v>
      </c>
      <c r="F77" s="522" t="s">
        <v>1722</v>
      </c>
      <c r="G77" s="522" t="s">
        <v>1723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1724</v>
      </c>
      <c r="C79" s="527" t="s">
        <v>1719</v>
      </c>
      <c r="D79" s="527" t="s">
        <v>1720</v>
      </c>
      <c r="E79" s="527" t="s">
        <v>1721</v>
      </c>
      <c r="F79" s="527" t="s">
        <v>1722</v>
      </c>
      <c r="G79" s="527" t="s">
        <v>1723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1725</v>
      </c>
      <c r="C81" s="527" t="s">
        <v>1719</v>
      </c>
      <c r="D81" s="527" t="s">
        <v>1720</v>
      </c>
      <c r="E81" s="527" t="s">
        <v>1721</v>
      </c>
      <c r="F81" s="527" t="s">
        <v>1722</v>
      </c>
      <c r="G81" s="527" t="s">
        <v>1723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1811</v>
      </c>
      <c r="C83" s="608" t="s">
        <v>1797</v>
      </c>
      <c r="D83" s="608" t="s">
        <v>1798</v>
      </c>
      <c r="E83" s="608" t="s">
        <v>1799</v>
      </c>
      <c r="F83" s="608" t="s">
        <v>1800</v>
      </c>
      <c r="G83" s="608" t="s">
        <v>1801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1820</v>
      </c>
      <c r="C85" s="527" t="s">
        <v>1719</v>
      </c>
      <c r="D85" s="527" t="s">
        <v>1720</v>
      </c>
      <c r="E85" s="527" t="s">
        <v>1721</v>
      </c>
      <c r="F85" s="527" t="s">
        <v>1722</v>
      </c>
      <c r="G85" s="527" t="s">
        <v>1723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1821</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1692</v>
      </c>
      <c r="B101" s="477" t="s">
        <v>1734</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1736</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1738</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1822</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1739</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1740</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1823</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1742</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468.48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984" t="s">
        <v>1768</v>
      </c>
      <c r="D4" s="3985"/>
      <c r="E4" s="3986" t="s">
        <v>1769</v>
      </c>
      <c r="F4" s="3987"/>
      <c r="G4" s="3984" t="s">
        <v>1770</v>
      </c>
      <c r="H4" s="3985"/>
      <c r="I4" s="3984" t="s">
        <v>1771</v>
      </c>
      <c r="J4" s="3985"/>
      <c r="K4" s="559" t="s">
        <v>1772</v>
      </c>
      <c r="L4" s="913"/>
      <c r="M4" s="914"/>
      <c r="N4" s="914"/>
      <c r="O4" s="914"/>
      <c r="P4" s="3988" t="s">
        <v>1773</v>
      </c>
      <c r="Q4" s="3989"/>
      <c r="R4" s="3994" t="s">
        <v>1769</v>
      </c>
      <c r="S4" s="3995"/>
      <c r="T4" s="3994" t="s">
        <v>1770</v>
      </c>
      <c r="U4" s="3995"/>
      <c r="V4" s="3979" t="s">
        <v>1771</v>
      </c>
      <c r="W4" s="3979"/>
      <c r="X4" s="1355"/>
      <c r="Y4" s="3994" t="s">
        <v>1773</v>
      </c>
      <c r="Z4" s="3995"/>
      <c r="AA4" s="3981" t="s">
        <v>1769</v>
      </c>
      <c r="AB4" s="3982" t="s">
        <v>1770</v>
      </c>
      <c r="AC4" s="3981" t="s">
        <v>1771</v>
      </c>
    </row>
    <row r="5" spans="1:29" ht="15">
      <c r="A5" s="358"/>
      <c r="B5" s="359"/>
      <c r="C5" s="4009" t="s">
        <v>1671</v>
      </c>
      <c r="D5" s="4008"/>
      <c r="E5" s="4038" t="s">
        <v>1672</v>
      </c>
      <c r="F5" s="4003"/>
      <c r="G5" s="4009" t="s">
        <v>1673</v>
      </c>
      <c r="H5" s="4008"/>
      <c r="I5" s="4009" t="s">
        <v>1674</v>
      </c>
      <c r="J5" s="4008"/>
      <c r="K5" s="559"/>
      <c r="L5" s="913"/>
      <c r="M5" s="914"/>
      <c r="N5" s="914"/>
      <c r="O5" s="914"/>
      <c r="P5" s="3990"/>
      <c r="Q5" s="3991"/>
      <c r="R5" s="3996"/>
      <c r="S5" s="3997"/>
      <c r="T5" s="3996"/>
      <c r="U5" s="3997"/>
      <c r="V5" s="3979"/>
      <c r="W5" s="3979"/>
      <c r="X5" s="1355"/>
      <c r="Y5" s="3996"/>
      <c r="Z5" s="3997"/>
      <c r="AA5" s="3982"/>
      <c r="AB5" s="3982"/>
      <c r="AC5" s="3982"/>
    </row>
    <row r="6" spans="1:29" ht="15.75" thickBot="1">
      <c r="A6" s="360"/>
      <c r="B6" s="361"/>
      <c r="C6" s="4000" t="s">
        <v>1675</v>
      </c>
      <c r="D6" s="4001"/>
      <c r="E6" s="4010" t="s">
        <v>1675</v>
      </c>
      <c r="F6" s="4011"/>
      <c r="G6" s="4000" t="s">
        <v>1675</v>
      </c>
      <c r="H6" s="4001"/>
      <c r="I6" s="4000" t="s">
        <v>1675</v>
      </c>
      <c r="J6" s="4001"/>
      <c r="K6" s="559" t="s">
        <v>1676</v>
      </c>
      <c r="L6" s="913"/>
      <c r="M6" s="914"/>
      <c r="N6" s="914"/>
      <c r="O6" s="914"/>
      <c r="P6" s="3992"/>
      <c r="Q6" s="3993"/>
      <c r="R6" s="3996"/>
      <c r="S6" s="3997"/>
      <c r="T6" s="3998"/>
      <c r="U6" s="3999"/>
      <c r="V6" s="3979"/>
      <c r="W6" s="3979"/>
      <c r="X6" s="1355"/>
      <c r="Y6" s="3998"/>
      <c r="Z6" s="3999"/>
      <c r="AA6" s="3983"/>
      <c r="AB6" s="3983"/>
      <c r="AC6" s="3983"/>
    </row>
    <row r="7" spans="1:29" s="108" customFormat="1" ht="15.75" thickBot="1">
      <c r="A7" s="362" t="s">
        <v>1677</v>
      </c>
      <c r="B7" s="363"/>
      <c r="C7" s="364">
        <f>'数据-取费表'!B2</f>
        <v>45583</v>
      </c>
      <c r="D7" s="365">
        <v>100</v>
      </c>
      <c r="E7" s="366"/>
      <c r="F7" s="367">
        <f>SUMIF(52:52,YEAR(E7)&amp;"-"&amp;MONTH(E7),53:53)</f>
        <v>0</v>
      </c>
      <c r="G7" s="366"/>
      <c r="H7" s="365">
        <f>SUMIF(52:52,YEAR(G7)&amp;"-"&amp;MONTH(G7),53:53)</f>
        <v>0</v>
      </c>
      <c r="I7" s="366"/>
      <c r="J7" s="365">
        <f>SUMIF(52:52,YEAR(I7)&amp;"-"&amp;MONTH(I7),53:53)</f>
        <v>0</v>
      </c>
      <c r="K7" s="560"/>
      <c r="L7" s="915"/>
      <c r="M7" s="916"/>
      <c r="N7" s="916"/>
      <c r="O7" s="916"/>
      <c r="P7" s="4004" t="s">
        <v>1678</v>
      </c>
      <c r="Q7" s="4006"/>
      <c r="R7" s="701" t="s">
        <v>14</v>
      </c>
      <c r="S7" s="702">
        <f t="shared" ref="S7:S15" si="0">F7</f>
        <v>0</v>
      </c>
      <c r="T7" s="701" t="s">
        <v>14</v>
      </c>
      <c r="U7" s="702">
        <f t="shared" ref="U7:U15" si="1">H7</f>
        <v>0</v>
      </c>
      <c r="V7" s="701" t="s">
        <v>14</v>
      </c>
      <c r="W7" s="702">
        <f t="shared" ref="W7:W15" si="2">J7</f>
        <v>0</v>
      </c>
      <c r="X7" s="703"/>
      <c r="Y7" s="4004" t="s">
        <v>1678</v>
      </c>
      <c r="Z7" s="4005"/>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4004" t="s">
        <v>1681</v>
      </c>
      <c r="Q8" s="4005"/>
      <c r="R8" s="701" t="s">
        <v>14</v>
      </c>
      <c r="S8" s="702">
        <f t="shared" si="0"/>
        <v>100</v>
      </c>
      <c r="T8" s="701" t="s">
        <v>14</v>
      </c>
      <c r="U8" s="702">
        <f t="shared" si="1"/>
        <v>100</v>
      </c>
      <c r="V8" s="701" t="s">
        <v>14</v>
      </c>
      <c r="W8" s="702">
        <f t="shared" si="2"/>
        <v>100</v>
      </c>
      <c r="X8" s="703"/>
      <c r="Y8" s="4004" t="s">
        <v>1681</v>
      </c>
      <c r="Z8" s="4005"/>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965" t="s">
        <v>1684</v>
      </c>
      <c r="Q9" s="1343" t="str">
        <f t="shared" ref="Q9:Q15" si="6">B9</f>
        <v>用途</v>
      </c>
      <c r="R9" s="701" t="s">
        <v>14</v>
      </c>
      <c r="S9" s="702">
        <f t="shared" si="0"/>
        <v>100</v>
      </c>
      <c r="T9" s="701" t="s">
        <v>14</v>
      </c>
      <c r="U9" s="702">
        <f t="shared" si="1"/>
        <v>100</v>
      </c>
      <c r="V9" s="701" t="s">
        <v>14</v>
      </c>
      <c r="W9" s="702">
        <f t="shared" si="2"/>
        <v>100</v>
      </c>
      <c r="X9" s="703"/>
      <c r="Y9" s="3869"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965"/>
      <c r="Q10" s="1343" t="str">
        <f t="shared" si="6"/>
        <v>土地使用年限（年）</v>
      </c>
      <c r="R10" s="701" t="s">
        <v>14</v>
      </c>
      <c r="S10" s="702">
        <f t="shared" si="0"/>
        <v>100</v>
      </c>
      <c r="T10" s="701" t="s">
        <v>14</v>
      </c>
      <c r="U10" s="702">
        <f t="shared" si="1"/>
        <v>100</v>
      </c>
      <c r="V10" s="701" t="s">
        <v>14</v>
      </c>
      <c r="W10" s="702">
        <f t="shared" si="2"/>
        <v>100</v>
      </c>
      <c r="X10" s="703"/>
      <c r="Y10" s="3869"/>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965"/>
      <c r="Q11" s="1343" t="str">
        <f t="shared" si="6"/>
        <v>容积率</v>
      </c>
      <c r="R11" s="701" t="s">
        <v>14</v>
      </c>
      <c r="S11" s="702">
        <f t="shared" si="0"/>
        <v>100</v>
      </c>
      <c r="T11" s="701" t="s">
        <v>14</v>
      </c>
      <c r="U11" s="702">
        <f t="shared" si="1"/>
        <v>100</v>
      </c>
      <c r="V11" s="701" t="s">
        <v>14</v>
      </c>
      <c r="W11" s="702">
        <f t="shared" si="2"/>
        <v>100</v>
      </c>
      <c r="X11" s="703"/>
      <c r="Y11" s="386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965"/>
      <c r="Q12" s="1343">
        <f t="shared" si="6"/>
        <v>111</v>
      </c>
      <c r="R12" s="701" t="s">
        <v>14</v>
      </c>
      <c r="S12" s="702">
        <f t="shared" si="0"/>
        <v>100</v>
      </c>
      <c r="T12" s="701" t="s">
        <v>14</v>
      </c>
      <c r="U12" s="702">
        <f t="shared" si="1"/>
        <v>100</v>
      </c>
      <c r="V12" s="701" t="s">
        <v>14</v>
      </c>
      <c r="W12" s="702">
        <f t="shared" si="2"/>
        <v>100</v>
      </c>
      <c r="X12" s="703"/>
      <c r="Y12" s="386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965"/>
      <c r="Q13" s="1343">
        <f t="shared" si="6"/>
        <v>111</v>
      </c>
      <c r="R13" s="701" t="s">
        <v>14</v>
      </c>
      <c r="S13" s="702">
        <f t="shared" si="0"/>
        <v>100</v>
      </c>
      <c r="T13" s="701" t="s">
        <v>14</v>
      </c>
      <c r="U13" s="702">
        <f t="shared" si="1"/>
        <v>100</v>
      </c>
      <c r="V13" s="701" t="s">
        <v>14</v>
      </c>
      <c r="W13" s="702">
        <f t="shared" si="2"/>
        <v>100</v>
      </c>
      <c r="X13" s="703"/>
      <c r="Y13" s="386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965"/>
      <c r="Q14" s="1343">
        <f t="shared" si="6"/>
        <v>111</v>
      </c>
      <c r="R14" s="701" t="s">
        <v>14</v>
      </c>
      <c r="S14" s="702">
        <f t="shared" si="0"/>
        <v>100</v>
      </c>
      <c r="T14" s="701" t="s">
        <v>14</v>
      </c>
      <c r="U14" s="702">
        <f t="shared" si="1"/>
        <v>100</v>
      </c>
      <c r="V14" s="701" t="s">
        <v>14</v>
      </c>
      <c r="W14" s="702">
        <f t="shared" si="2"/>
        <v>100</v>
      </c>
      <c r="X14" s="703"/>
      <c r="Y14" s="3869"/>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972" t="s">
        <v>1689</v>
      </c>
      <c r="Q15" s="1352" t="str">
        <f t="shared" si="6"/>
        <v>产业集聚程度</v>
      </c>
      <c r="R15" s="705" t="s">
        <v>14</v>
      </c>
      <c r="S15" s="706">
        <f t="shared" si="0"/>
        <v>100</v>
      </c>
      <c r="T15" s="705" t="s">
        <v>14</v>
      </c>
      <c r="U15" s="706">
        <f t="shared" si="1"/>
        <v>100</v>
      </c>
      <c r="V15" s="705" t="s">
        <v>14</v>
      </c>
      <c r="W15" s="706">
        <f t="shared" si="2"/>
        <v>100</v>
      </c>
      <c r="X15" s="1355"/>
      <c r="Y15" s="3972"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973"/>
      <c r="Q16" s="1352"/>
      <c r="R16" s="705"/>
      <c r="S16" s="706"/>
      <c r="T16" s="705"/>
      <c r="U16" s="706"/>
      <c r="V16" s="705"/>
      <c r="W16" s="706"/>
      <c r="X16" s="1355"/>
      <c r="Y16" s="3973"/>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973"/>
      <c r="Q17" s="1352" t="str">
        <f>B17</f>
        <v>交通便捷度</v>
      </c>
      <c r="R17" s="705" t="s">
        <v>14</v>
      </c>
      <c r="S17" s="706">
        <f>F17</f>
        <v>100</v>
      </c>
      <c r="T17" s="705" t="s">
        <v>14</v>
      </c>
      <c r="U17" s="706">
        <f>H17</f>
        <v>100</v>
      </c>
      <c r="V17" s="705" t="s">
        <v>14</v>
      </c>
      <c r="W17" s="706">
        <f>J17</f>
        <v>100</v>
      </c>
      <c r="X17" s="1355"/>
      <c r="Y17" s="39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973"/>
      <c r="Q18" s="1352"/>
      <c r="R18" s="705"/>
      <c r="S18" s="706"/>
      <c r="T18" s="705"/>
      <c r="U18" s="706"/>
      <c r="V18" s="705"/>
      <c r="W18" s="706"/>
      <c r="X18" s="1355"/>
      <c r="Y18" s="3973"/>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973"/>
      <c r="Q19" s="1352" t="str">
        <f>B19</f>
        <v>公共配套设施</v>
      </c>
      <c r="R19" s="705" t="s">
        <v>14</v>
      </c>
      <c r="S19" s="706">
        <f>F19</f>
        <v>100</v>
      </c>
      <c r="T19" s="705" t="s">
        <v>14</v>
      </c>
      <c r="U19" s="706">
        <f>H19</f>
        <v>100</v>
      </c>
      <c r="V19" s="705" t="s">
        <v>14</v>
      </c>
      <c r="W19" s="706">
        <f>J19</f>
        <v>100</v>
      </c>
      <c r="X19" s="1355"/>
      <c r="Y19" s="39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973"/>
      <c r="Q20" s="1352"/>
      <c r="R20" s="705"/>
      <c r="S20" s="706"/>
      <c r="T20" s="705"/>
      <c r="U20" s="706"/>
      <c r="V20" s="705"/>
      <c r="W20" s="706"/>
      <c r="X20" s="1355"/>
      <c r="Y20" s="3973"/>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973"/>
      <c r="Q21" s="1352" t="str">
        <f>B21</f>
        <v>基础设施水平</v>
      </c>
      <c r="R21" s="705" t="s">
        <v>14</v>
      </c>
      <c r="S21" s="706">
        <f>F21</f>
        <v>100</v>
      </c>
      <c r="T21" s="705" t="s">
        <v>14</v>
      </c>
      <c r="U21" s="706">
        <f>H21</f>
        <v>100</v>
      </c>
      <c r="V21" s="705" t="s">
        <v>14</v>
      </c>
      <c r="W21" s="706">
        <f>J21</f>
        <v>100</v>
      </c>
      <c r="X21" s="1355"/>
      <c r="Y21" s="39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973"/>
      <c r="Q22" s="1352"/>
      <c r="R22" s="705"/>
      <c r="S22" s="706"/>
      <c r="T22" s="705"/>
      <c r="U22" s="706"/>
      <c r="V22" s="705"/>
      <c r="W22" s="706"/>
      <c r="X22" s="1355"/>
      <c r="Y22" s="3973"/>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973"/>
      <c r="Q23" s="1352" t="str">
        <f>B23</f>
        <v>环境质量</v>
      </c>
      <c r="R23" s="705" t="s">
        <v>14</v>
      </c>
      <c r="S23" s="706">
        <f>F23</f>
        <v>100</v>
      </c>
      <c r="T23" s="705" t="s">
        <v>14</v>
      </c>
      <c r="U23" s="706">
        <f>H23</f>
        <v>100</v>
      </c>
      <c r="V23" s="705" t="s">
        <v>14</v>
      </c>
      <c r="W23" s="706">
        <f>J23</f>
        <v>100</v>
      </c>
      <c r="X23" s="1355"/>
      <c r="Y23" s="397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973"/>
      <c r="Q24" s="1352"/>
      <c r="R24" s="705"/>
      <c r="S24" s="706"/>
      <c r="T24" s="705"/>
      <c r="U24" s="706"/>
      <c r="V24" s="705"/>
      <c r="W24" s="706"/>
      <c r="X24" s="1355"/>
      <c r="Y24" s="397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973"/>
      <c r="Q25" s="1352">
        <f>B25</f>
        <v>111</v>
      </c>
      <c r="R25" s="705" t="s">
        <v>14</v>
      </c>
      <c r="S25" s="706">
        <f>F25</f>
        <v>100</v>
      </c>
      <c r="T25" s="705" t="s">
        <v>14</v>
      </c>
      <c r="U25" s="706">
        <f>H25</f>
        <v>100</v>
      </c>
      <c r="V25" s="705" t="s">
        <v>14</v>
      </c>
      <c r="W25" s="706">
        <f>J25</f>
        <v>100</v>
      </c>
      <c r="X25" s="1355"/>
      <c r="Y25" s="397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973"/>
      <c r="Q26" s="1352">
        <f t="shared" ref="Q26:Q40" si="11">B26</f>
        <v>111</v>
      </c>
      <c r="R26" s="705" t="s">
        <v>14</v>
      </c>
      <c r="S26" s="706">
        <f>F26</f>
        <v>100</v>
      </c>
      <c r="T26" s="705" t="s">
        <v>14</v>
      </c>
      <c r="U26" s="706">
        <f>H26</f>
        <v>100</v>
      </c>
      <c r="V26" s="705" t="s">
        <v>14</v>
      </c>
      <c r="W26" s="706">
        <f>J26</f>
        <v>100</v>
      </c>
      <c r="X26" s="1355"/>
      <c r="Y26" s="397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973"/>
      <c r="Q27" s="1343">
        <f t="shared" si="11"/>
        <v>111</v>
      </c>
      <c r="R27" s="701" t="s">
        <v>14</v>
      </c>
      <c r="S27" s="702">
        <f>F27</f>
        <v>100</v>
      </c>
      <c r="T27" s="701" t="s">
        <v>14</v>
      </c>
      <c r="U27" s="702">
        <f>H27</f>
        <v>100</v>
      </c>
      <c r="V27" s="701" t="s">
        <v>14</v>
      </c>
      <c r="W27" s="702">
        <f>J27</f>
        <v>100</v>
      </c>
      <c r="X27" s="703"/>
      <c r="Y27" s="397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973"/>
      <c r="Q28" s="1352">
        <f t="shared" si="11"/>
        <v>111</v>
      </c>
      <c r="R28" s="705" t="s">
        <v>14</v>
      </c>
      <c r="S28" s="706">
        <f t="shared" ref="S28:S40" si="12">F28</f>
        <v>100</v>
      </c>
      <c r="T28" s="705" t="s">
        <v>14</v>
      </c>
      <c r="U28" s="706">
        <f t="shared" ref="U28:U40" si="13">H28</f>
        <v>100</v>
      </c>
      <c r="V28" s="705" t="s">
        <v>14</v>
      </c>
      <c r="W28" s="706">
        <f t="shared" ref="W28:W40" si="14">J28</f>
        <v>100</v>
      </c>
      <c r="X28" s="1355"/>
      <c r="Y28" s="3973"/>
      <c r="Z28" s="1356">
        <f t="shared" ref="Z28:Z40" si="15">Q28</f>
        <v>111</v>
      </c>
      <c r="AA28" s="1353">
        <f t="shared" si="3"/>
        <v>1</v>
      </c>
      <c r="AB28" s="1353">
        <f t="shared" si="4"/>
        <v>1</v>
      </c>
      <c r="AC28" s="1353">
        <f t="shared" si="5"/>
        <v>1</v>
      </c>
    </row>
    <row r="29" spans="1:29" ht="27.7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4054" t="s">
        <v>1694</v>
      </c>
      <c r="Q29" s="1352" t="str">
        <f t="shared" si="11"/>
        <v>建筑类型</v>
      </c>
      <c r="R29" s="705" t="s">
        <v>14</v>
      </c>
      <c r="S29" s="706">
        <f t="shared" si="12"/>
        <v>100</v>
      </c>
      <c r="T29" s="705" t="s">
        <v>14</v>
      </c>
      <c r="U29" s="706">
        <f t="shared" si="13"/>
        <v>100</v>
      </c>
      <c r="V29" s="705" t="s">
        <v>14</v>
      </c>
      <c r="W29" s="706">
        <f t="shared" si="14"/>
        <v>100</v>
      </c>
      <c r="X29" s="1355"/>
      <c r="Y29" s="3977"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977"/>
      <c r="Q30" s="707" t="str">
        <f t="shared" si="11"/>
        <v>项目建筑规模</v>
      </c>
      <c r="R30" s="708" t="s">
        <v>14</v>
      </c>
      <c r="S30" s="709" t="e">
        <f t="shared" si="12"/>
        <v>#N/A</v>
      </c>
      <c r="T30" s="708" t="s">
        <v>14</v>
      </c>
      <c r="U30" s="709" t="e">
        <f t="shared" si="13"/>
        <v>#N/A</v>
      </c>
      <c r="V30" s="708" t="s">
        <v>14</v>
      </c>
      <c r="W30" s="709" t="e">
        <f t="shared" si="14"/>
        <v>#N/A</v>
      </c>
      <c r="X30" s="710"/>
      <c r="Y30" s="3977"/>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977"/>
      <c r="Q31" s="1352" t="str">
        <f t="shared" si="11"/>
        <v>建筑结构</v>
      </c>
      <c r="R31" s="705" t="s">
        <v>14</v>
      </c>
      <c r="S31" s="706">
        <f t="shared" si="12"/>
        <v>100</v>
      </c>
      <c r="T31" s="705" t="s">
        <v>14</v>
      </c>
      <c r="U31" s="706">
        <f t="shared" si="13"/>
        <v>100</v>
      </c>
      <c r="V31" s="705" t="s">
        <v>14</v>
      </c>
      <c r="W31" s="706">
        <f t="shared" si="14"/>
        <v>100</v>
      </c>
      <c r="X31" s="1355"/>
      <c r="Y31" s="3977"/>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977"/>
      <c r="Q32" s="1352" t="str">
        <f t="shared" si="11"/>
        <v>公共部分装修</v>
      </c>
      <c r="R32" s="705" t="s">
        <v>14</v>
      </c>
      <c r="S32" s="706">
        <f t="shared" si="12"/>
        <v>100</v>
      </c>
      <c r="T32" s="705" t="s">
        <v>14</v>
      </c>
      <c r="U32" s="706">
        <f t="shared" si="13"/>
        <v>100</v>
      </c>
      <c r="V32" s="705" t="s">
        <v>14</v>
      </c>
      <c r="W32" s="706">
        <f t="shared" si="14"/>
        <v>100</v>
      </c>
      <c r="X32" s="1355"/>
      <c r="Y32" s="3977"/>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977"/>
      <c r="Q33" s="1352" t="str">
        <f t="shared" si="11"/>
        <v>成新度</v>
      </c>
      <c r="R33" s="705" t="s">
        <v>14</v>
      </c>
      <c r="S33" s="706" t="e">
        <f t="shared" si="12"/>
        <v>#N/A</v>
      </c>
      <c r="T33" s="705" t="s">
        <v>14</v>
      </c>
      <c r="U33" s="706" t="e">
        <f t="shared" si="13"/>
        <v>#N/A</v>
      </c>
      <c r="V33" s="705" t="s">
        <v>14</v>
      </c>
      <c r="W33" s="706" t="e">
        <f t="shared" si="14"/>
        <v>#N/A</v>
      </c>
      <c r="X33" s="1355"/>
      <c r="Y33" s="3977"/>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977"/>
      <c r="Q34" s="1343" t="str">
        <f t="shared" si="11"/>
        <v>物业管理</v>
      </c>
      <c r="R34" s="701" t="s">
        <v>14</v>
      </c>
      <c r="S34" s="702">
        <f t="shared" si="12"/>
        <v>100</v>
      </c>
      <c r="T34" s="701" t="s">
        <v>14</v>
      </c>
      <c r="U34" s="702">
        <f t="shared" si="13"/>
        <v>100</v>
      </c>
      <c r="V34" s="701" t="s">
        <v>14</v>
      </c>
      <c r="W34" s="702">
        <f t="shared" si="14"/>
        <v>100</v>
      </c>
      <c r="X34" s="703"/>
      <c r="Y34" s="3977"/>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977" t="s">
        <v>1694</v>
      </c>
      <c r="Q35" s="1352" t="str">
        <f t="shared" si="11"/>
        <v>市政基础设施</v>
      </c>
      <c r="R35" s="705" t="s">
        <v>14</v>
      </c>
      <c r="S35" s="706">
        <f t="shared" si="12"/>
        <v>100</v>
      </c>
      <c r="T35" s="705" t="s">
        <v>14</v>
      </c>
      <c r="U35" s="706">
        <f t="shared" si="13"/>
        <v>100</v>
      </c>
      <c r="V35" s="705" t="s">
        <v>14</v>
      </c>
      <c r="W35" s="706">
        <f t="shared" si="14"/>
        <v>100</v>
      </c>
      <c r="X35" s="1355"/>
      <c r="Y35" s="3977"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977"/>
      <c r="Q36" s="1352" t="str">
        <f t="shared" si="11"/>
        <v>内部装修</v>
      </c>
      <c r="R36" s="705" t="s">
        <v>14</v>
      </c>
      <c r="S36" s="706">
        <f t="shared" si="12"/>
        <v>100</v>
      </c>
      <c r="T36" s="705" t="s">
        <v>14</v>
      </c>
      <c r="U36" s="706">
        <f t="shared" si="13"/>
        <v>100</v>
      </c>
      <c r="V36" s="705" t="s">
        <v>14</v>
      </c>
      <c r="W36" s="706">
        <f t="shared" si="14"/>
        <v>100</v>
      </c>
      <c r="X36" s="1355"/>
      <c r="Y36" s="3977"/>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977"/>
      <c r="Q37" s="1352" t="str">
        <f t="shared" si="11"/>
        <v>内部装修状况</v>
      </c>
      <c r="R37" s="705" t="s">
        <v>14</v>
      </c>
      <c r="S37" s="706">
        <f t="shared" si="12"/>
        <v>100</v>
      </c>
      <c r="T37" s="705" t="s">
        <v>14</v>
      </c>
      <c r="U37" s="706">
        <f t="shared" si="13"/>
        <v>100</v>
      </c>
      <c r="V37" s="705" t="s">
        <v>14</v>
      </c>
      <c r="W37" s="706">
        <f t="shared" si="14"/>
        <v>100</v>
      </c>
      <c r="X37" s="1355"/>
      <c r="Y37" s="397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977"/>
      <c r="Q38" s="707">
        <f t="shared" si="11"/>
        <v>111</v>
      </c>
      <c r="R38" s="708" t="s">
        <v>14</v>
      </c>
      <c r="S38" s="709">
        <f t="shared" si="12"/>
        <v>100</v>
      </c>
      <c r="T38" s="708" t="s">
        <v>14</v>
      </c>
      <c r="U38" s="709">
        <f t="shared" si="13"/>
        <v>100</v>
      </c>
      <c r="V38" s="708" t="s">
        <v>14</v>
      </c>
      <c r="W38" s="709">
        <f t="shared" si="14"/>
        <v>100</v>
      </c>
      <c r="X38" s="710"/>
      <c r="Y38" s="397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977"/>
      <c r="Q39" s="1352">
        <f t="shared" si="11"/>
        <v>111</v>
      </c>
      <c r="R39" s="705" t="s">
        <v>14</v>
      </c>
      <c r="S39" s="706">
        <f t="shared" si="12"/>
        <v>100</v>
      </c>
      <c r="T39" s="705" t="s">
        <v>14</v>
      </c>
      <c r="U39" s="706">
        <f t="shared" si="13"/>
        <v>100</v>
      </c>
      <c r="V39" s="705" t="s">
        <v>14</v>
      </c>
      <c r="W39" s="706">
        <f t="shared" si="14"/>
        <v>100</v>
      </c>
      <c r="X39" s="1355"/>
      <c r="Y39" s="397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978"/>
      <c r="Q40" s="1352">
        <f t="shared" si="11"/>
        <v>111</v>
      </c>
      <c r="R40" s="705" t="s">
        <v>14</v>
      </c>
      <c r="S40" s="706">
        <f t="shared" si="12"/>
        <v>100</v>
      </c>
      <c r="T40" s="705" t="s">
        <v>14</v>
      </c>
      <c r="U40" s="706">
        <f t="shared" si="13"/>
        <v>100</v>
      </c>
      <c r="V40" s="705" t="s">
        <v>14</v>
      </c>
      <c r="W40" s="706">
        <f t="shared" si="14"/>
        <v>100</v>
      </c>
      <c r="X40" s="1355"/>
      <c r="Y40" s="3978"/>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965" t="str">
        <f>A41</f>
        <v>成交单价（元/平方米）</v>
      </c>
      <c r="Q41" s="3965"/>
      <c r="R41" s="3966">
        <f>E41</f>
        <v>0</v>
      </c>
      <c r="S41" s="3966"/>
      <c r="T41" s="3966">
        <f>G41</f>
        <v>0</v>
      </c>
      <c r="U41" s="3966"/>
      <c r="V41" s="3966">
        <f>I41</f>
        <v>0</v>
      </c>
      <c r="W41" s="3966"/>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965" t="str">
        <f>A42</f>
        <v>比较价值（元/平方米）</v>
      </c>
      <c r="Q42" s="3965"/>
      <c r="R42" s="3966" t="e">
        <f>IF(F1="售价",ROUND(PRODUCT(R41,AA7:AA40),0),ROUND(PRODUCT(R41,AA7:AA40),1))</f>
        <v>#DIV/0!</v>
      </c>
      <c r="S42" s="3966"/>
      <c r="T42" s="3966" t="e">
        <f>IF(F1="售价",ROUND(PRODUCT(T41,AB7:AB40),0),ROUND(PRODUCT(T41,AB7:AB40),1))</f>
        <v>#DIV/0!</v>
      </c>
      <c r="U42" s="3966"/>
      <c r="V42" s="3966" t="e">
        <f>IF(F1="售价",ROUND(PRODUCT(V41,AC7:AC40),0),ROUND(PRODUCT(V41,AC7:AC40),1))</f>
        <v>#DIV/0!</v>
      </c>
      <c r="W42" s="3966"/>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967" t="str">
        <f>A43</f>
        <v>估价对象XX用房的比较价值（楼面单价，元/平方米）</v>
      </c>
      <c r="Q43" s="3968"/>
      <c r="R43" s="3969" t="e">
        <f>IF(F1="售价",ROUND(IF(D42="简单平均",AVERAGE(R42:V42),R42*F42+T42*H42+V42*J42),0),ROUND(IF(D42="简单平均",AVERAGE(R42:V42),R42*F42+T42*H42+V42*J42),1))</f>
        <v>#DIV/0!</v>
      </c>
      <c r="S43" s="3969"/>
      <c r="T43" s="3969"/>
      <c r="U43" s="3969"/>
      <c r="V43" s="3969"/>
      <c r="W43" s="396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8"/>
      <c r="O54" s="2769"/>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3330</v>
      </c>
      <c r="C1" s="1224" t="s">
        <v>1660</v>
      </c>
      <c r="D1" s="1225"/>
      <c r="E1" s="3431"/>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1767</v>
      </c>
      <c r="B4" s="356"/>
      <c r="C4" s="3984" t="s">
        <v>1768</v>
      </c>
      <c r="D4" s="3985"/>
      <c r="E4" s="3986" t="s">
        <v>1769</v>
      </c>
      <c r="F4" s="3987"/>
      <c r="G4" s="3984" t="s">
        <v>1770</v>
      </c>
      <c r="H4" s="3985"/>
      <c r="I4" s="3984" t="s">
        <v>1771</v>
      </c>
      <c r="J4" s="3985"/>
      <c r="K4" s="559" t="s">
        <v>1772</v>
      </c>
      <c r="L4" s="2713"/>
      <c r="M4" s="2714"/>
      <c r="N4" s="2714"/>
      <c r="O4" s="2714"/>
      <c r="P4" s="3988" t="s">
        <v>1773</v>
      </c>
      <c r="Q4" s="3989"/>
      <c r="R4" s="3994" t="s">
        <v>1769</v>
      </c>
      <c r="S4" s="3995"/>
      <c r="T4" s="3994" t="s">
        <v>1770</v>
      </c>
      <c r="U4" s="3995"/>
      <c r="V4" s="3979" t="s">
        <v>1771</v>
      </c>
      <c r="W4" s="3979"/>
      <c r="X4" s="1355"/>
      <c r="Y4" s="3994" t="s">
        <v>1773</v>
      </c>
      <c r="Z4" s="3995"/>
      <c r="AA4" s="3981" t="s">
        <v>1769</v>
      </c>
      <c r="AB4" s="3982" t="s">
        <v>1770</v>
      </c>
      <c r="AC4" s="3981" t="s">
        <v>1771</v>
      </c>
    </row>
    <row r="5" spans="1:29" ht="15">
      <c r="A5" s="358"/>
      <c r="B5" s="359"/>
      <c r="C5" s="4009" t="s">
        <v>1671</v>
      </c>
      <c r="D5" s="4008"/>
      <c r="E5" s="4038" t="s">
        <v>1672</v>
      </c>
      <c r="F5" s="4003"/>
      <c r="G5" s="4009" t="s">
        <v>1673</v>
      </c>
      <c r="H5" s="4008"/>
      <c r="I5" s="4009" t="s">
        <v>1674</v>
      </c>
      <c r="J5" s="4008"/>
      <c r="K5" s="559"/>
      <c r="L5" s="2713"/>
      <c r="M5" s="2714"/>
      <c r="N5" s="2714"/>
      <c r="O5" s="2714"/>
      <c r="P5" s="3990"/>
      <c r="Q5" s="3991"/>
      <c r="R5" s="3996"/>
      <c r="S5" s="3997"/>
      <c r="T5" s="3996"/>
      <c r="U5" s="3997"/>
      <c r="V5" s="3979"/>
      <c r="W5" s="3979"/>
      <c r="X5" s="1355"/>
      <c r="Y5" s="3996"/>
      <c r="Z5" s="3997"/>
      <c r="AA5" s="3982"/>
      <c r="AB5" s="3982"/>
      <c r="AC5" s="3982"/>
    </row>
    <row r="6" spans="1:29" ht="15.75" thickBot="1">
      <c r="A6" s="360"/>
      <c r="B6" s="361"/>
      <c r="C6" s="4000" t="s">
        <v>1675</v>
      </c>
      <c r="D6" s="4001"/>
      <c r="E6" s="4010" t="s">
        <v>1675</v>
      </c>
      <c r="F6" s="4011"/>
      <c r="G6" s="4000" t="s">
        <v>1675</v>
      </c>
      <c r="H6" s="4001"/>
      <c r="I6" s="4000" t="s">
        <v>1675</v>
      </c>
      <c r="J6" s="4001"/>
      <c r="K6" s="559" t="s">
        <v>1676</v>
      </c>
      <c r="L6" s="2713"/>
      <c r="M6" s="2714"/>
      <c r="N6" s="2714"/>
      <c r="O6" s="2714"/>
      <c r="P6" s="3992"/>
      <c r="Q6" s="3993"/>
      <c r="R6" s="3996"/>
      <c r="S6" s="3997"/>
      <c r="T6" s="3998"/>
      <c r="U6" s="3999"/>
      <c r="V6" s="3979"/>
      <c r="W6" s="3979"/>
      <c r="X6" s="1355"/>
      <c r="Y6" s="3998"/>
      <c r="Z6" s="3999"/>
      <c r="AA6" s="3983"/>
      <c r="AB6" s="3983"/>
      <c r="AC6" s="3983"/>
    </row>
    <row r="7" spans="1:29" s="108" customFormat="1" ht="15.75" thickBot="1">
      <c r="A7" s="362" t="s">
        <v>1677</v>
      </c>
      <c r="B7" s="363"/>
      <c r="C7" s="364">
        <f>'数据-取费表'!B2</f>
        <v>45583</v>
      </c>
      <c r="D7" s="365">
        <v>100</v>
      </c>
      <c r="E7" s="366"/>
      <c r="F7" s="367">
        <f>SUMIF(48:48,YEAR(E7)&amp;"-"&amp;MONTH(E7),49:49)</f>
        <v>0</v>
      </c>
      <c r="G7" s="366"/>
      <c r="H7" s="365">
        <f>SUMIF(48:48,YEAR(G7)&amp;"-"&amp;MONTH(G7),49:49)</f>
        <v>0</v>
      </c>
      <c r="I7" s="366"/>
      <c r="J7" s="365">
        <f>SUMIF(48:48,YEAR(I7)&amp;"-"&amp;MONTH(I7),49:49)</f>
        <v>0</v>
      </c>
      <c r="K7" s="560"/>
      <c r="L7" s="2715"/>
      <c r="M7" s="2716"/>
      <c r="N7" s="2716"/>
      <c r="O7" s="2716"/>
      <c r="P7" s="4004" t="s">
        <v>1678</v>
      </c>
      <c r="Q7" s="4006"/>
      <c r="R7" s="701" t="s">
        <v>14</v>
      </c>
      <c r="S7" s="702">
        <f t="shared" ref="S7:S14" si="0">F7</f>
        <v>0</v>
      </c>
      <c r="T7" s="701" t="s">
        <v>14</v>
      </c>
      <c r="U7" s="702">
        <f t="shared" ref="U7:U14" si="1">H7</f>
        <v>0</v>
      </c>
      <c r="V7" s="701" t="s">
        <v>14</v>
      </c>
      <c r="W7" s="702">
        <f t="shared" ref="W7:W14" si="2">J7</f>
        <v>0</v>
      </c>
      <c r="X7" s="703"/>
      <c r="Y7" s="4004" t="s">
        <v>1678</v>
      </c>
      <c r="Z7" s="4005"/>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4004" t="s">
        <v>1681</v>
      </c>
      <c r="Q8" s="4005"/>
      <c r="R8" s="701" t="s">
        <v>14</v>
      </c>
      <c r="S8" s="702">
        <f t="shared" si="0"/>
        <v>100</v>
      </c>
      <c r="T8" s="701" t="s">
        <v>14</v>
      </c>
      <c r="U8" s="702">
        <f t="shared" si="1"/>
        <v>100</v>
      </c>
      <c r="V8" s="701" t="s">
        <v>14</v>
      </c>
      <c r="W8" s="702">
        <f t="shared" si="2"/>
        <v>100</v>
      </c>
      <c r="X8" s="703"/>
      <c r="Y8" s="4004" t="s">
        <v>1681</v>
      </c>
      <c r="Z8" s="4005"/>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965" t="s">
        <v>1684</v>
      </c>
      <c r="Q9" s="1343" t="str">
        <f t="shared" ref="Q9:Q14" si="6">B9</f>
        <v>用途</v>
      </c>
      <c r="R9" s="701" t="s">
        <v>14</v>
      </c>
      <c r="S9" s="702">
        <f t="shared" si="0"/>
        <v>100</v>
      </c>
      <c r="T9" s="701" t="s">
        <v>14</v>
      </c>
      <c r="U9" s="702">
        <f t="shared" si="1"/>
        <v>100</v>
      </c>
      <c r="V9" s="701" t="s">
        <v>14</v>
      </c>
      <c r="W9" s="702">
        <f t="shared" si="2"/>
        <v>100</v>
      </c>
      <c r="X9" s="703"/>
      <c r="Y9" s="3869" t="s">
        <v>1685</v>
      </c>
      <c r="Z9" s="52" t="str">
        <f t="shared" ref="Z9:Z14" si="7">Q9</f>
        <v>用途</v>
      </c>
      <c r="AA9" s="704">
        <f t="shared" si="3"/>
        <v>1</v>
      </c>
      <c r="AB9" s="704">
        <f t="shared" si="4"/>
        <v>1</v>
      </c>
      <c r="AC9" s="704">
        <f t="shared" si="5"/>
        <v>1</v>
      </c>
    </row>
    <row r="10" spans="1:29" s="378" customFormat="1" ht="27">
      <c r="A10" s="589"/>
      <c r="B10" s="590" t="s">
        <v>1686</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965"/>
      <c r="Q10" s="1343" t="str">
        <f t="shared" si="6"/>
        <v>土地使用年限（年）</v>
      </c>
      <c r="R10" s="701" t="s">
        <v>14</v>
      </c>
      <c r="S10" s="702">
        <f t="shared" si="0"/>
        <v>100</v>
      </c>
      <c r="T10" s="701" t="s">
        <v>14</v>
      </c>
      <c r="U10" s="702">
        <f t="shared" si="1"/>
        <v>100</v>
      </c>
      <c r="V10" s="701" t="s">
        <v>14</v>
      </c>
      <c r="W10" s="702">
        <f t="shared" si="2"/>
        <v>100</v>
      </c>
      <c r="X10" s="703"/>
      <c r="Y10" s="386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965"/>
      <c r="Q11" s="1343">
        <f t="shared" si="6"/>
        <v>111</v>
      </c>
      <c r="R11" s="701" t="s">
        <v>14</v>
      </c>
      <c r="S11" s="702">
        <f t="shared" si="0"/>
        <v>100</v>
      </c>
      <c r="T11" s="701" t="s">
        <v>14</v>
      </c>
      <c r="U11" s="702">
        <f t="shared" si="1"/>
        <v>100</v>
      </c>
      <c r="V11" s="701" t="s">
        <v>14</v>
      </c>
      <c r="W11" s="702">
        <f t="shared" si="2"/>
        <v>100</v>
      </c>
      <c r="X11" s="703"/>
      <c r="Y11" s="386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965"/>
      <c r="Q12" s="1343">
        <f t="shared" si="6"/>
        <v>111</v>
      </c>
      <c r="R12" s="701" t="s">
        <v>14</v>
      </c>
      <c r="S12" s="702">
        <f t="shared" si="0"/>
        <v>100</v>
      </c>
      <c r="T12" s="701" t="s">
        <v>14</v>
      </c>
      <c r="U12" s="702">
        <f t="shared" si="1"/>
        <v>100</v>
      </c>
      <c r="V12" s="701" t="s">
        <v>14</v>
      </c>
      <c r="W12" s="702">
        <f t="shared" si="2"/>
        <v>100</v>
      </c>
      <c r="X12" s="703"/>
      <c r="Y12" s="386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965"/>
      <c r="Q13" s="1343">
        <f t="shared" si="6"/>
        <v>111</v>
      </c>
      <c r="R13" s="701" t="s">
        <v>14</v>
      </c>
      <c r="S13" s="702">
        <f t="shared" si="0"/>
        <v>100</v>
      </c>
      <c r="T13" s="701" t="s">
        <v>14</v>
      </c>
      <c r="U13" s="702">
        <f t="shared" si="1"/>
        <v>100</v>
      </c>
      <c r="V13" s="701" t="s">
        <v>14</v>
      </c>
      <c r="W13" s="702">
        <f t="shared" si="2"/>
        <v>100</v>
      </c>
      <c r="X13" s="703"/>
      <c r="Y13" s="3869"/>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972" t="s">
        <v>1689</v>
      </c>
      <c r="Q14" s="1352" t="str">
        <f t="shared" si="6"/>
        <v>交通便捷度</v>
      </c>
      <c r="R14" s="705" t="s">
        <v>14</v>
      </c>
      <c r="S14" s="706">
        <f t="shared" si="0"/>
        <v>100</v>
      </c>
      <c r="T14" s="705" t="s">
        <v>14</v>
      </c>
      <c r="U14" s="706">
        <f t="shared" si="1"/>
        <v>100</v>
      </c>
      <c r="V14" s="705" t="s">
        <v>14</v>
      </c>
      <c r="W14" s="706">
        <f t="shared" si="2"/>
        <v>100</v>
      </c>
      <c r="X14" s="1355"/>
      <c r="Y14" s="3972"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973"/>
      <c r="Q15" s="1352"/>
      <c r="R15" s="705"/>
      <c r="S15" s="706"/>
      <c r="T15" s="705"/>
      <c r="U15" s="706"/>
      <c r="V15" s="705"/>
      <c r="W15" s="706"/>
      <c r="X15" s="1355"/>
      <c r="Y15" s="3973"/>
      <c r="Z15" s="1356"/>
      <c r="AA15" s="1353">
        <v>1</v>
      </c>
      <c r="AB15" s="1353">
        <v>1</v>
      </c>
      <c r="AC15" s="1353">
        <v>1</v>
      </c>
    </row>
    <row r="16" spans="1:29" ht="15">
      <c r="A16" s="358"/>
      <c r="B16" s="579" t="s">
        <v>1810</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973"/>
      <c r="Q16" s="1352" t="str">
        <f>B16</f>
        <v>公共配套设施</v>
      </c>
      <c r="R16" s="705" t="s">
        <v>14</v>
      </c>
      <c r="S16" s="706">
        <f>F16</f>
        <v>100</v>
      </c>
      <c r="T16" s="705" t="s">
        <v>14</v>
      </c>
      <c r="U16" s="706">
        <f>H16</f>
        <v>100</v>
      </c>
      <c r="V16" s="705" t="s">
        <v>14</v>
      </c>
      <c r="W16" s="706">
        <f>J16</f>
        <v>100</v>
      </c>
      <c r="X16" s="1355"/>
      <c r="Y16" s="397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973"/>
      <c r="Q17" s="1352"/>
      <c r="R17" s="705"/>
      <c r="S17" s="706"/>
      <c r="T17" s="705"/>
      <c r="U17" s="706"/>
      <c r="V17" s="705"/>
      <c r="W17" s="706"/>
      <c r="X17" s="1355"/>
      <c r="Y17" s="3973"/>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973"/>
      <c r="Q18" s="1352" t="str">
        <f>B18</f>
        <v>基础设施水平</v>
      </c>
      <c r="R18" s="705" t="s">
        <v>14</v>
      </c>
      <c r="S18" s="706">
        <f>F18</f>
        <v>100</v>
      </c>
      <c r="T18" s="705" t="s">
        <v>14</v>
      </c>
      <c r="U18" s="706">
        <f>H18</f>
        <v>100</v>
      </c>
      <c r="V18" s="705" t="s">
        <v>14</v>
      </c>
      <c r="W18" s="706">
        <f>J18</f>
        <v>100</v>
      </c>
      <c r="X18" s="1355"/>
      <c r="Y18" s="397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973"/>
      <c r="Q19" s="1352"/>
      <c r="R19" s="705"/>
      <c r="S19" s="706"/>
      <c r="T19" s="705"/>
      <c r="U19" s="706"/>
      <c r="V19" s="705"/>
      <c r="W19" s="706"/>
      <c r="X19" s="1355"/>
      <c r="Y19" s="3973"/>
      <c r="Z19" s="1356"/>
      <c r="AA19" s="1353">
        <v>1</v>
      </c>
      <c r="AB19" s="1353">
        <v>1</v>
      </c>
      <c r="AC19" s="1353">
        <v>1</v>
      </c>
    </row>
    <row r="20" spans="1:29" ht="15">
      <c r="A20" s="358"/>
      <c r="B20" s="579" t="s">
        <v>1832</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973"/>
      <c r="Q20" s="1352" t="str">
        <f>B20</f>
        <v>自然及人文环境</v>
      </c>
      <c r="R20" s="705" t="s">
        <v>14</v>
      </c>
      <c r="S20" s="706">
        <f>F20</f>
        <v>100</v>
      </c>
      <c r="T20" s="705" t="s">
        <v>14</v>
      </c>
      <c r="U20" s="706">
        <f>H20</f>
        <v>100</v>
      </c>
      <c r="V20" s="705" t="s">
        <v>14</v>
      </c>
      <c r="W20" s="706">
        <f>J20</f>
        <v>100</v>
      </c>
      <c r="X20" s="1355"/>
      <c r="Y20" s="39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973"/>
      <c r="Q21" s="1352"/>
      <c r="R21" s="705"/>
      <c r="S21" s="706"/>
      <c r="T21" s="705"/>
      <c r="U21" s="706"/>
      <c r="V21" s="705"/>
      <c r="W21" s="706"/>
      <c r="X21" s="1355"/>
      <c r="Y21" s="3973"/>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973"/>
      <c r="Q22" s="1352" t="str">
        <f>B22</f>
        <v>楼层</v>
      </c>
      <c r="R22" s="705" t="s">
        <v>14</v>
      </c>
      <c r="S22" s="706">
        <f>F22</f>
        <v>100</v>
      </c>
      <c r="T22" s="705" t="s">
        <v>14</v>
      </c>
      <c r="U22" s="706">
        <f>H22</f>
        <v>100</v>
      </c>
      <c r="V22" s="705" t="s">
        <v>14</v>
      </c>
      <c r="W22" s="706">
        <f>J22</f>
        <v>100</v>
      </c>
      <c r="X22" s="1355"/>
      <c r="Y22" s="39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973"/>
      <c r="Q23" s="1352">
        <f>B23</f>
        <v>111</v>
      </c>
      <c r="R23" s="705" t="s">
        <v>14</v>
      </c>
      <c r="S23" s="706">
        <f>F23</f>
        <v>100</v>
      </c>
      <c r="T23" s="705" t="s">
        <v>14</v>
      </c>
      <c r="U23" s="706">
        <f>H23</f>
        <v>100</v>
      </c>
      <c r="V23" s="705" t="s">
        <v>14</v>
      </c>
      <c r="W23" s="706">
        <f>J23</f>
        <v>100</v>
      </c>
      <c r="X23" s="1355"/>
      <c r="Y23" s="39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973"/>
      <c r="Q24" s="1352">
        <f t="shared" ref="Q24:Q36" si="11">B24</f>
        <v>111</v>
      </c>
      <c r="R24" s="705" t="s">
        <v>14</v>
      </c>
      <c r="S24" s="706">
        <f>F24</f>
        <v>100</v>
      </c>
      <c r="T24" s="705" t="s">
        <v>14</v>
      </c>
      <c r="U24" s="706">
        <f>H24</f>
        <v>100</v>
      </c>
      <c r="V24" s="705" t="s">
        <v>14</v>
      </c>
      <c r="W24" s="706">
        <f>J24</f>
        <v>100</v>
      </c>
      <c r="X24" s="1355"/>
      <c r="Y24" s="397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973"/>
      <c r="Q25" s="1343">
        <f t="shared" si="11"/>
        <v>111</v>
      </c>
      <c r="R25" s="701" t="s">
        <v>14</v>
      </c>
      <c r="S25" s="702">
        <f>F25</f>
        <v>100</v>
      </c>
      <c r="T25" s="701" t="s">
        <v>14</v>
      </c>
      <c r="U25" s="702">
        <f>H25</f>
        <v>100</v>
      </c>
      <c r="V25" s="701" t="s">
        <v>14</v>
      </c>
      <c r="W25" s="702">
        <f>J25</f>
        <v>100</v>
      </c>
      <c r="X25" s="703"/>
      <c r="Y25" s="3973"/>
      <c r="Z25" s="52">
        <f>Q25</f>
        <v>111</v>
      </c>
      <c r="AA25" s="1353">
        <f>D25/F25</f>
        <v>1</v>
      </c>
      <c r="AB25" s="1353">
        <f>D25/H25</f>
        <v>1</v>
      </c>
      <c r="AC25" s="1353">
        <f>D25/J25</f>
        <v>1</v>
      </c>
    </row>
    <row r="26" spans="1:29" ht="27.7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4054"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977"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977"/>
      <c r="Q27" s="707" t="str">
        <f t="shared" si="11"/>
        <v>项目停车位配比</v>
      </c>
      <c r="R27" s="708" t="s">
        <v>14</v>
      </c>
      <c r="S27" s="709">
        <f t="shared" si="12"/>
        <v>100</v>
      </c>
      <c r="T27" s="708" t="s">
        <v>14</v>
      </c>
      <c r="U27" s="709">
        <f t="shared" si="13"/>
        <v>100</v>
      </c>
      <c r="V27" s="708" t="s">
        <v>14</v>
      </c>
      <c r="W27" s="709">
        <f t="shared" si="14"/>
        <v>100</v>
      </c>
      <c r="X27" s="710"/>
      <c r="Y27" s="3977"/>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977"/>
      <c r="Q28" s="1352" t="str">
        <f t="shared" si="11"/>
        <v>公共部分装修</v>
      </c>
      <c r="R28" s="705" t="s">
        <v>14</v>
      </c>
      <c r="S28" s="706">
        <f t="shared" si="12"/>
        <v>100</v>
      </c>
      <c r="T28" s="705" t="s">
        <v>14</v>
      </c>
      <c r="U28" s="706">
        <f t="shared" si="13"/>
        <v>100</v>
      </c>
      <c r="V28" s="705" t="s">
        <v>14</v>
      </c>
      <c r="W28" s="706">
        <f t="shared" si="14"/>
        <v>100</v>
      </c>
      <c r="X28" s="1355"/>
      <c r="Y28" s="3977"/>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977"/>
      <c r="Q29" s="1352" t="str">
        <f t="shared" si="11"/>
        <v>成新率</v>
      </c>
      <c r="R29" s="705" t="s">
        <v>14</v>
      </c>
      <c r="S29" s="706" t="e">
        <f t="shared" si="12"/>
        <v>#N/A</v>
      </c>
      <c r="T29" s="705" t="s">
        <v>14</v>
      </c>
      <c r="U29" s="706" t="e">
        <f t="shared" si="13"/>
        <v>#N/A</v>
      </c>
      <c r="V29" s="705" t="s">
        <v>14</v>
      </c>
      <c r="W29" s="706" t="e">
        <f t="shared" si="14"/>
        <v>#N/A</v>
      </c>
      <c r="X29" s="1355"/>
      <c r="Y29" s="3977"/>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977"/>
      <c r="Q30" s="1352" t="str">
        <f t="shared" si="11"/>
        <v>物业等级</v>
      </c>
      <c r="R30" s="705" t="s">
        <v>14</v>
      </c>
      <c r="S30" s="706">
        <f t="shared" si="12"/>
        <v>100</v>
      </c>
      <c r="T30" s="705" t="s">
        <v>14</v>
      </c>
      <c r="U30" s="706">
        <f t="shared" si="13"/>
        <v>100</v>
      </c>
      <c r="V30" s="705" t="s">
        <v>14</v>
      </c>
      <c r="W30" s="706">
        <f t="shared" si="14"/>
        <v>100</v>
      </c>
      <c r="X30" s="1355"/>
      <c r="Y30" s="3977"/>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977"/>
      <c r="Q31" s="1343" t="str">
        <f t="shared" si="11"/>
        <v>停车位面积</v>
      </c>
      <c r="R31" s="701" t="s">
        <v>14</v>
      </c>
      <c r="S31" s="702" t="e">
        <f t="shared" si="12"/>
        <v>#N/A</v>
      </c>
      <c r="T31" s="701" t="s">
        <v>14</v>
      </c>
      <c r="U31" s="702" t="e">
        <f t="shared" si="13"/>
        <v>#N/A</v>
      </c>
      <c r="V31" s="701" t="s">
        <v>14</v>
      </c>
      <c r="W31" s="702" t="e">
        <f t="shared" si="14"/>
        <v>#N/A</v>
      </c>
      <c r="X31" s="703"/>
      <c r="Y31" s="3977"/>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977" t="s">
        <v>1694</v>
      </c>
      <c r="Q32" s="1352" t="str">
        <f t="shared" si="11"/>
        <v>车位类型</v>
      </c>
      <c r="R32" s="705" t="s">
        <v>14</v>
      </c>
      <c r="S32" s="706">
        <f t="shared" si="12"/>
        <v>100</v>
      </c>
      <c r="T32" s="705" t="s">
        <v>14</v>
      </c>
      <c r="U32" s="706">
        <f t="shared" si="13"/>
        <v>100</v>
      </c>
      <c r="V32" s="705" t="s">
        <v>14</v>
      </c>
      <c r="W32" s="706">
        <f t="shared" si="14"/>
        <v>100</v>
      </c>
      <c r="X32" s="1355"/>
      <c r="Y32" s="3977"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977"/>
      <c r="Q33" s="1352" t="str">
        <f t="shared" si="11"/>
        <v>是否直接入户</v>
      </c>
      <c r="R33" s="705" t="s">
        <v>14</v>
      </c>
      <c r="S33" s="706">
        <f t="shared" si="12"/>
        <v>100</v>
      </c>
      <c r="T33" s="705" t="s">
        <v>14</v>
      </c>
      <c r="U33" s="706">
        <f t="shared" si="13"/>
        <v>100</v>
      </c>
      <c r="V33" s="705" t="s">
        <v>14</v>
      </c>
      <c r="W33" s="706">
        <f t="shared" si="14"/>
        <v>100</v>
      </c>
      <c r="X33" s="1355"/>
      <c r="Y33" s="397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977"/>
      <c r="Q34" s="1352">
        <f t="shared" si="11"/>
        <v>111</v>
      </c>
      <c r="R34" s="705" t="s">
        <v>14</v>
      </c>
      <c r="S34" s="706">
        <f t="shared" si="12"/>
        <v>100</v>
      </c>
      <c r="T34" s="705" t="s">
        <v>14</v>
      </c>
      <c r="U34" s="706">
        <f t="shared" si="13"/>
        <v>100</v>
      </c>
      <c r="V34" s="705" t="s">
        <v>14</v>
      </c>
      <c r="W34" s="706">
        <f t="shared" si="14"/>
        <v>100</v>
      </c>
      <c r="X34" s="1355"/>
      <c r="Y34" s="397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977"/>
      <c r="Q35" s="707">
        <f t="shared" si="11"/>
        <v>111</v>
      </c>
      <c r="R35" s="708" t="s">
        <v>14</v>
      </c>
      <c r="S35" s="709">
        <f t="shared" si="12"/>
        <v>100</v>
      </c>
      <c r="T35" s="708" t="s">
        <v>14</v>
      </c>
      <c r="U35" s="709">
        <f t="shared" si="13"/>
        <v>100</v>
      </c>
      <c r="V35" s="708" t="s">
        <v>14</v>
      </c>
      <c r="W35" s="709">
        <f t="shared" si="14"/>
        <v>100</v>
      </c>
      <c r="X35" s="710"/>
      <c r="Y35" s="397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977"/>
      <c r="Q36" s="1352">
        <f t="shared" si="11"/>
        <v>111</v>
      </c>
      <c r="R36" s="705" t="s">
        <v>14</v>
      </c>
      <c r="S36" s="706">
        <f t="shared" si="12"/>
        <v>100</v>
      </c>
      <c r="T36" s="705" t="s">
        <v>14</v>
      </c>
      <c r="U36" s="706">
        <f t="shared" si="13"/>
        <v>100</v>
      </c>
      <c r="V36" s="705" t="s">
        <v>14</v>
      </c>
      <c r="W36" s="706">
        <f t="shared" si="14"/>
        <v>100</v>
      </c>
      <c r="X36" s="1355"/>
      <c r="Y36" s="3977"/>
      <c r="Z36" s="1356">
        <f t="shared" si="15"/>
        <v>111</v>
      </c>
      <c r="AA36" s="1353">
        <f t="shared" si="3"/>
        <v>1</v>
      </c>
      <c r="AB36" s="1353">
        <f t="shared" si="4"/>
        <v>1</v>
      </c>
      <c r="AC36" s="1353">
        <f t="shared" si="5"/>
        <v>1</v>
      </c>
    </row>
    <row r="37" spans="1:29" ht="15">
      <c r="A37" s="430" t="s">
        <v>1842</v>
      </c>
      <c r="B37" s="1973" t="s">
        <v>3350</v>
      </c>
      <c r="C37" s="1154" t="s">
        <v>0</v>
      </c>
      <c r="D37" s="1155"/>
      <c r="E37" s="1156"/>
      <c r="F37" s="1157"/>
      <c r="G37" s="1158"/>
      <c r="H37" s="1159"/>
      <c r="I37" s="1156"/>
      <c r="J37" s="1159"/>
      <c r="K37" s="568"/>
      <c r="L37" s="2722"/>
      <c r="M37" s="2723"/>
      <c r="N37" s="2714"/>
      <c r="O37" s="2723"/>
      <c r="P37" s="3965" t="str">
        <f>A37</f>
        <v>成交单价</v>
      </c>
      <c r="Q37" s="3965"/>
      <c r="R37" s="3966">
        <f>E37</f>
        <v>0</v>
      </c>
      <c r="S37" s="3966"/>
      <c r="T37" s="3966">
        <f>G37</f>
        <v>0</v>
      </c>
      <c r="U37" s="3966"/>
      <c r="V37" s="3966">
        <f>I37</f>
        <v>0</v>
      </c>
      <c r="W37" s="3966"/>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2"/>
      <c r="M38" s="2723"/>
      <c r="N38" s="2723"/>
      <c r="O38" s="2723"/>
      <c r="P38" s="3965" t="str">
        <f>A38</f>
        <v>比较价值（元/平方米）</v>
      </c>
      <c r="Q38" s="3965"/>
      <c r="R38" s="3966" t="e">
        <f>IF(F1="售价",ROUND(PRODUCT(R37,AA7:AA36),0),ROUND(PRODUCT(R37,AA7:AA36),1))</f>
        <v>#DIV/0!</v>
      </c>
      <c r="S38" s="3966"/>
      <c r="T38" s="3966" t="e">
        <f>IF(F1="售价",ROUND(PRODUCT(T37,AB7:AB36),0),ROUND(PRODUCT(T37,AB7:AB36),1))</f>
        <v>#DIV/0!</v>
      </c>
      <c r="U38" s="3966"/>
      <c r="V38" s="3966" t="e">
        <f>IF(F1="售价",ROUND(PRODUCT(V37,AC7:AC36),0),ROUND(PRODUCT(V37,AC7:AC36),1))</f>
        <v>#DIV/0!</v>
      </c>
      <c r="W38" s="3966"/>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2"/>
      <c r="M39" s="2723"/>
      <c r="N39" s="2723"/>
      <c r="O39" s="2723"/>
      <c r="P39" s="3967" t="str">
        <f>A39</f>
        <v>估价对象XX用房的比较价值（楼面单价，元/平方米）</v>
      </c>
      <c r="Q39" s="3968"/>
      <c r="R39" s="4055" t="e">
        <f>IF(F1="售价",ROUND(IF(D38="简单平均",AVERAGE(R38:W38),R38*F38+T38*H38+V38*J38),0),ROUND(IF(D38="简单平均",AVERAGE(R38:V38),R38*F38+T38*H38+V38*J38),1))</f>
        <v>#DIV/0!</v>
      </c>
      <c r="S39" s="4055"/>
      <c r="T39" s="4055"/>
      <c r="U39" s="4055"/>
      <c r="V39" s="4055"/>
      <c r="W39" s="405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1848</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1849</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1714</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1679</v>
      </c>
      <c r="B51" s="459"/>
      <c r="C51" s="471" t="s">
        <v>1774</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1717</v>
      </c>
      <c r="B53" s="477" t="s">
        <v>1683</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1686</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1725</v>
      </c>
      <c r="C65" s="527" t="s">
        <v>1719</v>
      </c>
      <c r="D65" s="527" t="s">
        <v>1720</v>
      </c>
      <c r="E65" s="527" t="s">
        <v>1721</v>
      </c>
      <c r="F65" s="527" t="s">
        <v>1722</v>
      </c>
      <c r="G65" s="527" t="s">
        <v>1723</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1811</v>
      </c>
      <c r="C67" s="608" t="s">
        <v>1797</v>
      </c>
      <c r="D67" s="608" t="s">
        <v>1798</v>
      </c>
      <c r="E67" s="608" t="s">
        <v>1799</v>
      </c>
      <c r="F67" s="608" t="s">
        <v>1800</v>
      </c>
      <c r="G67" s="608" t="s">
        <v>1801</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1731</v>
      </c>
      <c r="C69" s="527" t="s">
        <v>1719</v>
      </c>
      <c r="D69" s="527" t="s">
        <v>1720</v>
      </c>
      <c r="E69" s="527" t="s">
        <v>1721</v>
      </c>
      <c r="F69" s="527" t="s">
        <v>1722</v>
      </c>
      <c r="G69" s="527" t="s">
        <v>1723</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1850</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1692</v>
      </c>
      <c r="B79" s="477" t="s">
        <v>1851</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1852</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1738</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1854</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1856</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1857</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估价对象为北京市房地产，为所有。根据《国有土地使用证》[]，估价对象（分摊）出让国有建设用地使用权面积为0平方米，建筑面积为468.48平方米。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估价对象为北京市房地产,属开发建设的办公项目，该项目尚在开发建设中。根据《国有土地使用证》[]，估价对象（分摊）出让国有建设用地使用权面积为0平方米，规划建筑面积为468.48平方米。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2024年10月18日（评估专业人员实地查勘之日）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3331</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984" t="s">
        <v>1768</v>
      </c>
      <c r="D4" s="3985"/>
      <c r="E4" s="3986" t="s">
        <v>1769</v>
      </c>
      <c r="F4" s="3987"/>
      <c r="G4" s="3984" t="s">
        <v>1770</v>
      </c>
      <c r="H4" s="3985"/>
      <c r="I4" s="3984" t="s">
        <v>1771</v>
      </c>
      <c r="J4" s="3985"/>
      <c r="K4" s="559" t="s">
        <v>1772</v>
      </c>
      <c r="L4" s="2713"/>
      <c r="M4" s="2714"/>
      <c r="N4" s="2714"/>
      <c r="O4" s="2714"/>
      <c r="P4" s="3988" t="s">
        <v>1773</v>
      </c>
      <c r="Q4" s="3989"/>
      <c r="R4" s="3994" t="s">
        <v>1769</v>
      </c>
      <c r="S4" s="3995"/>
      <c r="T4" s="3994" t="s">
        <v>1770</v>
      </c>
      <c r="U4" s="3995"/>
      <c r="V4" s="3979" t="s">
        <v>1771</v>
      </c>
      <c r="W4" s="3979"/>
      <c r="X4" s="1355"/>
      <c r="Y4" s="3994" t="s">
        <v>1773</v>
      </c>
      <c r="Z4" s="3995"/>
      <c r="AA4" s="3981" t="s">
        <v>1769</v>
      </c>
      <c r="AB4" s="3982" t="s">
        <v>1770</v>
      </c>
      <c r="AC4" s="3981" t="s">
        <v>1771</v>
      </c>
    </row>
    <row r="5" spans="1:29" ht="15">
      <c r="A5" s="358"/>
      <c r="B5" s="359"/>
      <c r="C5" s="4009" t="s">
        <v>1671</v>
      </c>
      <c r="D5" s="4008"/>
      <c r="E5" s="4038" t="s">
        <v>1672</v>
      </c>
      <c r="F5" s="4003"/>
      <c r="G5" s="4009" t="s">
        <v>1673</v>
      </c>
      <c r="H5" s="4008"/>
      <c r="I5" s="4009" t="s">
        <v>1674</v>
      </c>
      <c r="J5" s="4008"/>
      <c r="K5" s="559"/>
      <c r="L5" s="2713"/>
      <c r="M5" s="2714"/>
      <c r="N5" s="2714"/>
      <c r="O5" s="2714"/>
      <c r="P5" s="3990"/>
      <c r="Q5" s="3991"/>
      <c r="R5" s="3996"/>
      <c r="S5" s="3997"/>
      <c r="T5" s="3996"/>
      <c r="U5" s="3997"/>
      <c r="V5" s="3979"/>
      <c r="W5" s="3979"/>
      <c r="X5" s="1355"/>
      <c r="Y5" s="3996"/>
      <c r="Z5" s="3997"/>
      <c r="AA5" s="3982"/>
      <c r="AB5" s="3982"/>
      <c r="AC5" s="3982"/>
    </row>
    <row r="6" spans="1:29" ht="15.75" thickBot="1">
      <c r="A6" s="360"/>
      <c r="B6" s="361"/>
      <c r="C6" s="4000" t="s">
        <v>1675</v>
      </c>
      <c r="D6" s="4001"/>
      <c r="E6" s="4010" t="s">
        <v>1675</v>
      </c>
      <c r="F6" s="4011"/>
      <c r="G6" s="4000" t="s">
        <v>1675</v>
      </c>
      <c r="H6" s="4001"/>
      <c r="I6" s="4000" t="s">
        <v>1675</v>
      </c>
      <c r="J6" s="4001"/>
      <c r="K6" s="559" t="s">
        <v>1676</v>
      </c>
      <c r="L6" s="2713"/>
      <c r="M6" s="2714"/>
      <c r="N6" s="2714"/>
      <c r="O6" s="2714"/>
      <c r="P6" s="3992"/>
      <c r="Q6" s="3993"/>
      <c r="R6" s="3996"/>
      <c r="S6" s="3997"/>
      <c r="T6" s="3998"/>
      <c r="U6" s="3999"/>
      <c r="V6" s="3979"/>
      <c r="W6" s="3979"/>
      <c r="X6" s="1355"/>
      <c r="Y6" s="3998"/>
      <c r="Z6" s="3999"/>
      <c r="AA6" s="3983"/>
      <c r="AB6" s="3983"/>
      <c r="AC6" s="3983"/>
    </row>
    <row r="7" spans="1:29" s="108" customFormat="1" ht="15.75" thickBot="1">
      <c r="A7" s="362" t="s">
        <v>1677</v>
      </c>
      <c r="B7" s="363"/>
      <c r="C7" s="364">
        <f>'数据-取费表'!B2</f>
        <v>45583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4004" t="s">
        <v>1678</v>
      </c>
      <c r="Q7" s="4006"/>
      <c r="R7" s="701" t="s">
        <v>14</v>
      </c>
      <c r="S7" s="702">
        <f t="shared" ref="S7:S14" si="0">F7</f>
        <v>0</v>
      </c>
      <c r="T7" s="701" t="s">
        <v>14</v>
      </c>
      <c r="U7" s="702">
        <f t="shared" ref="U7:U14" si="1">H7</f>
        <v>0</v>
      </c>
      <c r="V7" s="701" t="s">
        <v>14</v>
      </c>
      <c r="W7" s="702">
        <f t="shared" ref="W7:W14" si="2">J7</f>
        <v>0</v>
      </c>
      <c r="X7" s="703"/>
      <c r="Y7" s="4004" t="s">
        <v>1678</v>
      </c>
      <c r="Z7" s="4005"/>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4004" t="s">
        <v>1681</v>
      </c>
      <c r="Q8" s="4005"/>
      <c r="R8" s="701" t="s">
        <v>14</v>
      </c>
      <c r="S8" s="702">
        <f t="shared" si="0"/>
        <v>100</v>
      </c>
      <c r="T8" s="701" t="s">
        <v>14</v>
      </c>
      <c r="U8" s="702">
        <f t="shared" si="1"/>
        <v>100</v>
      </c>
      <c r="V8" s="701" t="s">
        <v>14</v>
      </c>
      <c r="W8" s="702">
        <f t="shared" si="2"/>
        <v>100</v>
      </c>
      <c r="X8" s="703"/>
      <c r="Y8" s="4004" t="s">
        <v>1681</v>
      </c>
      <c r="Z8" s="4005"/>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965" t="s">
        <v>1684</v>
      </c>
      <c r="Q9" s="1343" t="str">
        <f t="shared" ref="Q9:Q14" si="6">B9</f>
        <v>用途</v>
      </c>
      <c r="R9" s="701" t="s">
        <v>14</v>
      </c>
      <c r="S9" s="702">
        <f t="shared" si="0"/>
        <v>100</v>
      </c>
      <c r="T9" s="701" t="s">
        <v>14</v>
      </c>
      <c r="U9" s="702">
        <f t="shared" si="1"/>
        <v>100</v>
      </c>
      <c r="V9" s="701" t="s">
        <v>14</v>
      </c>
      <c r="W9" s="702">
        <f t="shared" si="2"/>
        <v>100</v>
      </c>
      <c r="X9" s="703"/>
      <c r="Y9" s="3869" t="s">
        <v>1685</v>
      </c>
      <c r="Z9" s="52" t="str">
        <f t="shared" ref="Z9:Z14" si="7">Q9</f>
        <v>用途</v>
      </c>
      <c r="AA9" s="704">
        <f t="shared" si="3"/>
        <v>1</v>
      </c>
      <c r="AB9" s="704">
        <f t="shared" si="4"/>
        <v>1</v>
      </c>
      <c r="AC9" s="704">
        <f t="shared" si="5"/>
        <v>1</v>
      </c>
    </row>
    <row r="10" spans="1:29" s="378" customFormat="1" ht="27">
      <c r="A10" s="374"/>
      <c r="B10" s="375" t="s">
        <v>1686</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965"/>
      <c r="Q10" s="1343" t="str">
        <f t="shared" si="6"/>
        <v>土地使用年限（年）</v>
      </c>
      <c r="R10" s="701" t="s">
        <v>14</v>
      </c>
      <c r="S10" s="702">
        <f t="shared" si="0"/>
        <v>100</v>
      </c>
      <c r="T10" s="701" t="s">
        <v>14</v>
      </c>
      <c r="U10" s="702">
        <f t="shared" si="1"/>
        <v>100</v>
      </c>
      <c r="V10" s="701" t="s">
        <v>14</v>
      </c>
      <c r="W10" s="702">
        <f t="shared" si="2"/>
        <v>100</v>
      </c>
      <c r="X10" s="703"/>
      <c r="Y10" s="386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965"/>
      <c r="Q11" s="1343">
        <f t="shared" si="6"/>
        <v>111</v>
      </c>
      <c r="R11" s="701" t="s">
        <v>14</v>
      </c>
      <c r="S11" s="702">
        <f t="shared" si="0"/>
        <v>100</v>
      </c>
      <c r="T11" s="701" t="s">
        <v>14</v>
      </c>
      <c r="U11" s="702">
        <f t="shared" si="1"/>
        <v>100</v>
      </c>
      <c r="V11" s="701" t="s">
        <v>14</v>
      </c>
      <c r="W11" s="702">
        <f t="shared" si="2"/>
        <v>100</v>
      </c>
      <c r="X11" s="703"/>
      <c r="Y11" s="386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965"/>
      <c r="Q12" s="1343">
        <f t="shared" si="6"/>
        <v>111</v>
      </c>
      <c r="R12" s="701" t="s">
        <v>14</v>
      </c>
      <c r="S12" s="702">
        <f t="shared" si="0"/>
        <v>100</v>
      </c>
      <c r="T12" s="701" t="s">
        <v>14</v>
      </c>
      <c r="U12" s="702">
        <f t="shared" si="1"/>
        <v>100</v>
      </c>
      <c r="V12" s="701" t="s">
        <v>14</v>
      </c>
      <c r="W12" s="702">
        <f t="shared" si="2"/>
        <v>100</v>
      </c>
      <c r="X12" s="703"/>
      <c r="Y12" s="386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965"/>
      <c r="Q13" s="1343">
        <f t="shared" si="6"/>
        <v>111</v>
      </c>
      <c r="R13" s="701" t="s">
        <v>14</v>
      </c>
      <c r="S13" s="702">
        <f t="shared" si="0"/>
        <v>100</v>
      </c>
      <c r="T13" s="701" t="s">
        <v>14</v>
      </c>
      <c r="U13" s="702">
        <f t="shared" si="1"/>
        <v>100</v>
      </c>
      <c r="V13" s="701" t="s">
        <v>14</v>
      </c>
      <c r="W13" s="702">
        <f t="shared" si="2"/>
        <v>100</v>
      </c>
      <c r="X13" s="703"/>
      <c r="Y13" s="3869"/>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972" t="s">
        <v>1689</v>
      </c>
      <c r="Q14" s="1352" t="str">
        <f t="shared" si="6"/>
        <v>交通便捷度</v>
      </c>
      <c r="R14" s="705" t="s">
        <v>14</v>
      </c>
      <c r="S14" s="706">
        <f t="shared" si="0"/>
        <v>100</v>
      </c>
      <c r="T14" s="705" t="s">
        <v>14</v>
      </c>
      <c r="U14" s="706">
        <f t="shared" si="1"/>
        <v>100</v>
      </c>
      <c r="V14" s="705" t="s">
        <v>14</v>
      </c>
      <c r="W14" s="706">
        <f t="shared" si="2"/>
        <v>100</v>
      </c>
      <c r="X14" s="1355"/>
      <c r="Y14" s="3972"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973"/>
      <c r="Q15" s="1352"/>
      <c r="R15" s="705"/>
      <c r="S15" s="706"/>
      <c r="T15" s="705"/>
      <c r="U15" s="706"/>
      <c r="V15" s="705"/>
      <c r="W15" s="706"/>
      <c r="X15" s="1355"/>
      <c r="Y15" s="3973"/>
      <c r="Z15" s="1356"/>
      <c r="AA15" s="1353">
        <v>1</v>
      </c>
      <c r="AB15" s="1353">
        <v>1</v>
      </c>
      <c r="AC15" s="1353">
        <v>1</v>
      </c>
    </row>
    <row r="16" spans="1:29" ht="15">
      <c r="A16" s="379"/>
      <c r="B16" s="402" t="s">
        <v>1810</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973"/>
      <c r="Q16" s="1352" t="str">
        <f>B16</f>
        <v>公共配套设施</v>
      </c>
      <c r="R16" s="705" t="s">
        <v>14</v>
      </c>
      <c r="S16" s="706">
        <f>F16</f>
        <v>100</v>
      </c>
      <c r="T16" s="705" t="s">
        <v>14</v>
      </c>
      <c r="U16" s="706">
        <f>H16</f>
        <v>100</v>
      </c>
      <c r="V16" s="705" t="s">
        <v>14</v>
      </c>
      <c r="W16" s="706">
        <f>J16</f>
        <v>100</v>
      </c>
      <c r="X16" s="1355"/>
      <c r="Y16" s="397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973"/>
      <c r="Q17" s="1352"/>
      <c r="R17" s="705"/>
      <c r="S17" s="706"/>
      <c r="T17" s="705"/>
      <c r="U17" s="706"/>
      <c r="V17" s="705"/>
      <c r="W17" s="706"/>
      <c r="X17" s="1355"/>
      <c r="Y17" s="3973"/>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973"/>
      <c r="Q18" s="1352" t="str">
        <f>B18</f>
        <v>基础设施水平</v>
      </c>
      <c r="R18" s="705" t="s">
        <v>14</v>
      </c>
      <c r="S18" s="706">
        <f>F18</f>
        <v>100</v>
      </c>
      <c r="T18" s="705" t="s">
        <v>14</v>
      </c>
      <c r="U18" s="706">
        <f>H18</f>
        <v>100</v>
      </c>
      <c r="V18" s="705" t="s">
        <v>14</v>
      </c>
      <c r="W18" s="706">
        <f>J18</f>
        <v>100</v>
      </c>
      <c r="X18" s="1355"/>
      <c r="Y18" s="397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973"/>
      <c r="Q19" s="1352"/>
      <c r="R19" s="705"/>
      <c r="S19" s="706"/>
      <c r="T19" s="705"/>
      <c r="U19" s="706"/>
      <c r="V19" s="705"/>
      <c r="W19" s="706"/>
      <c r="X19" s="1355"/>
      <c r="Y19" s="3973"/>
      <c r="Z19" s="1356"/>
      <c r="AA19" s="1353">
        <v>1</v>
      </c>
      <c r="AB19" s="1353">
        <v>1</v>
      </c>
      <c r="AC19" s="1353">
        <v>1</v>
      </c>
    </row>
    <row r="20" spans="1:29" ht="15">
      <c r="A20" s="379"/>
      <c r="B20" s="402" t="s">
        <v>1832</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973"/>
      <c r="Q20" s="1352" t="str">
        <f>B20</f>
        <v>自然及人文环境</v>
      </c>
      <c r="R20" s="705" t="s">
        <v>14</v>
      </c>
      <c r="S20" s="706">
        <f>F20</f>
        <v>100</v>
      </c>
      <c r="T20" s="705" t="s">
        <v>14</v>
      </c>
      <c r="U20" s="706">
        <f>H20</f>
        <v>100</v>
      </c>
      <c r="V20" s="705" t="s">
        <v>14</v>
      </c>
      <c r="W20" s="706">
        <f>J20</f>
        <v>100</v>
      </c>
      <c r="X20" s="1355"/>
      <c r="Y20" s="39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973"/>
      <c r="Q21" s="1352"/>
      <c r="R21" s="705"/>
      <c r="S21" s="706"/>
      <c r="T21" s="705"/>
      <c r="U21" s="706"/>
      <c r="V21" s="705"/>
      <c r="W21" s="706"/>
      <c r="X21" s="1355"/>
      <c r="Y21" s="3973"/>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973"/>
      <c r="Q22" s="1352" t="str">
        <f>B22</f>
        <v>楼层</v>
      </c>
      <c r="R22" s="705" t="s">
        <v>14</v>
      </c>
      <c r="S22" s="706">
        <f>F22</f>
        <v>100</v>
      </c>
      <c r="T22" s="705" t="s">
        <v>14</v>
      </c>
      <c r="U22" s="706">
        <f>H22</f>
        <v>100</v>
      </c>
      <c r="V22" s="705" t="s">
        <v>14</v>
      </c>
      <c r="W22" s="706">
        <f>J22</f>
        <v>100</v>
      </c>
      <c r="X22" s="1355"/>
      <c r="Y22" s="397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973"/>
      <c r="Q23" s="1352">
        <f>B23</f>
        <v>111</v>
      </c>
      <c r="R23" s="705" t="s">
        <v>14</v>
      </c>
      <c r="S23" s="706">
        <f>F23</f>
        <v>100</v>
      </c>
      <c r="T23" s="705" t="s">
        <v>14</v>
      </c>
      <c r="U23" s="706">
        <f>H23</f>
        <v>100</v>
      </c>
      <c r="V23" s="705" t="s">
        <v>14</v>
      </c>
      <c r="W23" s="706">
        <f>J23</f>
        <v>100</v>
      </c>
      <c r="X23" s="1355"/>
      <c r="Y23" s="397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973"/>
      <c r="Q24" s="1352">
        <f t="shared" ref="Q24:Q34" si="11">B24</f>
        <v>111</v>
      </c>
      <c r="R24" s="705" t="s">
        <v>14</v>
      </c>
      <c r="S24" s="706">
        <f>F24</f>
        <v>100</v>
      </c>
      <c r="T24" s="705" t="s">
        <v>14</v>
      </c>
      <c r="U24" s="706">
        <f>H24</f>
        <v>100</v>
      </c>
      <c r="V24" s="705" t="s">
        <v>14</v>
      </c>
      <c r="W24" s="706">
        <f>J24</f>
        <v>100</v>
      </c>
      <c r="X24" s="1355"/>
      <c r="Y24" s="397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973"/>
      <c r="Q25" s="1343">
        <f t="shared" si="11"/>
        <v>111</v>
      </c>
      <c r="R25" s="701" t="s">
        <v>14</v>
      </c>
      <c r="S25" s="702">
        <f>F25</f>
        <v>100</v>
      </c>
      <c r="T25" s="701" t="s">
        <v>14</v>
      </c>
      <c r="U25" s="702">
        <f>H25</f>
        <v>100</v>
      </c>
      <c r="V25" s="701" t="s">
        <v>14</v>
      </c>
      <c r="W25" s="702">
        <f>J25</f>
        <v>100</v>
      </c>
      <c r="X25" s="703"/>
      <c r="Y25" s="3973"/>
      <c r="Z25" s="52">
        <f>Q25</f>
        <v>111</v>
      </c>
      <c r="AA25" s="1353">
        <f>D25/F25</f>
        <v>1</v>
      </c>
      <c r="AB25" s="1353">
        <f>D25/H25</f>
        <v>1</v>
      </c>
      <c r="AC25" s="1353">
        <f>D25/J25</f>
        <v>1</v>
      </c>
    </row>
    <row r="26" spans="1:29" ht="27.7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4054"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977"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977"/>
      <c r="Q27" s="707" t="str">
        <f t="shared" si="11"/>
        <v>成新率</v>
      </c>
      <c r="R27" s="708" t="s">
        <v>14</v>
      </c>
      <c r="S27" s="709" t="e">
        <f t="shared" si="12"/>
        <v>#N/A</v>
      </c>
      <c r="T27" s="708" t="s">
        <v>14</v>
      </c>
      <c r="U27" s="709" t="e">
        <f t="shared" si="13"/>
        <v>#N/A</v>
      </c>
      <c r="V27" s="708" t="s">
        <v>14</v>
      </c>
      <c r="W27" s="709" t="e">
        <f t="shared" si="14"/>
        <v>#N/A</v>
      </c>
      <c r="X27" s="710"/>
      <c r="Y27" s="3977"/>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977"/>
      <c r="Q28" s="1352" t="str">
        <f t="shared" si="11"/>
        <v>物业等级</v>
      </c>
      <c r="R28" s="705" t="s">
        <v>14</v>
      </c>
      <c r="S28" s="706">
        <f t="shared" si="12"/>
        <v>100</v>
      </c>
      <c r="T28" s="705" t="s">
        <v>14</v>
      </c>
      <c r="U28" s="706">
        <f t="shared" si="13"/>
        <v>100</v>
      </c>
      <c r="V28" s="705" t="s">
        <v>14</v>
      </c>
      <c r="W28" s="706">
        <f t="shared" si="14"/>
        <v>100</v>
      </c>
      <c r="X28" s="1355"/>
      <c r="Y28" s="3977"/>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977"/>
      <c r="Q29" s="1352" t="str">
        <f t="shared" si="11"/>
        <v>有无电梯</v>
      </c>
      <c r="R29" s="705" t="s">
        <v>14</v>
      </c>
      <c r="S29" s="706">
        <f t="shared" si="12"/>
        <v>100</v>
      </c>
      <c r="T29" s="705" t="s">
        <v>14</v>
      </c>
      <c r="U29" s="706">
        <f t="shared" si="13"/>
        <v>100</v>
      </c>
      <c r="V29" s="705" t="s">
        <v>14</v>
      </c>
      <c r="W29" s="706">
        <f t="shared" si="14"/>
        <v>100</v>
      </c>
      <c r="X29" s="1355"/>
      <c r="Y29" s="3977"/>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977"/>
      <c r="Q30" s="1352" t="str">
        <f t="shared" si="11"/>
        <v>建筑面积</v>
      </c>
      <c r="R30" s="705" t="s">
        <v>14</v>
      </c>
      <c r="S30" s="706" t="e">
        <f t="shared" si="12"/>
        <v>#N/A</v>
      </c>
      <c r="T30" s="705" t="s">
        <v>14</v>
      </c>
      <c r="U30" s="706" t="e">
        <f t="shared" si="13"/>
        <v>#N/A</v>
      </c>
      <c r="V30" s="705" t="s">
        <v>14</v>
      </c>
      <c r="W30" s="706" t="e">
        <f t="shared" si="14"/>
        <v>#N/A</v>
      </c>
      <c r="X30" s="1355"/>
      <c r="Y30" s="3977"/>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977"/>
      <c r="Q31" s="1343" t="str">
        <f t="shared" si="11"/>
        <v>是否封闭</v>
      </c>
      <c r="R31" s="701" t="s">
        <v>14</v>
      </c>
      <c r="S31" s="702">
        <f t="shared" si="12"/>
        <v>100</v>
      </c>
      <c r="T31" s="701" t="s">
        <v>14</v>
      </c>
      <c r="U31" s="702">
        <f t="shared" si="13"/>
        <v>100</v>
      </c>
      <c r="V31" s="701" t="s">
        <v>14</v>
      </c>
      <c r="W31" s="702">
        <f t="shared" si="14"/>
        <v>100</v>
      </c>
      <c r="X31" s="703"/>
      <c r="Y31" s="397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977" t="s">
        <v>1694</v>
      </c>
      <c r="Q32" s="1352">
        <f t="shared" si="11"/>
        <v>111</v>
      </c>
      <c r="R32" s="705" t="s">
        <v>14</v>
      </c>
      <c r="S32" s="706">
        <f t="shared" si="12"/>
        <v>100</v>
      </c>
      <c r="T32" s="705" t="s">
        <v>14</v>
      </c>
      <c r="U32" s="706">
        <f t="shared" si="13"/>
        <v>100</v>
      </c>
      <c r="V32" s="705" t="s">
        <v>14</v>
      </c>
      <c r="W32" s="706">
        <f t="shared" si="14"/>
        <v>100</v>
      </c>
      <c r="X32" s="1355"/>
      <c r="Y32" s="3977"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977"/>
      <c r="Q33" s="1352">
        <f t="shared" si="11"/>
        <v>111</v>
      </c>
      <c r="R33" s="705" t="s">
        <v>14</v>
      </c>
      <c r="S33" s="706">
        <f t="shared" si="12"/>
        <v>100</v>
      </c>
      <c r="T33" s="705" t="s">
        <v>14</v>
      </c>
      <c r="U33" s="706">
        <f t="shared" si="13"/>
        <v>100</v>
      </c>
      <c r="V33" s="705" t="s">
        <v>14</v>
      </c>
      <c r="W33" s="706">
        <f t="shared" si="14"/>
        <v>100</v>
      </c>
      <c r="X33" s="1355"/>
      <c r="Y33" s="397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977"/>
      <c r="Q34" s="1352">
        <f t="shared" si="11"/>
        <v>111</v>
      </c>
      <c r="R34" s="705" t="s">
        <v>14</v>
      </c>
      <c r="S34" s="706">
        <f t="shared" si="12"/>
        <v>100</v>
      </c>
      <c r="T34" s="705" t="s">
        <v>14</v>
      </c>
      <c r="U34" s="706">
        <f t="shared" si="13"/>
        <v>100</v>
      </c>
      <c r="V34" s="705" t="s">
        <v>14</v>
      </c>
      <c r="W34" s="706">
        <f t="shared" si="14"/>
        <v>100</v>
      </c>
      <c r="X34" s="1355"/>
      <c r="Y34" s="3977"/>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2"/>
      <c r="M35" s="2723"/>
      <c r="N35" s="2714"/>
      <c r="O35" s="2723"/>
      <c r="P35" s="3965" t="str">
        <f>A35</f>
        <v>成交单价（元/平方米）</v>
      </c>
      <c r="Q35" s="3965"/>
      <c r="R35" s="3966">
        <f>E35</f>
        <v>0</v>
      </c>
      <c r="S35" s="3966"/>
      <c r="T35" s="3966">
        <f>G35</f>
        <v>0</v>
      </c>
      <c r="U35" s="3966"/>
      <c r="V35" s="3966">
        <f>I35</f>
        <v>0</v>
      </c>
      <c r="W35" s="3966"/>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2"/>
      <c r="M36" s="2723"/>
      <c r="N36" s="2714"/>
      <c r="O36" s="2723"/>
      <c r="P36" s="3965" t="str">
        <f>A36</f>
        <v>比较价值（元/平方米）</v>
      </c>
      <c r="Q36" s="3965"/>
      <c r="R36" s="3966" t="e">
        <f>IF(F1="售价",ROUND(PRODUCT(R35,AA7:AA34),0),ROUND(PRODUCT(R35,AA7:AA34),1))</f>
        <v>#DIV/0!</v>
      </c>
      <c r="S36" s="3966"/>
      <c r="T36" s="3966" t="e">
        <f>IF(F1="售价",ROUND(PRODUCT(T35,AB7:AB34),0),ROUND(PRODUCT(T35,AB7:AB34),1))</f>
        <v>#DIV/0!</v>
      </c>
      <c r="U36" s="3966"/>
      <c r="V36" s="3966" t="e">
        <f>IF(F1="售价",ROUND(PRODUCT(V35,AC7:AC34),0),ROUND(PRODUCT(V35,AC7:AC34),1))</f>
        <v>#DIV/0!</v>
      </c>
      <c r="W36" s="3966"/>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2"/>
      <c r="M37" s="2723"/>
      <c r="N37" s="2723"/>
      <c r="O37" s="2723"/>
      <c r="P37" s="3967" t="str">
        <f>A37</f>
        <v>估价对象XX用房的比较价值（楼面单价，元/平方米）</v>
      </c>
      <c r="Q37" s="3968"/>
      <c r="R37" s="4055" t="e">
        <f>IF(F1="售价",ROUND(IF(D36="简单平均",AVERAGE(R36:W36),R36*F36+T36*H36+V36*J36),0),ROUND(IF(D36="简单平均",AVERAGE(R36:V36),R36*F36+T36*H36+V36*J36),1))</f>
        <v>#DIV/0!</v>
      </c>
      <c r="S37" s="4055"/>
      <c r="T37" s="4055"/>
      <c r="U37" s="4055"/>
      <c r="V37" s="4055"/>
      <c r="W37" s="405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1796</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1677</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1714</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1679</v>
      </c>
      <c r="B49" s="459"/>
      <c r="C49" s="471" t="s">
        <v>1774</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1717</v>
      </c>
      <c r="B51" s="477" t="s">
        <v>1683</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1686</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1861</v>
      </c>
      <c r="C63" s="527" t="s">
        <v>1719</v>
      </c>
      <c r="D63" s="527" t="s">
        <v>1720</v>
      </c>
      <c r="E63" s="527" t="s">
        <v>1721</v>
      </c>
      <c r="F63" s="527" t="s">
        <v>1722</v>
      </c>
      <c r="G63" s="527" t="s">
        <v>1723</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1811</v>
      </c>
      <c r="C65" s="608" t="s">
        <v>1797</v>
      </c>
      <c r="D65" s="608" t="s">
        <v>1798</v>
      </c>
      <c r="E65" s="608" t="s">
        <v>1799</v>
      </c>
      <c r="F65" s="608" t="s">
        <v>1800</v>
      </c>
      <c r="G65" s="608" t="s">
        <v>1801</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1731</v>
      </c>
      <c r="C67" s="527" t="s">
        <v>1719</v>
      </c>
      <c r="D67" s="527" t="s">
        <v>1720</v>
      </c>
      <c r="E67" s="527" t="s">
        <v>1721</v>
      </c>
      <c r="F67" s="527" t="s">
        <v>1722</v>
      </c>
      <c r="G67" s="527" t="s">
        <v>1723</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1850</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1692</v>
      </c>
      <c r="B77" s="477" t="s">
        <v>1738</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1854</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1862</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1864</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1767</v>
      </c>
      <c r="B4" s="356"/>
      <c r="C4" s="3984" t="s">
        <v>1768</v>
      </c>
      <c r="D4" s="3985"/>
      <c r="E4" s="3986" t="s">
        <v>1769</v>
      </c>
      <c r="F4" s="3987"/>
      <c r="G4" s="3984" t="s">
        <v>1770</v>
      </c>
      <c r="H4" s="3985"/>
      <c r="I4" s="3984" t="s">
        <v>1771</v>
      </c>
      <c r="J4" s="3985"/>
      <c r="K4" s="559" t="s">
        <v>1772</v>
      </c>
      <c r="L4" s="2713"/>
      <c r="M4" s="2714"/>
      <c r="N4" s="2714"/>
      <c r="O4" s="2714"/>
      <c r="P4" s="3988" t="s">
        <v>1773</v>
      </c>
      <c r="Q4" s="3989"/>
      <c r="R4" s="3994" t="s">
        <v>1769</v>
      </c>
      <c r="S4" s="3995"/>
      <c r="T4" s="3994" t="s">
        <v>1770</v>
      </c>
      <c r="U4" s="3995"/>
      <c r="V4" s="3979" t="s">
        <v>1771</v>
      </c>
      <c r="W4" s="3979"/>
      <c r="X4" s="1355"/>
      <c r="Y4" s="3994" t="s">
        <v>1773</v>
      </c>
      <c r="Z4" s="3995"/>
      <c r="AA4" s="3981" t="s">
        <v>1769</v>
      </c>
      <c r="AB4" s="3982" t="s">
        <v>1770</v>
      </c>
      <c r="AC4" s="3981" t="s">
        <v>1771</v>
      </c>
    </row>
    <row r="5" spans="1:30" ht="15">
      <c r="A5" s="358"/>
      <c r="B5" s="359"/>
      <c r="C5" s="4009" t="s">
        <v>1671</v>
      </c>
      <c r="D5" s="4008"/>
      <c r="E5" s="4038" t="s">
        <v>1672</v>
      </c>
      <c r="F5" s="4003"/>
      <c r="G5" s="4009" t="s">
        <v>1673</v>
      </c>
      <c r="H5" s="4008"/>
      <c r="I5" s="4009" t="s">
        <v>1674</v>
      </c>
      <c r="J5" s="4008"/>
      <c r="K5" s="559"/>
      <c r="L5" s="2713"/>
      <c r="M5" s="2714"/>
      <c r="N5" s="2714"/>
      <c r="O5" s="2714"/>
      <c r="P5" s="3990"/>
      <c r="Q5" s="3991"/>
      <c r="R5" s="3996"/>
      <c r="S5" s="3997"/>
      <c r="T5" s="3996"/>
      <c r="U5" s="3997"/>
      <c r="V5" s="3979"/>
      <c r="W5" s="3979"/>
      <c r="X5" s="1355"/>
      <c r="Y5" s="3996"/>
      <c r="Z5" s="3997"/>
      <c r="AA5" s="3982"/>
      <c r="AB5" s="3982"/>
      <c r="AC5" s="3982"/>
    </row>
    <row r="6" spans="1:30" ht="15.75" thickBot="1">
      <c r="A6" s="360"/>
      <c r="B6" s="361"/>
      <c r="C6" s="4000" t="s">
        <v>1675</v>
      </c>
      <c r="D6" s="4001"/>
      <c r="E6" s="4010" t="s">
        <v>1675</v>
      </c>
      <c r="F6" s="4011"/>
      <c r="G6" s="4000" t="s">
        <v>1675</v>
      </c>
      <c r="H6" s="4001"/>
      <c r="I6" s="4000" t="s">
        <v>1675</v>
      </c>
      <c r="J6" s="4001"/>
      <c r="K6" s="559" t="s">
        <v>1676</v>
      </c>
      <c r="L6" s="2713"/>
      <c r="M6" s="2714"/>
      <c r="N6" s="2714"/>
      <c r="O6" s="2714"/>
      <c r="P6" s="3992"/>
      <c r="Q6" s="3993"/>
      <c r="R6" s="3996"/>
      <c r="S6" s="3997"/>
      <c r="T6" s="3998"/>
      <c r="U6" s="3999"/>
      <c r="V6" s="3979"/>
      <c r="W6" s="3979"/>
      <c r="X6" s="1355"/>
      <c r="Y6" s="3998"/>
      <c r="Z6" s="3999"/>
      <c r="AA6" s="3983"/>
      <c r="AB6" s="3983"/>
      <c r="AC6" s="3983"/>
    </row>
    <row r="7" spans="1:30" s="108" customFormat="1" ht="15.75" thickBot="1">
      <c r="A7" s="362" t="s">
        <v>1677</v>
      </c>
      <c r="B7" s="363"/>
      <c r="C7" s="364">
        <f>'数据-取费表'!B2</f>
        <v>45583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4004" t="s">
        <v>1678</v>
      </c>
      <c r="Q7" s="4006"/>
      <c r="R7" s="701" t="s">
        <v>14</v>
      </c>
      <c r="S7" s="702">
        <f t="shared" ref="S7:S15" si="0">F7</f>
        <v>0</v>
      </c>
      <c r="T7" s="701" t="s">
        <v>14</v>
      </c>
      <c r="U7" s="702">
        <f t="shared" ref="U7:U15" si="1">H7</f>
        <v>0</v>
      </c>
      <c r="V7" s="701" t="s">
        <v>14</v>
      </c>
      <c r="W7" s="702">
        <f t="shared" ref="W7:W15" si="2">J7</f>
        <v>0</v>
      </c>
      <c r="X7" s="703"/>
      <c r="Y7" s="4004" t="s">
        <v>1678</v>
      </c>
      <c r="Z7" s="4005"/>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4004" t="s">
        <v>1681</v>
      </c>
      <c r="Q8" s="4005"/>
      <c r="R8" s="701" t="s">
        <v>14</v>
      </c>
      <c r="S8" s="702">
        <f t="shared" si="0"/>
        <v>0</v>
      </c>
      <c r="T8" s="701" t="s">
        <v>14</v>
      </c>
      <c r="U8" s="702">
        <f t="shared" si="1"/>
        <v>0</v>
      </c>
      <c r="V8" s="701" t="s">
        <v>14</v>
      </c>
      <c r="W8" s="702">
        <f t="shared" si="2"/>
        <v>0</v>
      </c>
      <c r="X8" s="703"/>
      <c r="Y8" s="4004" t="s">
        <v>1681</v>
      </c>
      <c r="Z8" s="4005"/>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965" t="s">
        <v>1684</v>
      </c>
      <c r="Q9" s="1343" t="str">
        <f t="shared" ref="Q9:Q15" si="6">B9</f>
        <v>用途</v>
      </c>
      <c r="R9" s="701" t="s">
        <v>14</v>
      </c>
      <c r="S9" s="702">
        <f t="shared" si="0"/>
        <v>100</v>
      </c>
      <c r="T9" s="701" t="s">
        <v>14</v>
      </c>
      <c r="U9" s="702">
        <f t="shared" si="1"/>
        <v>100</v>
      </c>
      <c r="V9" s="701" t="s">
        <v>14</v>
      </c>
      <c r="W9" s="702">
        <f t="shared" si="2"/>
        <v>100</v>
      </c>
      <c r="X9" s="703"/>
      <c r="Y9" s="3869"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100</v>
      </c>
      <c r="G10" s="414"/>
      <c r="H10" s="127">
        <f>ROUND(100/'数据-取费表'!G16,0)</f>
        <v>100</v>
      </c>
      <c r="I10" s="414"/>
      <c r="J10" s="127">
        <f>ROUND(100/'数据-取费表'!G16,0)</f>
        <v>100</v>
      </c>
      <c r="K10" s="620"/>
      <c r="L10" s="2717"/>
      <c r="M10" s="2718"/>
      <c r="N10" s="2718"/>
      <c r="O10" s="2771"/>
      <c r="P10" s="3965"/>
      <c r="Q10" s="1343" t="str">
        <f t="shared" si="6"/>
        <v>土地使用年限（年）</v>
      </c>
      <c r="R10" s="701" t="s">
        <v>14</v>
      </c>
      <c r="S10" s="702">
        <f t="shared" si="0"/>
        <v>100</v>
      </c>
      <c r="T10" s="701" t="s">
        <v>14</v>
      </c>
      <c r="U10" s="702">
        <f t="shared" si="1"/>
        <v>100</v>
      </c>
      <c r="V10" s="701" t="s">
        <v>14</v>
      </c>
      <c r="W10" s="702">
        <f t="shared" si="2"/>
        <v>100</v>
      </c>
      <c r="X10" s="703"/>
      <c r="Y10" s="3869"/>
      <c r="Z10" s="52" t="str">
        <f t="shared" si="7"/>
        <v>土地使用年限（年）</v>
      </c>
      <c r="AA10" s="704">
        <f t="shared" si="3"/>
        <v>1</v>
      </c>
      <c r="AB10" s="704">
        <f t="shared" si="4"/>
        <v>1</v>
      </c>
      <c r="AC10" s="704">
        <f t="shared" si="5"/>
        <v>1</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965"/>
      <c r="Q11" s="1343" t="str">
        <f t="shared" si="6"/>
        <v>容积率</v>
      </c>
      <c r="R11" s="701" t="s">
        <v>14</v>
      </c>
      <c r="S11" s="702" t="e">
        <f t="shared" si="0"/>
        <v>#N/A</v>
      </c>
      <c r="T11" s="701" t="s">
        <v>14</v>
      </c>
      <c r="U11" s="702" t="e">
        <f t="shared" si="1"/>
        <v>#N/A</v>
      </c>
      <c r="V11" s="701" t="s">
        <v>14</v>
      </c>
      <c r="W11" s="702" t="e">
        <f t="shared" si="2"/>
        <v>#N/A</v>
      </c>
      <c r="X11" s="703"/>
      <c r="Y11" s="3869"/>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965"/>
      <c r="Q12" s="1343" t="str">
        <f t="shared" si="6"/>
        <v>配建</v>
      </c>
      <c r="R12" s="701" t="s">
        <v>14</v>
      </c>
      <c r="S12" s="702">
        <f t="shared" si="0"/>
        <v>100</v>
      </c>
      <c r="T12" s="701" t="s">
        <v>14</v>
      </c>
      <c r="U12" s="702">
        <f t="shared" si="1"/>
        <v>100</v>
      </c>
      <c r="V12" s="701" t="s">
        <v>14</v>
      </c>
      <c r="W12" s="702">
        <f t="shared" si="2"/>
        <v>100</v>
      </c>
      <c r="X12" s="703"/>
      <c r="Y12" s="386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965"/>
      <c r="Q13" s="1343">
        <f t="shared" si="6"/>
        <v>111</v>
      </c>
      <c r="R13" s="701" t="s">
        <v>14</v>
      </c>
      <c r="S13" s="702">
        <f t="shared" si="0"/>
        <v>100</v>
      </c>
      <c r="T13" s="701" t="s">
        <v>14</v>
      </c>
      <c r="U13" s="702">
        <f t="shared" si="1"/>
        <v>100</v>
      </c>
      <c r="V13" s="701" t="s">
        <v>14</v>
      </c>
      <c r="W13" s="702">
        <f t="shared" si="2"/>
        <v>100</v>
      </c>
      <c r="X13" s="703"/>
      <c r="Y13" s="386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965"/>
      <c r="Q14" s="1343">
        <f t="shared" si="6"/>
        <v>111</v>
      </c>
      <c r="R14" s="701" t="s">
        <v>14</v>
      </c>
      <c r="S14" s="702">
        <f t="shared" si="0"/>
        <v>100</v>
      </c>
      <c r="T14" s="701" t="s">
        <v>14</v>
      </c>
      <c r="U14" s="702">
        <f t="shared" si="1"/>
        <v>100</v>
      </c>
      <c r="V14" s="701" t="s">
        <v>14</v>
      </c>
      <c r="W14" s="702">
        <f t="shared" si="2"/>
        <v>100</v>
      </c>
      <c r="X14" s="703"/>
      <c r="Y14" s="3869"/>
      <c r="Z14" s="52">
        <f t="shared" si="7"/>
        <v>111</v>
      </c>
      <c r="AA14" s="704">
        <f>D14/F14</f>
        <v>1</v>
      </c>
      <c r="AB14" s="704">
        <f>D14/H14</f>
        <v>1</v>
      </c>
      <c r="AC14" s="704">
        <f>D14/J14</f>
        <v>1</v>
      </c>
    </row>
    <row r="15" spans="1:30" ht="15">
      <c r="A15" s="391" t="s">
        <v>1688</v>
      </c>
      <c r="B15" s="61" t="s">
        <v>1255</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972" t="s">
        <v>1689</v>
      </c>
      <c r="Q15" s="1352" t="str">
        <f t="shared" si="6"/>
        <v>居住社区成熟度</v>
      </c>
      <c r="R15" s="705" t="s">
        <v>14</v>
      </c>
      <c r="S15" s="706">
        <f t="shared" si="0"/>
        <v>100</v>
      </c>
      <c r="T15" s="705" t="s">
        <v>14</v>
      </c>
      <c r="U15" s="706">
        <f t="shared" si="1"/>
        <v>100</v>
      </c>
      <c r="V15" s="705" t="s">
        <v>14</v>
      </c>
      <c r="W15" s="706">
        <f t="shared" si="2"/>
        <v>100</v>
      </c>
      <c r="X15" s="1355"/>
      <c r="Y15" s="3972"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973"/>
      <c r="Q16" s="1352"/>
      <c r="R16" s="705"/>
      <c r="S16" s="706"/>
      <c r="T16" s="705"/>
      <c r="U16" s="706"/>
      <c r="V16" s="705"/>
      <c r="W16" s="706"/>
      <c r="X16" s="1355"/>
      <c r="Y16" s="3973"/>
      <c r="Z16" s="1356"/>
      <c r="AA16" s="1353">
        <v>1</v>
      </c>
      <c r="AB16" s="1353">
        <v>1</v>
      </c>
      <c r="AC16" s="1353">
        <v>1</v>
      </c>
    </row>
    <row r="17" spans="1:29" ht="15">
      <c r="A17" s="379"/>
      <c r="B17" s="402" t="s">
        <v>1775</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973"/>
      <c r="Q17" s="1352" t="str">
        <f>B17</f>
        <v>商业繁华度</v>
      </c>
      <c r="R17" s="705" t="s">
        <v>14</v>
      </c>
      <c r="S17" s="706">
        <f>F17</f>
        <v>100</v>
      </c>
      <c r="T17" s="705" t="s">
        <v>14</v>
      </c>
      <c r="U17" s="706">
        <f>H17</f>
        <v>100</v>
      </c>
      <c r="V17" s="705" t="s">
        <v>14</v>
      </c>
      <c r="W17" s="706">
        <f>J17</f>
        <v>100</v>
      </c>
      <c r="X17" s="1355"/>
      <c r="Y17" s="397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973"/>
      <c r="Q18" s="1352"/>
      <c r="R18" s="705"/>
      <c r="S18" s="706"/>
      <c r="T18" s="705"/>
      <c r="U18" s="706"/>
      <c r="V18" s="705"/>
      <c r="W18" s="706"/>
      <c r="X18" s="1355"/>
      <c r="Y18" s="3973"/>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973"/>
      <c r="Q19" s="1352" t="str">
        <f>B19</f>
        <v>办公集聚程度</v>
      </c>
      <c r="R19" s="705" t="s">
        <v>14</v>
      </c>
      <c r="S19" s="706">
        <f>F19</f>
        <v>100</v>
      </c>
      <c r="T19" s="705" t="s">
        <v>14</v>
      </c>
      <c r="U19" s="706">
        <f>H19</f>
        <v>100</v>
      </c>
      <c r="V19" s="705" t="s">
        <v>14</v>
      </c>
      <c r="W19" s="706">
        <f>J19</f>
        <v>100</v>
      </c>
      <c r="X19" s="1355"/>
      <c r="Y19" s="397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973"/>
      <c r="Q20" s="1352"/>
      <c r="R20" s="705"/>
      <c r="S20" s="706"/>
      <c r="T20" s="705"/>
      <c r="U20" s="706"/>
      <c r="V20" s="705"/>
      <c r="W20" s="706"/>
      <c r="X20" s="1355"/>
      <c r="Y20" s="3973"/>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973"/>
      <c r="Q21" s="1352" t="str">
        <f>B21</f>
        <v>交通便捷度</v>
      </c>
      <c r="R21" s="705" t="s">
        <v>14</v>
      </c>
      <c r="S21" s="706">
        <f>F21</f>
        <v>100</v>
      </c>
      <c r="T21" s="705" t="s">
        <v>14</v>
      </c>
      <c r="U21" s="706">
        <f>H21</f>
        <v>100</v>
      </c>
      <c r="V21" s="705" t="s">
        <v>14</v>
      </c>
      <c r="W21" s="706">
        <f>J21</f>
        <v>100</v>
      </c>
      <c r="X21" s="1355"/>
      <c r="Y21" s="397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973"/>
      <c r="Q22" s="1352"/>
      <c r="R22" s="705"/>
      <c r="S22" s="706"/>
      <c r="T22" s="705"/>
      <c r="U22" s="706"/>
      <c r="V22" s="705"/>
      <c r="W22" s="706"/>
      <c r="X22" s="1355"/>
      <c r="Y22" s="3973"/>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973"/>
      <c r="Q23" s="1352" t="str">
        <f t="shared" ref="Q23:Q37" si="8">B23</f>
        <v>区域土地利用方向</v>
      </c>
      <c r="R23" s="705" t="s">
        <v>14</v>
      </c>
      <c r="S23" s="706">
        <f>F23</f>
        <v>100</v>
      </c>
      <c r="T23" s="705" t="s">
        <v>14</v>
      </c>
      <c r="U23" s="706">
        <f>H23</f>
        <v>100</v>
      </c>
      <c r="V23" s="705" t="s">
        <v>14</v>
      </c>
      <c r="W23" s="706">
        <f>J23</f>
        <v>100</v>
      </c>
      <c r="X23" s="1355"/>
      <c r="Y23" s="397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973"/>
      <c r="Q24" s="1352"/>
      <c r="R24" s="705"/>
      <c r="S24" s="706"/>
      <c r="T24" s="705"/>
      <c r="U24" s="706"/>
      <c r="V24" s="705"/>
      <c r="W24" s="706"/>
      <c r="X24" s="1355"/>
      <c r="Y24" s="3973"/>
      <c r="Z24" s="1356"/>
      <c r="AA24" s="1353"/>
      <c r="AB24" s="1353"/>
      <c r="AC24" s="1353"/>
    </row>
    <row r="25" spans="1:29" ht="27">
      <c r="A25" s="358"/>
      <c r="B25" s="1131" t="s">
        <v>1870</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973"/>
      <c r="Q25" s="1352" t="str">
        <f t="shared" si="8"/>
        <v>自然及人文环境状况</v>
      </c>
      <c r="R25" s="705" t="s">
        <v>14</v>
      </c>
      <c r="S25" s="706">
        <f>F25</f>
        <v>100</v>
      </c>
      <c r="T25" s="705" t="s">
        <v>14</v>
      </c>
      <c r="U25" s="706">
        <f>H25</f>
        <v>100</v>
      </c>
      <c r="V25" s="705" t="s">
        <v>14</v>
      </c>
      <c r="W25" s="706">
        <f>J25</f>
        <v>100</v>
      </c>
      <c r="X25" s="1355"/>
      <c r="Y25" s="397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973"/>
      <c r="Q26" s="1352"/>
      <c r="R26" s="705"/>
      <c r="S26" s="706"/>
      <c r="T26" s="705"/>
      <c r="U26" s="706"/>
      <c r="V26" s="705"/>
      <c r="W26" s="706"/>
      <c r="X26" s="1355"/>
      <c r="Y26" s="3973"/>
      <c r="Z26" s="1356"/>
      <c r="AA26" s="1353">
        <v>1</v>
      </c>
      <c r="AB26" s="1353">
        <v>1</v>
      </c>
      <c r="AC26" s="1353">
        <v>1</v>
      </c>
    </row>
    <row r="27" spans="1:29" s="108" customFormat="1" ht="15">
      <c r="A27" s="597"/>
      <c r="B27" s="1131" t="s">
        <v>1776</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973"/>
      <c r="Q27" s="1343" t="str">
        <f t="shared" si="8"/>
        <v>公共配套设施</v>
      </c>
      <c r="R27" s="701" t="s">
        <v>14</v>
      </c>
      <c r="S27" s="702">
        <f>F27</f>
        <v>100</v>
      </c>
      <c r="T27" s="701" t="s">
        <v>14</v>
      </c>
      <c r="U27" s="702">
        <f>H27</f>
        <v>100</v>
      </c>
      <c r="V27" s="701" t="s">
        <v>14</v>
      </c>
      <c r="W27" s="702">
        <f>J27</f>
        <v>100</v>
      </c>
      <c r="X27" s="703"/>
      <c r="Y27" s="397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973"/>
      <c r="Q28" s="1343"/>
      <c r="R28" s="701"/>
      <c r="S28" s="702"/>
      <c r="T28" s="701"/>
      <c r="U28" s="702"/>
      <c r="V28" s="701"/>
      <c r="W28" s="702"/>
      <c r="X28" s="703"/>
      <c r="Y28" s="3973"/>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973"/>
      <c r="Q29" s="1343" t="str">
        <f t="shared" ref="Q29" si="9">B29</f>
        <v>基础设施水平</v>
      </c>
      <c r="R29" s="701" t="s">
        <v>14</v>
      </c>
      <c r="S29" s="702">
        <f>F29</f>
        <v>100</v>
      </c>
      <c r="T29" s="701" t="s">
        <v>14</v>
      </c>
      <c r="U29" s="702">
        <f>H29</f>
        <v>100</v>
      </c>
      <c r="V29" s="701" t="s">
        <v>14</v>
      </c>
      <c r="W29" s="702">
        <f>J29</f>
        <v>100</v>
      </c>
      <c r="X29" s="703"/>
      <c r="Y29" s="397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973"/>
      <c r="Q30" s="1343"/>
      <c r="R30" s="701"/>
      <c r="S30" s="702"/>
      <c r="T30" s="701"/>
      <c r="U30" s="702"/>
      <c r="V30" s="701"/>
      <c r="W30" s="702"/>
      <c r="X30" s="703"/>
      <c r="Y30" s="3973"/>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97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973"/>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973"/>
      <c r="Q32" s="1352" t="str">
        <f t="shared" si="8"/>
        <v>毗邻道路的类型与等级</v>
      </c>
      <c r="R32" s="705" t="s">
        <v>14</v>
      </c>
      <c r="S32" s="706">
        <f t="shared" si="10"/>
        <v>100</v>
      </c>
      <c r="T32" s="705" t="s">
        <v>14</v>
      </c>
      <c r="U32" s="706">
        <f t="shared" si="11"/>
        <v>100</v>
      </c>
      <c r="V32" s="705" t="s">
        <v>14</v>
      </c>
      <c r="W32" s="706">
        <f t="shared" si="12"/>
        <v>100</v>
      </c>
      <c r="X32" s="1355"/>
      <c r="Y32" s="397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973"/>
      <c r="Q33" s="1352"/>
      <c r="R33" s="705"/>
      <c r="S33" s="706"/>
      <c r="T33" s="705"/>
      <c r="U33" s="706"/>
      <c r="V33" s="705"/>
      <c r="W33" s="706"/>
      <c r="X33" s="1355"/>
      <c r="Y33" s="3973"/>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973"/>
      <c r="Q34" s="1352" t="str">
        <f t="shared" si="8"/>
        <v>土地级别</v>
      </c>
      <c r="R34" s="705" t="s">
        <v>14</v>
      </c>
      <c r="S34" s="706">
        <f t="shared" si="10"/>
        <v>100</v>
      </c>
      <c r="T34" s="705" t="s">
        <v>14</v>
      </c>
      <c r="U34" s="706">
        <f t="shared" si="11"/>
        <v>100</v>
      </c>
      <c r="V34" s="705" t="s">
        <v>14</v>
      </c>
      <c r="W34" s="706">
        <f t="shared" si="12"/>
        <v>100</v>
      </c>
      <c r="X34" s="1355"/>
      <c r="Y34" s="397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973"/>
      <c r="Q35" s="1352">
        <f t="shared" si="8"/>
        <v>111</v>
      </c>
      <c r="R35" s="705" t="s">
        <v>14</v>
      </c>
      <c r="S35" s="706">
        <f t="shared" si="10"/>
        <v>100</v>
      </c>
      <c r="T35" s="705" t="s">
        <v>14</v>
      </c>
      <c r="U35" s="706">
        <f t="shared" si="11"/>
        <v>100</v>
      </c>
      <c r="V35" s="705" t="s">
        <v>14</v>
      </c>
      <c r="W35" s="706">
        <f t="shared" si="12"/>
        <v>100</v>
      </c>
      <c r="X35" s="1355"/>
      <c r="Y35" s="397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4054" t="s">
        <v>1694</v>
      </c>
      <c r="Q36" s="1352">
        <f t="shared" si="8"/>
        <v>111</v>
      </c>
      <c r="R36" s="705" t="s">
        <v>14</v>
      </c>
      <c r="S36" s="706">
        <f t="shared" si="10"/>
        <v>100</v>
      </c>
      <c r="T36" s="705" t="s">
        <v>14</v>
      </c>
      <c r="U36" s="706">
        <f t="shared" si="11"/>
        <v>100</v>
      </c>
      <c r="V36" s="705" t="s">
        <v>14</v>
      </c>
      <c r="W36" s="706">
        <f t="shared" si="12"/>
        <v>100</v>
      </c>
      <c r="X36" s="1355"/>
      <c r="Y36" s="3977"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977"/>
      <c r="Q37" s="1352">
        <f t="shared" si="8"/>
        <v>111</v>
      </c>
      <c r="R37" s="708" t="s">
        <v>14</v>
      </c>
      <c r="S37" s="709">
        <f t="shared" si="10"/>
        <v>100</v>
      </c>
      <c r="T37" s="708" t="s">
        <v>14</v>
      </c>
      <c r="U37" s="709">
        <f t="shared" si="11"/>
        <v>100</v>
      </c>
      <c r="V37" s="708" t="s">
        <v>14</v>
      </c>
      <c r="W37" s="709">
        <f t="shared" si="12"/>
        <v>100</v>
      </c>
      <c r="X37" s="710"/>
      <c r="Y37" s="3977"/>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977"/>
      <c r="Q38" s="1352" t="str">
        <f>B38</f>
        <v>宗地面积</v>
      </c>
      <c r="R38" s="705" t="s">
        <v>14</v>
      </c>
      <c r="S38" s="706" t="e">
        <f t="shared" si="10"/>
        <v>#N/A</v>
      </c>
      <c r="T38" s="705" t="s">
        <v>14</v>
      </c>
      <c r="U38" s="706" t="e">
        <f t="shared" si="11"/>
        <v>#N/A</v>
      </c>
      <c r="V38" s="705" t="s">
        <v>14</v>
      </c>
      <c r="W38" s="706" t="e">
        <f t="shared" si="12"/>
        <v>#N/A</v>
      </c>
      <c r="X38" s="1355"/>
      <c r="Y38" s="3977"/>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977"/>
      <c r="Q39" s="1352" t="str">
        <f t="shared" ref="Q39:Q45" si="14">B39</f>
        <v>宗地形状</v>
      </c>
      <c r="R39" s="705" t="s">
        <v>14</v>
      </c>
      <c r="S39" s="706">
        <f t="shared" si="10"/>
        <v>100</v>
      </c>
      <c r="T39" s="705" t="s">
        <v>14</v>
      </c>
      <c r="U39" s="706">
        <f t="shared" si="11"/>
        <v>100</v>
      </c>
      <c r="V39" s="705" t="s">
        <v>14</v>
      </c>
      <c r="W39" s="706">
        <f t="shared" si="12"/>
        <v>100</v>
      </c>
      <c r="X39" s="1355"/>
      <c r="Y39" s="3977"/>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977"/>
      <c r="Q40" s="1352" t="str">
        <f t="shared" si="14"/>
        <v>临街宽度及深度</v>
      </c>
      <c r="R40" s="705" t="s">
        <v>14</v>
      </c>
      <c r="S40" s="706">
        <f t="shared" si="10"/>
        <v>100</v>
      </c>
      <c r="T40" s="705" t="s">
        <v>14</v>
      </c>
      <c r="U40" s="706">
        <f t="shared" si="11"/>
        <v>100</v>
      </c>
      <c r="V40" s="705" t="s">
        <v>14</v>
      </c>
      <c r="W40" s="706">
        <f t="shared" si="12"/>
        <v>100</v>
      </c>
      <c r="X40" s="1355"/>
      <c r="Y40" s="3977"/>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977"/>
      <c r="Q41" s="1352" t="str">
        <f t="shared" si="14"/>
        <v>宗地开发程度</v>
      </c>
      <c r="R41" s="701" t="s">
        <v>14</v>
      </c>
      <c r="S41" s="702">
        <f t="shared" si="10"/>
        <v>100</v>
      </c>
      <c r="T41" s="701" t="s">
        <v>14</v>
      </c>
      <c r="U41" s="702">
        <f t="shared" si="11"/>
        <v>100</v>
      </c>
      <c r="V41" s="701" t="s">
        <v>14</v>
      </c>
      <c r="W41" s="702">
        <f t="shared" si="12"/>
        <v>100</v>
      </c>
      <c r="X41" s="703"/>
      <c r="Y41" s="3977"/>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977" t="s">
        <v>1694</v>
      </c>
      <c r="Q42" s="1352" t="str">
        <f t="shared" si="14"/>
        <v>工程地质条件</v>
      </c>
      <c r="R42" s="705" t="s">
        <v>14</v>
      </c>
      <c r="S42" s="706">
        <f t="shared" si="10"/>
        <v>100</v>
      </c>
      <c r="T42" s="705" t="s">
        <v>14</v>
      </c>
      <c r="U42" s="706">
        <f t="shared" si="11"/>
        <v>100</v>
      </c>
      <c r="V42" s="705" t="s">
        <v>14</v>
      </c>
      <c r="W42" s="706">
        <f t="shared" si="12"/>
        <v>100</v>
      </c>
      <c r="X42" s="1355"/>
      <c r="Y42" s="3977"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977"/>
      <c r="Q43" s="1352">
        <f t="shared" si="14"/>
        <v>111</v>
      </c>
      <c r="R43" s="705" t="s">
        <v>14</v>
      </c>
      <c r="S43" s="706">
        <f t="shared" si="10"/>
        <v>100</v>
      </c>
      <c r="T43" s="705" t="s">
        <v>14</v>
      </c>
      <c r="U43" s="706">
        <f t="shared" si="11"/>
        <v>100</v>
      </c>
      <c r="V43" s="705" t="s">
        <v>14</v>
      </c>
      <c r="W43" s="706">
        <f t="shared" si="12"/>
        <v>100</v>
      </c>
      <c r="X43" s="1355"/>
      <c r="Y43" s="397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977"/>
      <c r="Q44" s="1352">
        <f t="shared" si="14"/>
        <v>111</v>
      </c>
      <c r="R44" s="705" t="s">
        <v>14</v>
      </c>
      <c r="S44" s="706">
        <f t="shared" si="10"/>
        <v>100</v>
      </c>
      <c r="T44" s="705" t="s">
        <v>14</v>
      </c>
      <c r="U44" s="706">
        <f t="shared" si="11"/>
        <v>100</v>
      </c>
      <c r="V44" s="705" t="s">
        <v>14</v>
      </c>
      <c r="W44" s="706">
        <f t="shared" si="12"/>
        <v>100</v>
      </c>
      <c r="X44" s="1355"/>
      <c r="Y44" s="397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977"/>
      <c r="Q45" s="1352">
        <f t="shared" si="14"/>
        <v>111</v>
      </c>
      <c r="R45" s="708" t="s">
        <v>14</v>
      </c>
      <c r="S45" s="709">
        <f t="shared" si="10"/>
        <v>100</v>
      </c>
      <c r="T45" s="708" t="s">
        <v>14</v>
      </c>
      <c r="U45" s="709">
        <f t="shared" si="11"/>
        <v>100</v>
      </c>
      <c r="V45" s="708" t="s">
        <v>14</v>
      </c>
      <c r="W45" s="709">
        <f t="shared" si="12"/>
        <v>100</v>
      </c>
      <c r="X45" s="710"/>
      <c r="Y45" s="3977"/>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2"/>
      <c r="M46" s="2723"/>
      <c r="N46" s="2714"/>
      <c r="O46" s="2723"/>
      <c r="P46" s="3965" t="str">
        <f>A46</f>
        <v>成交单价</v>
      </c>
      <c r="Q46" s="3965"/>
      <c r="R46" s="3979">
        <f>E46</f>
        <v>0</v>
      </c>
      <c r="S46" s="3979"/>
      <c r="T46" s="3979">
        <f>G46</f>
        <v>0</v>
      </c>
      <c r="U46" s="3979"/>
      <c r="V46" s="3979">
        <f>I46</f>
        <v>0</v>
      </c>
      <c r="W46" s="3979"/>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2"/>
      <c r="M47" s="2723"/>
      <c r="N47" s="2723"/>
      <c r="O47" s="2723"/>
      <c r="P47" s="3965" t="str">
        <f>A47</f>
        <v>比较价值（元/平方米）</v>
      </c>
      <c r="Q47" s="3965"/>
      <c r="R47" s="4056" t="e">
        <f>ROUND(PRODUCT(R46,AA7:AA45),0)</f>
        <v>#DIV/0!</v>
      </c>
      <c r="S47" s="4056"/>
      <c r="T47" s="4056" t="e">
        <f>ROUND(PRODUCT(T46,AB7:AB45),0)</f>
        <v>#DIV/0!</v>
      </c>
      <c r="U47" s="4056"/>
      <c r="V47" s="4056" t="e">
        <f>ROUND(PRODUCT(V46,AC7:AC45),0)</f>
        <v>#DIV/0!</v>
      </c>
      <c r="W47" s="4056"/>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2"/>
      <c r="M48" s="2723"/>
      <c r="N48" s="2723"/>
      <c r="O48" s="2723"/>
      <c r="P48" s="3967" t="str">
        <f>A48</f>
        <v>估价对象XX用房的比较价值（楼面单价，元/平方米）</v>
      </c>
      <c r="Q48" s="3968"/>
      <c r="R48" s="4057" t="e">
        <f>ROUND(IF(D47="简单平均",AVERAGE(R47:W47),R47*F47+T47*H47+V47*J47),0)</f>
        <v>#DIV/0!</v>
      </c>
      <c r="S48" s="4057"/>
      <c r="T48" s="4057"/>
      <c r="U48" s="4057"/>
      <c r="V48" s="4057"/>
      <c r="W48" s="405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1879</v>
      </c>
      <c r="B55" s="633" t="s">
        <v>1880</v>
      </c>
      <c r="C55" s="1983" t="s">
        <v>1881</v>
      </c>
      <c r="D55" s="1984" t="s">
        <v>1882</v>
      </c>
      <c r="E55" s="634" t="s">
        <v>1883</v>
      </c>
      <c r="F55" s="890" t="s">
        <v>1884</v>
      </c>
      <c r="G55" s="3984" t="s">
        <v>1885</v>
      </c>
      <c r="H55" s="4058"/>
      <c r="I55" s="135" t="s">
        <v>1886</v>
      </c>
      <c r="J55" s="1985">
        <f>项目基本情况!F35</f>
        <v>0</v>
      </c>
      <c r="K55" s="1986" t="s">
        <v>1887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1888</v>
      </c>
      <c r="B56" s="637" t="e">
        <f>C48</f>
        <v>#DIV/0!</v>
      </c>
      <c r="C56" s="638">
        <v>1</v>
      </c>
      <c r="D56" s="944">
        <v>1</v>
      </c>
      <c r="E56" s="638">
        <f>'数据-汇总表'!E8+'数据-汇总表'!E9</f>
        <v>468.48</v>
      </c>
      <c r="F56" s="886" t="e">
        <f t="shared" ref="F56:F64" si="15">ROUND(B56*E56/10000,0)</f>
        <v>#DIV/0!</v>
      </c>
      <c r="G56" s="3980"/>
      <c r="H56" s="396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1889</v>
      </c>
      <c r="B57" s="218" t="e">
        <f>ROUND($C$48*C57*D57,0)</f>
        <v>#DIV/0!</v>
      </c>
      <c r="C57" s="171">
        <f t="shared" ref="C57:C64" si="16">IF($C$55="北京市系数",I57,J57)</f>
        <v>0</v>
      </c>
      <c r="D57" s="945">
        <v>0.25</v>
      </c>
      <c r="E57" s="642"/>
      <c r="F57" s="886" t="e">
        <f t="shared" si="15"/>
        <v>#DIV/0!</v>
      </c>
      <c r="G57" s="3004" t="s">
        <v>1890</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1891</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1892</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1901</v>
      </c>
      <c r="B65" s="644" t="s">
        <v>22</v>
      </c>
      <c r="C65" s="644" t="s">
        <v>23</v>
      </c>
      <c r="D65" s="644" t="s">
        <v>392</v>
      </c>
      <c r="E65" s="644">
        <f>IF(B46="楼面地价",SUM(E56:E64),'数据-汇总表'!D3)</f>
        <v>468.48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3"/>
      <c r="Q67" s="2723"/>
      <c r="R67" s="2723"/>
      <c r="S67" s="2723"/>
      <c r="T67" s="2723"/>
      <c r="U67" s="2723"/>
      <c r="V67" s="2723"/>
      <c r="W67" s="2723"/>
      <c r="X67" s="2723"/>
      <c r="Y67" s="2723"/>
      <c r="Z67" s="2723"/>
      <c r="AA67" s="2723"/>
      <c r="AB67" s="2723"/>
      <c r="AC67" s="2723"/>
    </row>
    <row r="68" spans="1:29" ht="21.75" thickBot="1">
      <c r="A68" s="694" t="s">
        <v>1796</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1902</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1714</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1679</v>
      </c>
      <c r="B72" s="459"/>
      <c r="C72" s="471" t="s">
        <v>1774</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1717</v>
      </c>
      <c r="B74" s="477" t="s">
        <v>1683</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1686</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1688</v>
      </c>
      <c r="B87" s="477" t="s">
        <v>1718</v>
      </c>
      <c r="C87" s="522" t="s">
        <v>1719</v>
      </c>
      <c r="D87" s="522" t="s">
        <v>1720</v>
      </c>
      <c r="E87" s="522" t="s">
        <v>1721</v>
      </c>
      <c r="F87" s="522" t="s">
        <v>1722</v>
      </c>
      <c r="G87" s="522" t="s">
        <v>1723</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1904</v>
      </c>
      <c r="C89" s="527" t="s">
        <v>1719</v>
      </c>
      <c r="D89" s="527" t="s">
        <v>1720</v>
      </c>
      <c r="E89" s="527" t="s">
        <v>1721</v>
      </c>
      <c r="F89" s="527" t="s">
        <v>1722</v>
      </c>
      <c r="G89" s="527" t="s">
        <v>1723</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1819</v>
      </c>
      <c r="C91" s="527" t="s">
        <v>1719</v>
      </c>
      <c r="D91" s="527" t="s">
        <v>1720</v>
      </c>
      <c r="E91" s="527" t="s">
        <v>1721</v>
      </c>
      <c r="F91" s="527" t="s">
        <v>1722</v>
      </c>
      <c r="G91" s="527" t="s">
        <v>1723</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1724</v>
      </c>
      <c r="C93" s="527" t="s">
        <v>1719</v>
      </c>
      <c r="D93" s="527" t="s">
        <v>1720</v>
      </c>
      <c r="E93" s="527" t="s">
        <v>1721</v>
      </c>
      <c r="F93" s="527" t="s">
        <v>1722</v>
      </c>
      <c r="G93" s="527" t="s">
        <v>1723</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1813</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1871</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1912</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1913</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1914</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1915</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984" t="s">
        <v>1768</v>
      </c>
      <c r="D4" s="3985"/>
      <c r="E4" s="3986" t="s">
        <v>1769</v>
      </c>
      <c r="F4" s="3987"/>
      <c r="G4" s="3984" t="s">
        <v>1770</v>
      </c>
      <c r="H4" s="3985"/>
      <c r="I4" s="3984" t="s">
        <v>1771</v>
      </c>
      <c r="J4" s="3985"/>
      <c r="K4" s="559" t="s">
        <v>1772</v>
      </c>
      <c r="L4" s="2713"/>
      <c r="M4" s="2714"/>
      <c r="N4" s="2714"/>
      <c r="O4" s="2714"/>
      <c r="P4" s="3988" t="s">
        <v>1773</v>
      </c>
      <c r="Q4" s="3989"/>
      <c r="R4" s="3994" t="s">
        <v>1769</v>
      </c>
      <c r="S4" s="3995"/>
      <c r="T4" s="3994" t="s">
        <v>1770</v>
      </c>
      <c r="U4" s="3995"/>
      <c r="V4" s="3979" t="s">
        <v>1771</v>
      </c>
      <c r="W4" s="3979"/>
      <c r="X4" s="1355"/>
      <c r="Y4" s="3994" t="s">
        <v>1773</v>
      </c>
      <c r="Z4" s="3995"/>
      <c r="AA4" s="3981" t="s">
        <v>1769</v>
      </c>
      <c r="AB4" s="3982" t="s">
        <v>1770</v>
      </c>
      <c r="AC4" s="3981" t="s">
        <v>1771</v>
      </c>
    </row>
    <row r="5" spans="1:29" ht="15">
      <c r="A5" s="358"/>
      <c r="B5" s="359"/>
      <c r="C5" s="4009" t="s">
        <v>1671</v>
      </c>
      <c r="D5" s="4008"/>
      <c r="E5" s="4038" t="s">
        <v>1672</v>
      </c>
      <c r="F5" s="4003"/>
      <c r="G5" s="4009" t="s">
        <v>1673</v>
      </c>
      <c r="H5" s="4008"/>
      <c r="I5" s="4009" t="s">
        <v>1674</v>
      </c>
      <c r="J5" s="4008"/>
      <c r="K5" s="559"/>
      <c r="L5" s="2713"/>
      <c r="M5" s="2714"/>
      <c r="N5" s="2714"/>
      <c r="O5" s="2714"/>
      <c r="P5" s="3990"/>
      <c r="Q5" s="3991"/>
      <c r="R5" s="3996"/>
      <c r="S5" s="3997"/>
      <c r="T5" s="3996"/>
      <c r="U5" s="3997"/>
      <c r="V5" s="3979"/>
      <c r="W5" s="3979"/>
      <c r="X5" s="1355"/>
      <c r="Y5" s="3996"/>
      <c r="Z5" s="3997"/>
      <c r="AA5" s="3982"/>
      <c r="AB5" s="3982"/>
      <c r="AC5" s="3982"/>
    </row>
    <row r="6" spans="1:29" ht="15.75" thickBot="1">
      <c r="A6" s="360"/>
      <c r="B6" s="361"/>
      <c r="C6" s="4059" t="s">
        <v>1917</v>
      </c>
      <c r="D6" s="4060"/>
      <c r="E6" s="4061" t="s">
        <v>1917</v>
      </c>
      <c r="F6" s="4062"/>
      <c r="G6" s="4059" t="s">
        <v>1917</v>
      </c>
      <c r="H6" s="4060"/>
      <c r="I6" s="4059" t="s">
        <v>1917</v>
      </c>
      <c r="J6" s="4060"/>
      <c r="K6" s="559" t="s">
        <v>1676</v>
      </c>
      <c r="L6" s="2713"/>
      <c r="M6" s="2714"/>
      <c r="N6" s="2714"/>
      <c r="O6" s="2714"/>
      <c r="P6" s="3992"/>
      <c r="Q6" s="3993"/>
      <c r="R6" s="3996"/>
      <c r="S6" s="3997"/>
      <c r="T6" s="3998"/>
      <c r="U6" s="3999"/>
      <c r="V6" s="3979"/>
      <c r="W6" s="3979"/>
      <c r="X6" s="1355"/>
      <c r="Y6" s="3998"/>
      <c r="Z6" s="3999"/>
      <c r="AA6" s="3983"/>
      <c r="AB6" s="3983"/>
      <c r="AC6" s="3983"/>
    </row>
    <row r="7" spans="1:29" s="108" customFormat="1" ht="15.75" thickBot="1">
      <c r="A7" s="362" t="s">
        <v>1677</v>
      </c>
      <c r="B7" s="363"/>
      <c r="C7" s="364">
        <f>'数据-取费表'!B2</f>
        <v>45583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4004" t="s">
        <v>1678</v>
      </c>
      <c r="Q7" s="4006"/>
      <c r="R7" s="701" t="s">
        <v>14</v>
      </c>
      <c r="S7" s="702">
        <f t="shared" ref="S7:S15" si="0">F7</f>
        <v>0</v>
      </c>
      <c r="T7" s="701" t="s">
        <v>14</v>
      </c>
      <c r="U7" s="702">
        <f t="shared" ref="U7:U15" si="1">H7</f>
        <v>0</v>
      </c>
      <c r="V7" s="701" t="s">
        <v>14</v>
      </c>
      <c r="W7" s="702">
        <f t="shared" ref="W7:W15" si="2">J7</f>
        <v>0</v>
      </c>
      <c r="X7" s="703"/>
      <c r="Y7" s="4004" t="s">
        <v>1678</v>
      </c>
      <c r="Z7" s="4005"/>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4004" t="s">
        <v>1681</v>
      </c>
      <c r="Q8" s="4005"/>
      <c r="R8" s="701" t="s">
        <v>14</v>
      </c>
      <c r="S8" s="702">
        <f t="shared" si="0"/>
        <v>0</v>
      </c>
      <c r="T8" s="701" t="s">
        <v>14</v>
      </c>
      <c r="U8" s="702">
        <f t="shared" si="1"/>
        <v>0</v>
      </c>
      <c r="V8" s="701" t="s">
        <v>14</v>
      </c>
      <c r="W8" s="702">
        <f t="shared" si="2"/>
        <v>0</v>
      </c>
      <c r="X8" s="703"/>
      <c r="Y8" s="4004" t="s">
        <v>1681</v>
      </c>
      <c r="Z8" s="4005"/>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965" t="s">
        <v>1684</v>
      </c>
      <c r="Q9" s="1343" t="str">
        <f t="shared" ref="Q9:Q15" si="6">B9</f>
        <v>用途</v>
      </c>
      <c r="R9" s="701" t="s">
        <v>14</v>
      </c>
      <c r="S9" s="702">
        <f t="shared" si="0"/>
        <v>100</v>
      </c>
      <c r="T9" s="701" t="s">
        <v>14</v>
      </c>
      <c r="U9" s="702">
        <f t="shared" si="1"/>
        <v>100</v>
      </c>
      <c r="V9" s="701" t="s">
        <v>14</v>
      </c>
      <c r="W9" s="702">
        <f t="shared" si="2"/>
        <v>100</v>
      </c>
      <c r="X9" s="703"/>
      <c r="Y9" s="3869"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100</v>
      </c>
      <c r="G10" s="383"/>
      <c r="H10" s="127">
        <f>ROUND(100/'数据-取费表'!G16,0)</f>
        <v>100</v>
      </c>
      <c r="I10" s="383"/>
      <c r="J10" s="127">
        <f>ROUND(100/'数据-取费表'!G16,0)</f>
        <v>100</v>
      </c>
      <c r="K10" s="620"/>
      <c r="L10" s="2717"/>
      <c r="M10" s="2718"/>
      <c r="N10" s="2718"/>
      <c r="O10" s="2771"/>
      <c r="P10" s="3965"/>
      <c r="Q10" s="1343" t="str">
        <f t="shared" si="6"/>
        <v>土地使用年限（年）</v>
      </c>
      <c r="R10" s="701" t="s">
        <v>14</v>
      </c>
      <c r="S10" s="702">
        <f t="shared" si="0"/>
        <v>100</v>
      </c>
      <c r="T10" s="701" t="s">
        <v>14</v>
      </c>
      <c r="U10" s="702">
        <f t="shared" si="1"/>
        <v>100</v>
      </c>
      <c r="V10" s="701" t="s">
        <v>14</v>
      </c>
      <c r="W10" s="702">
        <f t="shared" si="2"/>
        <v>100</v>
      </c>
      <c r="X10" s="703"/>
      <c r="Y10" s="3869"/>
      <c r="Z10" s="52" t="str">
        <f t="shared" si="7"/>
        <v>土地使用年限（年）</v>
      </c>
      <c r="AA10" s="704">
        <f t="shared" si="3"/>
        <v>1</v>
      </c>
      <c r="AB10" s="704">
        <f t="shared" si="4"/>
        <v>1</v>
      </c>
      <c r="AC10" s="704">
        <f t="shared" si="5"/>
        <v>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965"/>
      <c r="Q11" s="1343" t="str">
        <f t="shared" si="6"/>
        <v>容积率</v>
      </c>
      <c r="R11" s="701" t="s">
        <v>14</v>
      </c>
      <c r="S11" s="702" t="e">
        <f t="shared" si="0"/>
        <v>#N/A</v>
      </c>
      <c r="T11" s="701" t="s">
        <v>14</v>
      </c>
      <c r="U11" s="702" t="e">
        <f t="shared" si="1"/>
        <v>#N/A</v>
      </c>
      <c r="V11" s="701" t="s">
        <v>14</v>
      </c>
      <c r="W11" s="702" t="e">
        <f t="shared" si="2"/>
        <v>#N/A</v>
      </c>
      <c r="X11" s="703"/>
      <c r="Y11" s="386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965"/>
      <c r="Q12" s="1343">
        <f t="shared" si="6"/>
        <v>111</v>
      </c>
      <c r="R12" s="701" t="s">
        <v>14</v>
      </c>
      <c r="S12" s="702">
        <f t="shared" si="0"/>
        <v>100</v>
      </c>
      <c r="T12" s="701" t="s">
        <v>14</v>
      </c>
      <c r="U12" s="702">
        <f t="shared" si="1"/>
        <v>100</v>
      </c>
      <c r="V12" s="701" t="s">
        <v>14</v>
      </c>
      <c r="W12" s="702">
        <f t="shared" si="2"/>
        <v>100</v>
      </c>
      <c r="X12" s="703"/>
      <c r="Y12" s="386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965"/>
      <c r="Q13" s="1343">
        <f t="shared" si="6"/>
        <v>111</v>
      </c>
      <c r="R13" s="701" t="s">
        <v>14</v>
      </c>
      <c r="S13" s="702">
        <f t="shared" si="0"/>
        <v>100</v>
      </c>
      <c r="T13" s="701" t="s">
        <v>14</v>
      </c>
      <c r="U13" s="702">
        <f t="shared" si="1"/>
        <v>100</v>
      </c>
      <c r="V13" s="701" t="s">
        <v>14</v>
      </c>
      <c r="W13" s="702">
        <f t="shared" si="2"/>
        <v>100</v>
      </c>
      <c r="X13" s="703"/>
      <c r="Y13" s="386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965"/>
      <c r="Q14" s="1343">
        <f t="shared" si="6"/>
        <v>111</v>
      </c>
      <c r="R14" s="701" t="s">
        <v>14</v>
      </c>
      <c r="S14" s="702">
        <f t="shared" si="0"/>
        <v>100</v>
      </c>
      <c r="T14" s="701" t="s">
        <v>14</v>
      </c>
      <c r="U14" s="702">
        <f t="shared" si="1"/>
        <v>100</v>
      </c>
      <c r="V14" s="701" t="s">
        <v>14</v>
      </c>
      <c r="W14" s="702">
        <f t="shared" si="2"/>
        <v>100</v>
      </c>
      <c r="X14" s="703"/>
      <c r="Y14" s="3869"/>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972" t="s">
        <v>1689</v>
      </c>
      <c r="Q15" s="1352" t="str">
        <f t="shared" si="6"/>
        <v>产业集聚程度</v>
      </c>
      <c r="R15" s="705" t="s">
        <v>14</v>
      </c>
      <c r="S15" s="706">
        <f t="shared" si="0"/>
        <v>100</v>
      </c>
      <c r="T15" s="705" t="s">
        <v>14</v>
      </c>
      <c r="U15" s="706">
        <f t="shared" si="1"/>
        <v>100</v>
      </c>
      <c r="V15" s="705" t="s">
        <v>14</v>
      </c>
      <c r="W15" s="706">
        <f t="shared" si="2"/>
        <v>100</v>
      </c>
      <c r="X15" s="1355"/>
      <c r="Y15" s="3972"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973"/>
      <c r="Q16" s="1352"/>
      <c r="R16" s="705"/>
      <c r="S16" s="706"/>
      <c r="T16" s="705"/>
      <c r="U16" s="706"/>
      <c r="V16" s="705"/>
      <c r="W16" s="706"/>
      <c r="X16" s="1355"/>
      <c r="Y16" s="3973"/>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973"/>
      <c r="Q17" s="1352" t="str">
        <f>B17</f>
        <v>交通便捷度</v>
      </c>
      <c r="R17" s="705" t="s">
        <v>14</v>
      </c>
      <c r="S17" s="706">
        <f>F17</f>
        <v>100</v>
      </c>
      <c r="T17" s="705" t="s">
        <v>14</v>
      </c>
      <c r="U17" s="706">
        <f>H17</f>
        <v>100</v>
      </c>
      <c r="V17" s="705" t="s">
        <v>14</v>
      </c>
      <c r="W17" s="706">
        <f>J17</f>
        <v>100</v>
      </c>
      <c r="X17" s="1355"/>
      <c r="Y17" s="397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973"/>
      <c r="Q18" s="1352"/>
      <c r="R18" s="705"/>
      <c r="S18" s="706"/>
      <c r="T18" s="705"/>
      <c r="U18" s="706"/>
      <c r="V18" s="705"/>
      <c r="W18" s="706"/>
      <c r="X18" s="1355"/>
      <c r="Y18" s="3973"/>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973"/>
      <c r="Q19" s="1352" t="str">
        <f t="shared" ref="Q19:Q33" si="8">B19</f>
        <v>区域土地利用方向</v>
      </c>
      <c r="R19" s="705" t="s">
        <v>14</v>
      </c>
      <c r="S19" s="706">
        <f>F19</f>
        <v>100</v>
      </c>
      <c r="T19" s="705" t="s">
        <v>14</v>
      </c>
      <c r="U19" s="706">
        <f>H19</f>
        <v>100</v>
      </c>
      <c r="V19" s="705" t="s">
        <v>14</v>
      </c>
      <c r="W19" s="706">
        <f>J19</f>
        <v>100</v>
      </c>
      <c r="X19" s="1355"/>
      <c r="Y19" s="397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973"/>
      <c r="Q20" s="1352"/>
      <c r="R20" s="705"/>
      <c r="S20" s="706"/>
      <c r="T20" s="705"/>
      <c r="U20" s="706"/>
      <c r="V20" s="705"/>
      <c r="W20" s="706"/>
      <c r="X20" s="1355"/>
      <c r="Y20" s="3973"/>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973"/>
      <c r="Q21" s="1352" t="str">
        <f t="shared" si="8"/>
        <v>环境状况</v>
      </c>
      <c r="R21" s="705" t="s">
        <v>14</v>
      </c>
      <c r="S21" s="706">
        <f>F21</f>
        <v>100</v>
      </c>
      <c r="T21" s="705" t="s">
        <v>14</v>
      </c>
      <c r="U21" s="706">
        <f>H21</f>
        <v>100</v>
      </c>
      <c r="V21" s="705" t="s">
        <v>14</v>
      </c>
      <c r="W21" s="706">
        <f>J21</f>
        <v>100</v>
      </c>
      <c r="X21" s="1355"/>
      <c r="Y21" s="397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973"/>
      <c r="Q22" s="1352"/>
      <c r="R22" s="705"/>
      <c r="S22" s="706"/>
      <c r="T22" s="705"/>
      <c r="U22" s="706"/>
      <c r="V22" s="705"/>
      <c r="W22" s="706"/>
      <c r="X22" s="1355"/>
      <c r="Y22" s="3973"/>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973"/>
      <c r="Q23" s="1343" t="str">
        <f t="shared" si="8"/>
        <v>公共配套设施</v>
      </c>
      <c r="R23" s="701" t="s">
        <v>14</v>
      </c>
      <c r="S23" s="702">
        <f>F23</f>
        <v>100</v>
      </c>
      <c r="T23" s="701" t="s">
        <v>14</v>
      </c>
      <c r="U23" s="702">
        <f>H23</f>
        <v>100</v>
      </c>
      <c r="V23" s="701" t="s">
        <v>14</v>
      </c>
      <c r="W23" s="702">
        <f>J23</f>
        <v>100</v>
      </c>
      <c r="X23" s="703"/>
      <c r="Y23" s="397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973"/>
      <c r="Q24" s="1343"/>
      <c r="R24" s="701"/>
      <c r="S24" s="702"/>
      <c r="T24" s="701"/>
      <c r="U24" s="702"/>
      <c r="V24" s="701"/>
      <c r="W24" s="702"/>
      <c r="X24" s="703"/>
      <c r="Y24" s="3973"/>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973"/>
      <c r="Q25" s="1343" t="str">
        <f t="shared" ref="Q25" si="9">B25</f>
        <v>基础设施水平</v>
      </c>
      <c r="R25" s="701" t="s">
        <v>14</v>
      </c>
      <c r="S25" s="702">
        <f>F25</f>
        <v>100</v>
      </c>
      <c r="T25" s="701" t="s">
        <v>14</v>
      </c>
      <c r="U25" s="702">
        <f>H25</f>
        <v>100</v>
      </c>
      <c r="V25" s="701" t="s">
        <v>14</v>
      </c>
      <c r="W25" s="702">
        <f>J25</f>
        <v>100</v>
      </c>
      <c r="X25" s="703"/>
      <c r="Y25" s="397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973"/>
      <c r="Q26" s="1343"/>
      <c r="R26" s="701"/>
      <c r="S26" s="702"/>
      <c r="T26" s="701"/>
      <c r="U26" s="702"/>
      <c r="V26" s="701"/>
      <c r="W26" s="702"/>
      <c r="X26" s="703"/>
      <c r="Y26" s="3973"/>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97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973"/>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973"/>
      <c r="Q28" s="1352" t="str">
        <f t="shared" si="8"/>
        <v>毗邻道路的类型与等级</v>
      </c>
      <c r="R28" s="705" t="s">
        <v>14</v>
      </c>
      <c r="S28" s="706">
        <f t="shared" si="10"/>
        <v>100</v>
      </c>
      <c r="T28" s="705" t="s">
        <v>14</v>
      </c>
      <c r="U28" s="706">
        <f t="shared" si="11"/>
        <v>100</v>
      </c>
      <c r="V28" s="705" t="s">
        <v>14</v>
      </c>
      <c r="W28" s="706">
        <f t="shared" si="12"/>
        <v>100</v>
      </c>
      <c r="X28" s="1355"/>
      <c r="Y28" s="397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973"/>
      <c r="Q29" s="1352"/>
      <c r="R29" s="705"/>
      <c r="S29" s="706"/>
      <c r="T29" s="705"/>
      <c r="U29" s="706"/>
      <c r="V29" s="705"/>
      <c r="W29" s="706"/>
      <c r="X29" s="1355"/>
      <c r="Y29" s="3973"/>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973"/>
      <c r="Q30" s="1352" t="str">
        <f t="shared" si="8"/>
        <v>土地级别</v>
      </c>
      <c r="R30" s="705" t="s">
        <v>14</v>
      </c>
      <c r="S30" s="706">
        <f t="shared" si="10"/>
        <v>100</v>
      </c>
      <c r="T30" s="705" t="s">
        <v>14</v>
      </c>
      <c r="U30" s="706">
        <f t="shared" si="11"/>
        <v>100</v>
      </c>
      <c r="V30" s="705" t="s">
        <v>14</v>
      </c>
      <c r="W30" s="706">
        <f t="shared" si="12"/>
        <v>100</v>
      </c>
      <c r="X30" s="1355"/>
      <c r="Y30" s="397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973"/>
      <c r="Q31" s="1352">
        <f t="shared" si="8"/>
        <v>111</v>
      </c>
      <c r="R31" s="705" t="s">
        <v>14</v>
      </c>
      <c r="S31" s="706">
        <f t="shared" si="10"/>
        <v>100</v>
      </c>
      <c r="T31" s="705" t="s">
        <v>14</v>
      </c>
      <c r="U31" s="706">
        <f t="shared" si="11"/>
        <v>100</v>
      </c>
      <c r="V31" s="705" t="s">
        <v>14</v>
      </c>
      <c r="W31" s="706">
        <f t="shared" si="12"/>
        <v>100</v>
      </c>
      <c r="X31" s="1355"/>
      <c r="Y31" s="397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4054" t="s">
        <v>1694</v>
      </c>
      <c r="Q32" s="1352">
        <f t="shared" si="8"/>
        <v>111</v>
      </c>
      <c r="R32" s="705" t="s">
        <v>14</v>
      </c>
      <c r="S32" s="706">
        <f t="shared" si="10"/>
        <v>100</v>
      </c>
      <c r="T32" s="705" t="s">
        <v>14</v>
      </c>
      <c r="U32" s="706">
        <f t="shared" si="11"/>
        <v>100</v>
      </c>
      <c r="V32" s="705" t="s">
        <v>14</v>
      </c>
      <c r="W32" s="706">
        <f t="shared" si="12"/>
        <v>100</v>
      </c>
      <c r="X32" s="1355"/>
      <c r="Y32" s="3977"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977"/>
      <c r="Q33" s="1352">
        <f t="shared" si="8"/>
        <v>111</v>
      </c>
      <c r="R33" s="708" t="s">
        <v>14</v>
      </c>
      <c r="S33" s="709">
        <f t="shared" si="10"/>
        <v>100</v>
      </c>
      <c r="T33" s="708" t="s">
        <v>14</v>
      </c>
      <c r="U33" s="709">
        <f t="shared" si="11"/>
        <v>100</v>
      </c>
      <c r="V33" s="708" t="s">
        <v>14</v>
      </c>
      <c r="W33" s="709">
        <f t="shared" si="12"/>
        <v>100</v>
      </c>
      <c r="X33" s="710"/>
      <c r="Y33" s="3977"/>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977"/>
      <c r="Q34" s="1352" t="str">
        <f>B34</f>
        <v>宗地面积</v>
      </c>
      <c r="R34" s="705" t="s">
        <v>14</v>
      </c>
      <c r="S34" s="706" t="e">
        <f t="shared" si="10"/>
        <v>#N/A</v>
      </c>
      <c r="T34" s="705" t="s">
        <v>14</v>
      </c>
      <c r="U34" s="706" t="e">
        <f t="shared" si="11"/>
        <v>#N/A</v>
      </c>
      <c r="V34" s="705" t="s">
        <v>14</v>
      </c>
      <c r="W34" s="706" t="e">
        <f t="shared" si="12"/>
        <v>#N/A</v>
      </c>
      <c r="X34" s="1355"/>
      <c r="Y34" s="3977"/>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977"/>
      <c r="Q35" s="1352" t="str">
        <f t="shared" ref="Q35:Q40" si="14">B35</f>
        <v>宗地形状</v>
      </c>
      <c r="R35" s="705" t="s">
        <v>14</v>
      </c>
      <c r="S35" s="706">
        <f t="shared" si="10"/>
        <v>100</v>
      </c>
      <c r="T35" s="705" t="s">
        <v>14</v>
      </c>
      <c r="U35" s="706">
        <f t="shared" si="11"/>
        <v>100</v>
      </c>
      <c r="V35" s="705" t="s">
        <v>14</v>
      </c>
      <c r="W35" s="706">
        <f t="shared" si="12"/>
        <v>100</v>
      </c>
      <c r="X35" s="1355"/>
      <c r="Y35" s="3977"/>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977"/>
      <c r="Q36" s="1352" t="str">
        <f t="shared" si="14"/>
        <v>宗地开发程度</v>
      </c>
      <c r="R36" s="701" t="s">
        <v>14</v>
      </c>
      <c r="S36" s="702">
        <f t="shared" si="10"/>
        <v>100</v>
      </c>
      <c r="T36" s="701" t="s">
        <v>14</v>
      </c>
      <c r="U36" s="702">
        <f t="shared" si="11"/>
        <v>100</v>
      </c>
      <c r="V36" s="701" t="s">
        <v>14</v>
      </c>
      <c r="W36" s="702">
        <f t="shared" si="12"/>
        <v>100</v>
      </c>
      <c r="X36" s="703"/>
      <c r="Y36" s="3977"/>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977" t="s">
        <v>1694</v>
      </c>
      <c r="Q37" s="1352" t="str">
        <f t="shared" si="14"/>
        <v>工程地质条件</v>
      </c>
      <c r="R37" s="705" t="s">
        <v>14</v>
      </c>
      <c r="S37" s="706">
        <f t="shared" si="10"/>
        <v>100</v>
      </c>
      <c r="T37" s="705" t="s">
        <v>14</v>
      </c>
      <c r="U37" s="706">
        <f t="shared" si="11"/>
        <v>100</v>
      </c>
      <c r="V37" s="705" t="s">
        <v>14</v>
      </c>
      <c r="W37" s="706">
        <f t="shared" si="12"/>
        <v>100</v>
      </c>
      <c r="X37" s="1355"/>
      <c r="Y37" s="3977"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977"/>
      <c r="Q38" s="1352">
        <f t="shared" si="14"/>
        <v>111</v>
      </c>
      <c r="R38" s="705" t="s">
        <v>14</v>
      </c>
      <c r="S38" s="706">
        <f t="shared" si="10"/>
        <v>100</v>
      </c>
      <c r="T38" s="705" t="s">
        <v>14</v>
      </c>
      <c r="U38" s="706">
        <f t="shared" si="11"/>
        <v>100</v>
      </c>
      <c r="V38" s="705" t="s">
        <v>14</v>
      </c>
      <c r="W38" s="706">
        <f t="shared" si="12"/>
        <v>100</v>
      </c>
      <c r="X38" s="1355"/>
      <c r="Y38" s="397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977"/>
      <c r="Q39" s="1352">
        <f t="shared" si="14"/>
        <v>111</v>
      </c>
      <c r="R39" s="705" t="s">
        <v>14</v>
      </c>
      <c r="S39" s="706">
        <f t="shared" si="10"/>
        <v>100</v>
      </c>
      <c r="T39" s="705" t="s">
        <v>14</v>
      </c>
      <c r="U39" s="706">
        <f t="shared" si="11"/>
        <v>100</v>
      </c>
      <c r="V39" s="705" t="s">
        <v>14</v>
      </c>
      <c r="W39" s="706">
        <f t="shared" si="12"/>
        <v>100</v>
      </c>
      <c r="X39" s="1355"/>
      <c r="Y39" s="397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977"/>
      <c r="Q40" s="1352">
        <f t="shared" si="14"/>
        <v>111</v>
      </c>
      <c r="R40" s="708" t="s">
        <v>14</v>
      </c>
      <c r="S40" s="709">
        <f t="shared" si="10"/>
        <v>100</v>
      </c>
      <c r="T40" s="708" t="s">
        <v>14</v>
      </c>
      <c r="U40" s="709">
        <f t="shared" si="11"/>
        <v>100</v>
      </c>
      <c r="V40" s="708" t="s">
        <v>14</v>
      </c>
      <c r="W40" s="709">
        <f t="shared" si="12"/>
        <v>100</v>
      </c>
      <c r="X40" s="710"/>
      <c r="Y40" s="3977"/>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2"/>
      <c r="M41" s="2714"/>
      <c r="N41" s="2714"/>
      <c r="O41" s="2723"/>
      <c r="P41" s="3965" t="str">
        <f>A41</f>
        <v>成交单价</v>
      </c>
      <c r="Q41" s="3965"/>
      <c r="R41" s="3979">
        <f>E41</f>
        <v>0</v>
      </c>
      <c r="S41" s="3979"/>
      <c r="T41" s="3979">
        <f>G41</f>
        <v>0</v>
      </c>
      <c r="U41" s="3979"/>
      <c r="V41" s="3979">
        <f>I41</f>
        <v>0</v>
      </c>
      <c r="W41" s="3979"/>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2"/>
      <c r="M42" s="2714"/>
      <c r="N42" s="2714"/>
      <c r="O42" s="2723"/>
      <c r="P42" s="3965" t="str">
        <f>A42</f>
        <v>比较价值（元/平方米）</v>
      </c>
      <c r="Q42" s="3965"/>
      <c r="R42" s="4056" t="e">
        <f>ROUND(PRODUCT(R41,AA7:AA40),0)</f>
        <v>#DIV/0!</v>
      </c>
      <c r="S42" s="4056"/>
      <c r="T42" s="4056" t="e">
        <f>ROUND(PRODUCT(T41,AB7:AB40),0)</f>
        <v>#DIV/0!</v>
      </c>
      <c r="U42" s="4056"/>
      <c r="V42" s="4056" t="e">
        <f>ROUND(PRODUCT(V41,AC7:AC40),0)</f>
        <v>#DIV/0!</v>
      </c>
      <c r="W42" s="4056"/>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2"/>
      <c r="M43" s="2714"/>
      <c r="N43" s="2714"/>
      <c r="O43" s="2723"/>
      <c r="P43" s="3967" t="str">
        <f>A43</f>
        <v>估价对象XX用房的比较价值（楼面单价，元/平方米）</v>
      </c>
      <c r="Q43" s="3968"/>
      <c r="R43" s="4057" t="e">
        <f>ROUND(IF(D42="简单平均",AVERAGE(R42:W42),R42*F42+T42*H42+V42*J42),0)</f>
        <v>#DIV/0!</v>
      </c>
      <c r="S43" s="4057"/>
      <c r="T43" s="4057"/>
      <c r="U43" s="4057"/>
      <c r="V43" s="4057"/>
      <c r="W43" s="405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1879</v>
      </c>
      <c r="B50" s="633" t="s">
        <v>1880</v>
      </c>
      <c r="C50" s="1983" t="s">
        <v>1881</v>
      </c>
      <c r="D50" s="1984" t="s">
        <v>1882</v>
      </c>
      <c r="E50" s="634" t="s">
        <v>1883</v>
      </c>
      <c r="F50" s="635" t="s">
        <v>1884</v>
      </c>
      <c r="G50" s="3984" t="s">
        <v>1885</v>
      </c>
      <c r="H50" s="4058"/>
      <c r="I50" s="1356" t="s">
        <v>1921</v>
      </c>
      <c r="J50" s="1356">
        <f>项目基本情况!F35</f>
        <v>0</v>
      </c>
      <c r="K50" s="1986" t="s">
        <v>1887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1888</v>
      </c>
      <c r="B51" s="637" t="e">
        <f>C43</f>
        <v>#DIV/0!</v>
      </c>
      <c r="C51" s="638">
        <v>1</v>
      </c>
      <c r="D51" s="944">
        <v>1</v>
      </c>
      <c r="E51" s="638">
        <f>'数据-汇总表'!E8+'数据-汇总表'!E9</f>
        <v>468.48</v>
      </c>
      <c r="F51" s="639" t="e">
        <f t="shared" ref="F51:F60" si="15">ROUND(B51*E51/10000,0)</f>
        <v>#DIV/0!</v>
      </c>
      <c r="G51" s="3980"/>
      <c r="H51" s="396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1889</v>
      </c>
      <c r="B52" s="218" t="e">
        <f>ROUND($C$43*C52*D52,0)</f>
        <v>#DIV/0!</v>
      </c>
      <c r="C52" s="171">
        <f t="shared" ref="C52:C60" si="16">IF($C$50="北京市系数",I52,J52)</f>
        <v>0</v>
      </c>
      <c r="D52" s="945">
        <v>0.25</v>
      </c>
      <c r="E52" s="642"/>
      <c r="F52" s="639" t="e">
        <f t="shared" si="15"/>
        <v>#DIV/0!</v>
      </c>
      <c r="G52" s="3004" t="s">
        <v>1890</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1891</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1892</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4" t="s">
        <v>1796</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1902</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1714</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1679</v>
      </c>
      <c r="B68" s="459"/>
      <c r="C68" s="471" t="s">
        <v>1774</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1717</v>
      </c>
      <c r="B70" s="477" t="s">
        <v>1683</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1686</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1688</v>
      </c>
      <c r="B83" s="477" t="s">
        <v>1827</v>
      </c>
      <c r="C83" s="522" t="s">
        <v>1719</v>
      </c>
      <c r="D83" s="522" t="s">
        <v>1720</v>
      </c>
      <c r="E83" s="522" t="s">
        <v>1721</v>
      </c>
      <c r="F83" s="522" t="s">
        <v>1722</v>
      </c>
      <c r="G83" s="522" t="s">
        <v>1723</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1724</v>
      </c>
      <c r="C85" s="527" t="s">
        <v>1719</v>
      </c>
      <c r="D85" s="527" t="s">
        <v>1720</v>
      </c>
      <c r="E85" s="527" t="s">
        <v>1721</v>
      </c>
      <c r="F85" s="527" t="s">
        <v>1722</v>
      </c>
      <c r="G85" s="527" t="s">
        <v>1723</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1813</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1871</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4066" t="s">
        <v>2082</v>
      </c>
      <c r="D1" s="4067"/>
      <c r="E1" s="4067"/>
      <c r="F1" s="4067"/>
      <c r="G1" s="4067"/>
      <c r="H1" s="4067"/>
      <c r="I1" s="4067"/>
      <c r="J1" s="4067"/>
      <c r="K1" s="4067"/>
      <c r="L1" s="4067"/>
      <c r="M1" s="4067"/>
      <c r="N1" s="4067"/>
      <c r="O1" s="4067"/>
      <c r="P1" s="4067"/>
      <c r="Q1" s="4067"/>
      <c r="R1" s="4067"/>
      <c r="S1" s="4068"/>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4063" t="s">
        <v>27</v>
      </c>
      <c r="D22" s="4064"/>
      <c r="E22" s="4064"/>
      <c r="F22" s="4064"/>
      <c r="G22" s="4064"/>
      <c r="H22" s="4064"/>
      <c r="I22" s="4064"/>
      <c r="J22" s="4064"/>
      <c r="K22" s="4064"/>
      <c r="L22" s="4064"/>
      <c r="M22" s="4064"/>
      <c r="N22" s="4064"/>
      <c r="O22" s="4064"/>
      <c r="P22" s="4064"/>
      <c r="Q22" s="4065"/>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1"/>
      <c r="G1" s="2791"/>
      <c r="H1" s="2791"/>
      <c r="I1" s="2791"/>
      <c r="J1" s="2791"/>
      <c r="K1" s="2791"/>
      <c r="L1" s="2791"/>
      <c r="M1" s="2791"/>
      <c r="N1" s="2791"/>
      <c r="O1" s="2791"/>
      <c r="P1" s="2791"/>
    </row>
    <row r="2" spans="1:16" ht="15.75">
      <c r="A2" s="2145" t="s">
        <v>2071</v>
      </c>
      <c r="B2" s="2600" t="e">
        <f ca="1">SUMIF(B6:B13,"&lt;&gt;#ref!",B6:B13)</f>
        <v>#DIV/0!</v>
      </c>
      <c r="C2" s="2145" t="s">
        <v>2072</v>
      </c>
      <c r="D2" s="2145" t="s">
        <v>2073</v>
      </c>
      <c r="E2" s="2610">
        <f ca="1">SUMIF(E6:E13,"&lt;&gt;#ref!",E6:E13)</f>
        <v>468.48</v>
      </c>
      <c r="F2" s="2791"/>
      <c r="G2" s="2791"/>
      <c r="H2" s="2791"/>
      <c r="I2" s="2791"/>
      <c r="J2" s="2791"/>
      <c r="K2" s="2791"/>
      <c r="L2" s="2791"/>
      <c r="M2" s="2791"/>
      <c r="N2" s="2791"/>
      <c r="O2" s="2791"/>
      <c r="P2" s="2791"/>
    </row>
    <row r="3" spans="1:16" ht="15.75">
      <c r="A3" s="2145" t="s">
        <v>2074</v>
      </c>
      <c r="B3" s="2600" t="e">
        <f ca="1">ROUND(B2*10000/E2,0)</f>
        <v>#DIV/0!</v>
      </c>
      <c r="C3" s="2145"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2075</v>
      </c>
      <c r="B5" s="2608" t="s">
        <v>2076</v>
      </c>
      <c r="C5" s="2146"/>
      <c r="D5" s="2791"/>
      <c r="E5" s="2609" t="s">
        <v>2077</v>
      </c>
      <c r="F5" s="2791"/>
      <c r="G5" s="2791"/>
      <c r="H5" s="2791"/>
      <c r="I5" s="2791"/>
      <c r="J5" s="2791"/>
      <c r="K5" s="2791"/>
      <c r="L5" s="2791"/>
      <c r="M5" s="2791"/>
      <c r="N5" s="2791"/>
      <c r="O5" s="2791"/>
      <c r="P5" s="2791"/>
    </row>
    <row r="6" spans="1:16" ht="15.75">
      <c r="A6" s="2607" t="s">
        <v>2078</v>
      </c>
      <c r="B6" s="2600" t="e">
        <f ca="1">SUMIF(INDIRECT("'"&amp;A6&amp;"'"&amp;"!A:A"),"总价",INDIRECT("'"&amp;A6&amp;"'"&amp;"!B:B"))</f>
        <v>#DIV/0!</v>
      </c>
      <c r="C6" s="2145" t="s">
        <v>2072</v>
      </c>
      <c r="D6" s="2791"/>
      <c r="E6" s="2610">
        <f ca="1">SUMIF(INDIRECT("'"&amp;A6&amp;"'"&amp;"!C:C"),"建筑面积",INDIRECT("'"&amp;A6&amp;"'"&amp;"!D:D"))</f>
        <v>468.48</v>
      </c>
      <c r="F6" s="2791"/>
      <c r="G6" s="2791"/>
      <c r="H6" s="2791"/>
      <c r="I6" s="2791"/>
      <c r="J6" s="2791"/>
      <c r="K6" s="2791"/>
      <c r="L6" s="2791"/>
      <c r="M6" s="2791"/>
      <c r="N6" s="2791"/>
      <c r="O6" s="2791"/>
      <c r="P6" s="2791"/>
    </row>
    <row r="7" spans="1:16" ht="15.75">
      <c r="A7" s="2607"/>
      <c r="B7" s="2600" t="e">
        <f ca="1">SUMIF(INDIRECT("'"&amp;A7&amp;"'"&amp;"!A:A"),"总价",INDIRECT("'"&amp;A7&amp;"'"&amp;"!B:B"))</f>
        <v>#REF!</v>
      </c>
      <c r="C7" s="2145" t="s">
        <v>2072</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2072</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2072</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2072</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2072</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2072</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2072</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7"/>
  <sheetViews>
    <sheetView zoomScale="70" zoomScaleNormal="70" zoomScaleSheetLayoutView="85" workbookViewId="0">
      <selection activeCell="E68" sqref="E68"/>
    </sheetView>
  </sheetViews>
  <sheetFormatPr defaultColWidth="9" defaultRowHeight="14.25"/>
  <cols>
    <col min="1" max="1" width="9" style="3762"/>
    <col min="2" max="2" width="16" style="3762" customWidth="1"/>
    <col min="3" max="3" width="13.125" style="3762" customWidth="1"/>
    <col min="4" max="4" width="20.75" style="3762" customWidth="1"/>
    <col min="5" max="5" width="25.375" style="3763" customWidth="1"/>
    <col min="6" max="6" width="12.5" style="3762" customWidth="1"/>
    <col min="7" max="7" width="11.25" style="3762" customWidth="1"/>
    <col min="8" max="8" width="22.375" style="3762" customWidth="1"/>
    <col min="9" max="9" width="15.625" style="3762" customWidth="1"/>
    <col min="10" max="10" width="30.875" style="3762" customWidth="1"/>
    <col min="11" max="11" width="11.875" style="3762" customWidth="1"/>
    <col min="12" max="16384" width="9" style="3762"/>
  </cols>
  <sheetData>
    <row r="1" spans="1:11" s="3753" customFormat="1" ht="31.5">
      <c r="A1" s="3751" t="s">
        <v>3907</v>
      </c>
      <c r="B1" s="3751" t="s">
        <v>4373</v>
      </c>
      <c r="C1" s="3752" t="s">
        <v>4374</v>
      </c>
      <c r="D1" s="3752" t="s">
        <v>4375</v>
      </c>
      <c r="E1" s="3752" t="s">
        <v>4376</v>
      </c>
      <c r="F1" s="3752" t="s">
        <v>4377</v>
      </c>
      <c r="G1" s="3752" t="s">
        <v>2497</v>
      </c>
      <c r="H1" s="3751" t="s">
        <v>4378</v>
      </c>
      <c r="I1" s="3752" t="s">
        <v>4379</v>
      </c>
      <c r="J1" s="3752" t="s">
        <v>4380</v>
      </c>
      <c r="K1" s="3752" t="s">
        <v>672</v>
      </c>
    </row>
    <row r="2" spans="1:11" s="3759" customFormat="1" ht="15" hidden="1">
      <c r="A2" s="3754">
        <v>1</v>
      </c>
      <c r="B2" s="3755">
        <v>1</v>
      </c>
      <c r="C2" s="3755" t="s">
        <v>4381</v>
      </c>
      <c r="D2" s="3756" t="s">
        <v>4382</v>
      </c>
      <c r="E2" s="3757">
        <v>125.97</v>
      </c>
      <c r="F2" s="3758">
        <v>45005</v>
      </c>
      <c r="G2" s="3758">
        <v>46891</v>
      </c>
      <c r="H2" s="3759">
        <f t="shared" ref="H2:H65" si="0">ROUND(I2/E2/30,2)</f>
        <v>7.93</v>
      </c>
      <c r="I2" s="3757">
        <v>29980.86</v>
      </c>
      <c r="J2" s="3760" t="s">
        <v>4383</v>
      </c>
      <c r="K2" s="3759" t="s">
        <v>4384</v>
      </c>
    </row>
    <row r="3" spans="1:11" s="3759" customFormat="1" ht="15" hidden="1">
      <c r="A3" s="3754">
        <v>2</v>
      </c>
      <c r="B3" s="3755">
        <v>2</v>
      </c>
      <c r="C3" s="3755" t="s">
        <v>4385</v>
      </c>
      <c r="D3" s="3756" t="s">
        <v>4382</v>
      </c>
      <c r="E3" s="3757">
        <v>92.5</v>
      </c>
      <c r="F3" s="3758">
        <v>45050</v>
      </c>
      <c r="G3" s="3758">
        <v>45248</v>
      </c>
      <c r="H3" s="3759">
        <f t="shared" si="0"/>
        <v>0</v>
      </c>
      <c r="I3" s="3757">
        <v>0</v>
      </c>
      <c r="J3" s="3760" t="s">
        <v>4386</v>
      </c>
      <c r="K3" s="3759" t="s">
        <v>4387</v>
      </c>
    </row>
    <row r="4" spans="1:11" s="3759" customFormat="1" ht="15" hidden="1">
      <c r="A4" s="3754">
        <v>3</v>
      </c>
      <c r="B4" s="3755">
        <v>3</v>
      </c>
      <c r="C4" s="3755" t="s">
        <v>4388</v>
      </c>
      <c r="D4" s="3756" t="s">
        <v>4382</v>
      </c>
      <c r="E4" s="3757">
        <v>91.5</v>
      </c>
      <c r="F4" s="3758">
        <v>45035</v>
      </c>
      <c r="G4" s="3758">
        <v>46891</v>
      </c>
      <c r="H4" s="3759">
        <f t="shared" si="0"/>
        <v>7.67</v>
      </c>
      <c r="I4" s="3757">
        <v>21045</v>
      </c>
      <c r="J4" s="3760" t="s">
        <v>4383</v>
      </c>
      <c r="K4" s="3759" t="s">
        <v>4284</v>
      </c>
    </row>
    <row r="5" spans="1:11" s="3770" customFormat="1" ht="15" hidden="1">
      <c r="A5" s="3765">
        <v>4</v>
      </c>
      <c r="B5" s="3766">
        <v>4</v>
      </c>
      <c r="C5" s="3766" t="s">
        <v>4389</v>
      </c>
      <c r="D5" s="3767" t="s">
        <v>4382</v>
      </c>
      <c r="E5" s="3768">
        <v>32.299999999999997</v>
      </c>
      <c r="F5" s="3769">
        <v>45035</v>
      </c>
      <c r="G5" s="3769">
        <v>45795</v>
      </c>
      <c r="H5" s="3770">
        <f t="shared" si="0"/>
        <v>14.67</v>
      </c>
      <c r="I5" s="3768">
        <v>14212</v>
      </c>
      <c r="J5" s="3771" t="s">
        <v>4390</v>
      </c>
      <c r="K5" s="3770" t="s">
        <v>4284</v>
      </c>
    </row>
    <row r="6" spans="1:11" s="3759" customFormat="1" ht="15" hidden="1">
      <c r="A6" s="3754">
        <v>5</v>
      </c>
      <c r="B6" s="3755">
        <v>5</v>
      </c>
      <c r="C6" s="3755" t="s">
        <v>4391</v>
      </c>
      <c r="D6" s="3756" t="s">
        <v>4382</v>
      </c>
      <c r="E6" s="3757">
        <v>22.61</v>
      </c>
      <c r="F6" s="3758">
        <v>45035</v>
      </c>
      <c r="G6" s="3758">
        <v>45795</v>
      </c>
      <c r="H6" s="3759">
        <f t="shared" si="0"/>
        <v>23.33</v>
      </c>
      <c r="I6" s="3757">
        <v>15827</v>
      </c>
      <c r="J6" s="3760" t="s">
        <v>4392</v>
      </c>
      <c r="K6" s="3759" t="s">
        <v>4284</v>
      </c>
    </row>
    <row r="7" spans="1:11" s="3759" customFormat="1" ht="15" hidden="1">
      <c r="A7" s="3754">
        <v>6</v>
      </c>
      <c r="B7" s="3755">
        <v>6</v>
      </c>
      <c r="C7" s="3755" t="s">
        <v>4393</v>
      </c>
      <c r="D7" s="3756" t="s">
        <v>4382</v>
      </c>
      <c r="E7" s="3757">
        <v>79.14</v>
      </c>
      <c r="F7" s="3758">
        <v>45035</v>
      </c>
      <c r="G7" s="3758">
        <v>45795</v>
      </c>
      <c r="H7" s="3759">
        <f t="shared" si="0"/>
        <v>17.329999999999998</v>
      </c>
      <c r="I7" s="3757">
        <v>41152.800000000003</v>
      </c>
      <c r="J7" s="3760" t="s">
        <v>4394</v>
      </c>
      <c r="K7" s="3759" t="s">
        <v>4395</v>
      </c>
    </row>
    <row r="8" spans="1:11" s="3759" customFormat="1" ht="15" hidden="1">
      <c r="A8" s="3754">
        <v>7</v>
      </c>
      <c r="B8" s="3755">
        <v>7</v>
      </c>
      <c r="C8" s="3755" t="s">
        <v>4396</v>
      </c>
      <c r="D8" s="3756" t="s">
        <v>4382</v>
      </c>
      <c r="E8" s="3757">
        <v>105.86</v>
      </c>
      <c r="F8" s="3758">
        <v>45035</v>
      </c>
      <c r="G8" s="3758">
        <v>46160</v>
      </c>
      <c r="H8" s="3759">
        <f t="shared" si="0"/>
        <v>9</v>
      </c>
      <c r="I8" s="3757">
        <v>28582.2</v>
      </c>
      <c r="J8" s="3760" t="s">
        <v>4397</v>
      </c>
      <c r="K8" s="3759" t="s">
        <v>4284</v>
      </c>
    </row>
    <row r="9" spans="1:11" s="3759" customFormat="1" ht="15" hidden="1">
      <c r="A9" s="3754">
        <v>8</v>
      </c>
      <c r="B9" s="3755">
        <v>8</v>
      </c>
      <c r="C9" s="3755" t="s">
        <v>4398</v>
      </c>
      <c r="D9" s="3756" t="s">
        <v>4382</v>
      </c>
      <c r="E9" s="3757">
        <v>164.03</v>
      </c>
      <c r="F9" s="3758">
        <v>45005</v>
      </c>
      <c r="G9" s="3758">
        <v>46891</v>
      </c>
      <c r="H9" s="3759">
        <f t="shared" si="0"/>
        <v>6</v>
      </c>
      <c r="I9" s="3757">
        <v>29525.4</v>
      </c>
      <c r="J9" s="3760" t="s">
        <v>4399</v>
      </c>
      <c r="K9" s="3759" t="s">
        <v>4400</v>
      </c>
    </row>
    <row r="10" spans="1:11" s="3759" customFormat="1" ht="15" hidden="1">
      <c r="A10" s="3754">
        <v>9</v>
      </c>
      <c r="B10" s="3755">
        <v>9</v>
      </c>
      <c r="C10" s="3755" t="s">
        <v>4401</v>
      </c>
      <c r="D10" s="3756" t="s">
        <v>4382</v>
      </c>
      <c r="E10" s="3757">
        <v>121</v>
      </c>
      <c r="F10" s="3758">
        <v>45020</v>
      </c>
      <c r="G10" s="3758">
        <v>46160</v>
      </c>
      <c r="H10" s="3759">
        <f t="shared" si="0"/>
        <v>6.67</v>
      </c>
      <c r="I10" s="3757">
        <v>24200</v>
      </c>
      <c r="J10" s="3760" t="s">
        <v>4402</v>
      </c>
      <c r="K10" s="3759" t="s">
        <v>4403</v>
      </c>
    </row>
    <row r="11" spans="1:11" s="3759" customFormat="1" ht="15" hidden="1">
      <c r="A11" s="3754">
        <v>10</v>
      </c>
      <c r="B11" s="3755">
        <v>10</v>
      </c>
      <c r="C11" s="3755" t="s">
        <v>4404</v>
      </c>
      <c r="D11" s="3756" t="s">
        <v>4382</v>
      </c>
      <c r="E11" s="3757">
        <v>242</v>
      </c>
      <c r="F11" s="3758">
        <v>45025</v>
      </c>
      <c r="G11" s="3758">
        <v>46160</v>
      </c>
      <c r="H11" s="3759">
        <f t="shared" si="0"/>
        <v>7.33</v>
      </c>
      <c r="I11" s="3757">
        <v>53240</v>
      </c>
      <c r="J11" s="3760" t="s">
        <v>4405</v>
      </c>
      <c r="K11" s="3759" t="s">
        <v>4406</v>
      </c>
    </row>
    <row r="12" spans="1:11" s="3759" customFormat="1" ht="15" hidden="1">
      <c r="A12" s="3754">
        <v>11</v>
      </c>
      <c r="B12" s="3755">
        <v>11</v>
      </c>
      <c r="C12" s="3755" t="s">
        <v>4407</v>
      </c>
      <c r="D12" s="3756" t="s">
        <v>4382</v>
      </c>
      <c r="E12" s="3757">
        <v>134.35</v>
      </c>
      <c r="F12" s="3758">
        <v>45035</v>
      </c>
      <c r="G12" s="3758">
        <v>45795</v>
      </c>
      <c r="H12" s="3759">
        <f t="shared" si="0"/>
        <v>7.67</v>
      </c>
      <c r="I12" s="3757">
        <v>30900.5</v>
      </c>
      <c r="J12" s="3760" t="s">
        <v>4392</v>
      </c>
      <c r="K12" s="3759" t="s">
        <v>4408</v>
      </c>
    </row>
    <row r="13" spans="1:11" s="3759" customFormat="1" ht="15" hidden="1">
      <c r="A13" s="3754">
        <v>12</v>
      </c>
      <c r="B13" s="3755">
        <v>12</v>
      </c>
      <c r="C13" s="3755" t="s">
        <v>4409</v>
      </c>
      <c r="D13" s="3756" t="s">
        <v>4382</v>
      </c>
      <c r="E13" s="3757">
        <v>135.37</v>
      </c>
      <c r="F13" s="3758">
        <v>45035</v>
      </c>
      <c r="G13" s="3758">
        <v>45795</v>
      </c>
      <c r="H13" s="3759">
        <f t="shared" si="0"/>
        <v>5</v>
      </c>
      <c r="I13" s="3757">
        <v>20305.5</v>
      </c>
      <c r="J13" s="3760" t="s">
        <v>4410</v>
      </c>
      <c r="K13" s="3759" t="s">
        <v>4408</v>
      </c>
    </row>
    <row r="14" spans="1:11" s="3759" customFormat="1" ht="15" hidden="1">
      <c r="A14" s="3754">
        <v>13</v>
      </c>
      <c r="B14" s="3755">
        <v>13</v>
      </c>
      <c r="C14" s="3755" t="s">
        <v>4411</v>
      </c>
      <c r="D14" s="3756" t="s">
        <v>4382</v>
      </c>
      <c r="E14" s="3757">
        <v>110.11</v>
      </c>
      <c r="F14" s="3758">
        <v>45035</v>
      </c>
      <c r="G14" s="3758">
        <v>46160</v>
      </c>
      <c r="H14" s="3759">
        <f t="shared" si="0"/>
        <v>0</v>
      </c>
      <c r="I14" s="3757">
        <v>0</v>
      </c>
      <c r="J14" s="3760" t="s">
        <v>4412</v>
      </c>
      <c r="K14" s="3759" t="s">
        <v>4413</v>
      </c>
    </row>
    <row r="15" spans="1:11" s="3759" customFormat="1" ht="15" hidden="1">
      <c r="A15" s="3754">
        <v>14</v>
      </c>
      <c r="B15" s="3755">
        <v>14</v>
      </c>
      <c r="C15" s="3755" t="s">
        <v>4414</v>
      </c>
      <c r="D15" s="3756" t="s">
        <v>4382</v>
      </c>
      <c r="E15" s="3757">
        <v>194.53</v>
      </c>
      <c r="F15" s="3758">
        <v>45005</v>
      </c>
      <c r="G15" s="3758">
        <v>46891</v>
      </c>
      <c r="H15" s="3759">
        <f t="shared" si="0"/>
        <v>0</v>
      </c>
      <c r="I15" s="3757">
        <v>0</v>
      </c>
      <c r="J15" s="3760" t="s">
        <v>4415</v>
      </c>
      <c r="K15" s="3759" t="s">
        <v>4416</v>
      </c>
    </row>
    <row r="16" spans="1:11" s="3759" customFormat="1" ht="15" hidden="1">
      <c r="A16" s="3754">
        <v>15</v>
      </c>
      <c r="B16" s="3755">
        <v>15</v>
      </c>
      <c r="C16" s="3755" t="s">
        <v>4417</v>
      </c>
      <c r="D16" s="3756" t="s">
        <v>4382</v>
      </c>
      <c r="E16" s="3757">
        <v>451.63</v>
      </c>
      <c r="F16" s="3758">
        <v>45005</v>
      </c>
      <c r="G16" s="3758">
        <v>46160</v>
      </c>
      <c r="H16" s="3759">
        <f t="shared" si="0"/>
        <v>6.67</v>
      </c>
      <c r="I16" s="3757">
        <v>90326</v>
      </c>
      <c r="J16" s="3760" t="s">
        <v>4402</v>
      </c>
      <c r="K16" s="3759" t="s">
        <v>4413</v>
      </c>
    </row>
    <row r="17" spans="1:11" s="3759" customFormat="1" ht="15" hidden="1">
      <c r="A17" s="3754">
        <v>16</v>
      </c>
      <c r="B17" s="3755">
        <v>16</v>
      </c>
      <c r="C17" s="3755" t="s">
        <v>4418</v>
      </c>
      <c r="D17" s="3756" t="s">
        <v>4382</v>
      </c>
      <c r="E17" s="3757">
        <v>408.92</v>
      </c>
      <c r="F17" s="3758">
        <v>45005</v>
      </c>
      <c r="G17" s="3758">
        <v>46160</v>
      </c>
      <c r="H17" s="3759">
        <f t="shared" si="0"/>
        <v>0</v>
      </c>
      <c r="I17" s="3757">
        <v>0</v>
      </c>
      <c r="J17" s="3760" t="s">
        <v>4419</v>
      </c>
      <c r="K17" s="3759" t="s">
        <v>4413</v>
      </c>
    </row>
    <row r="18" spans="1:11" s="3759" customFormat="1" ht="15" hidden="1">
      <c r="A18" s="3754">
        <v>17</v>
      </c>
      <c r="B18" s="3755">
        <v>17</v>
      </c>
      <c r="C18" s="3755" t="s">
        <v>4420</v>
      </c>
      <c r="D18" s="3756" t="s">
        <v>4382</v>
      </c>
      <c r="E18" s="3757">
        <v>124.47</v>
      </c>
      <c r="F18" s="3758">
        <v>45035</v>
      </c>
      <c r="G18" s="3758">
        <v>45795</v>
      </c>
      <c r="H18" s="3759">
        <f t="shared" si="0"/>
        <v>8</v>
      </c>
      <c r="I18" s="3757">
        <v>29872.799999999999</v>
      </c>
      <c r="J18" s="3760" t="s">
        <v>4392</v>
      </c>
      <c r="K18" s="3759" t="s">
        <v>4413</v>
      </c>
    </row>
    <row r="19" spans="1:11" s="3759" customFormat="1" ht="15" hidden="1">
      <c r="A19" s="3754">
        <v>18</v>
      </c>
      <c r="B19" s="3755">
        <v>18</v>
      </c>
      <c r="C19" s="3755" t="s">
        <v>4421</v>
      </c>
      <c r="D19" s="3756" t="s">
        <v>4382</v>
      </c>
      <c r="E19" s="3757">
        <v>110.58</v>
      </c>
      <c r="F19" s="3758">
        <v>45045</v>
      </c>
      <c r="G19" s="3758">
        <v>46160</v>
      </c>
      <c r="H19" s="3759">
        <f t="shared" si="0"/>
        <v>5.27</v>
      </c>
      <c r="I19" s="3757">
        <v>17471.64</v>
      </c>
      <c r="J19" s="3760" t="s">
        <v>4422</v>
      </c>
      <c r="K19" s="3759" t="s">
        <v>4423</v>
      </c>
    </row>
    <row r="20" spans="1:11" s="3759" customFormat="1" ht="15" hidden="1">
      <c r="A20" s="3754">
        <v>19</v>
      </c>
      <c r="B20" s="3755">
        <v>19</v>
      </c>
      <c r="C20" s="3755" t="s">
        <v>4424</v>
      </c>
      <c r="D20" s="3756" t="s">
        <v>4382</v>
      </c>
      <c r="E20" s="3757">
        <v>95.48</v>
      </c>
      <c r="F20" s="3758">
        <v>45035</v>
      </c>
      <c r="G20" s="3758">
        <v>45795</v>
      </c>
      <c r="H20" s="3759">
        <f t="shared" si="0"/>
        <v>5.93</v>
      </c>
      <c r="I20" s="3757">
        <v>16995.439999999999</v>
      </c>
      <c r="J20" s="3760" t="s">
        <v>4425</v>
      </c>
      <c r="K20" s="3759" t="s">
        <v>4426</v>
      </c>
    </row>
    <row r="21" spans="1:11" s="3759" customFormat="1" ht="15" hidden="1">
      <c r="A21" s="3754">
        <v>20</v>
      </c>
      <c r="B21" s="3755">
        <v>20</v>
      </c>
      <c r="C21" s="3755" t="s">
        <v>4427</v>
      </c>
      <c r="D21" s="3756" t="s">
        <v>4382</v>
      </c>
      <c r="E21" s="3757">
        <v>144.31</v>
      </c>
      <c r="F21" s="3758">
        <v>45035</v>
      </c>
      <c r="G21" s="3758">
        <v>46160</v>
      </c>
      <c r="H21" s="3759">
        <f t="shared" si="0"/>
        <v>5.33</v>
      </c>
      <c r="I21" s="3757">
        <v>23089.599999999999</v>
      </c>
      <c r="J21" s="3760" t="s">
        <v>4428</v>
      </c>
      <c r="K21" s="3759" t="s">
        <v>4423</v>
      </c>
    </row>
    <row r="22" spans="1:11" s="3759" customFormat="1" ht="15" hidden="1">
      <c r="A22" s="3754">
        <v>21</v>
      </c>
      <c r="B22" s="3755">
        <v>21</v>
      </c>
      <c r="C22" s="3755" t="s">
        <v>4429</v>
      </c>
      <c r="D22" s="3756" t="s">
        <v>4382</v>
      </c>
      <c r="E22" s="3757">
        <v>152.96</v>
      </c>
      <c r="F22" s="3758">
        <v>45035</v>
      </c>
      <c r="G22" s="3758">
        <v>46160</v>
      </c>
      <c r="H22" s="3759">
        <f t="shared" si="0"/>
        <v>7</v>
      </c>
      <c r="I22" s="3757">
        <v>32121.599999999999</v>
      </c>
      <c r="J22" s="3760" t="s">
        <v>4402</v>
      </c>
      <c r="K22" s="3759" t="s">
        <v>4430</v>
      </c>
    </row>
    <row r="23" spans="1:11" s="3759" customFormat="1" ht="15" hidden="1">
      <c r="A23" s="3754">
        <v>22</v>
      </c>
      <c r="B23" s="3755">
        <v>22</v>
      </c>
      <c r="C23" s="3755" t="s">
        <v>4431</v>
      </c>
      <c r="D23" s="3756" t="s">
        <v>4382</v>
      </c>
      <c r="E23" s="3757">
        <v>46.9</v>
      </c>
      <c r="F23" s="3758">
        <v>45231</v>
      </c>
      <c r="G23" s="3758">
        <v>45981</v>
      </c>
      <c r="H23" s="3759">
        <f t="shared" si="0"/>
        <v>13.33</v>
      </c>
      <c r="I23" s="3757">
        <v>18760</v>
      </c>
      <c r="J23" s="3760" t="s">
        <v>4390</v>
      </c>
      <c r="K23" s="3759" t="s">
        <v>4432</v>
      </c>
    </row>
    <row r="24" spans="1:11" s="3759" customFormat="1" ht="15" hidden="1">
      <c r="A24" s="3754">
        <v>23</v>
      </c>
      <c r="B24" s="3755">
        <v>23</v>
      </c>
      <c r="C24" s="3755" t="s">
        <v>4431</v>
      </c>
      <c r="D24" s="3756" t="s">
        <v>4382</v>
      </c>
      <c r="E24" s="3757">
        <v>46.94</v>
      </c>
      <c r="F24" s="3758">
        <v>45231</v>
      </c>
      <c r="G24" s="3758">
        <v>45616</v>
      </c>
      <c r="H24" s="3759">
        <f t="shared" si="0"/>
        <v>10.67</v>
      </c>
      <c r="I24" s="3757">
        <v>15020.8</v>
      </c>
      <c r="J24" s="3760" t="s">
        <v>4433</v>
      </c>
      <c r="K24" s="3759" t="s">
        <v>4423</v>
      </c>
    </row>
    <row r="25" spans="1:11" s="3759" customFormat="1" ht="15" hidden="1">
      <c r="A25" s="3754">
        <v>24</v>
      </c>
      <c r="B25" s="3755">
        <v>24</v>
      </c>
      <c r="C25" s="3755" t="s">
        <v>4434</v>
      </c>
      <c r="D25" s="3756" t="s">
        <v>4382</v>
      </c>
      <c r="E25" s="3757">
        <v>137</v>
      </c>
      <c r="F25" s="3758">
        <v>45005</v>
      </c>
      <c r="G25" s="3758">
        <v>46525</v>
      </c>
      <c r="H25" s="3759">
        <f t="shared" si="0"/>
        <v>7.33</v>
      </c>
      <c r="I25" s="3757">
        <v>30140</v>
      </c>
      <c r="J25" s="3760" t="s">
        <v>4435</v>
      </c>
      <c r="K25" s="3759" t="s">
        <v>4284</v>
      </c>
    </row>
    <row r="26" spans="1:11" s="3759" customFormat="1" ht="15" hidden="1">
      <c r="A26" s="3754">
        <v>25</v>
      </c>
      <c r="B26" s="3755">
        <v>25</v>
      </c>
      <c r="C26" s="3755" t="s">
        <v>4436</v>
      </c>
      <c r="D26" s="3756" t="s">
        <v>4382</v>
      </c>
      <c r="E26" s="3757">
        <v>125.11</v>
      </c>
      <c r="F26" s="3758">
        <v>45005</v>
      </c>
      <c r="G26" s="3758">
        <v>46891</v>
      </c>
      <c r="H26" s="3759">
        <f t="shared" si="0"/>
        <v>9.33</v>
      </c>
      <c r="I26" s="3757">
        <v>35030.800000000003</v>
      </c>
      <c r="J26" s="3760" t="s">
        <v>4383</v>
      </c>
      <c r="K26" s="3759" t="s">
        <v>4284</v>
      </c>
    </row>
    <row r="27" spans="1:11" s="3759" customFormat="1" ht="15" hidden="1">
      <c r="A27" s="3754">
        <v>26</v>
      </c>
      <c r="B27" s="3755">
        <v>26</v>
      </c>
      <c r="C27" s="3755" t="s">
        <v>4437</v>
      </c>
      <c r="D27" s="3756" t="s">
        <v>4382</v>
      </c>
      <c r="E27" s="3757">
        <v>135.16999999999999</v>
      </c>
      <c r="F27" s="3758">
        <v>45035</v>
      </c>
      <c r="G27" s="3758">
        <v>46160</v>
      </c>
      <c r="H27" s="3759">
        <f t="shared" si="0"/>
        <v>9</v>
      </c>
      <c r="I27" s="3757">
        <v>36495.9</v>
      </c>
      <c r="J27" s="3760" t="s">
        <v>4438</v>
      </c>
      <c r="K27" s="3759" t="s">
        <v>4284</v>
      </c>
    </row>
    <row r="28" spans="1:11" s="3759" customFormat="1" ht="15" hidden="1">
      <c r="A28" s="3754">
        <v>27</v>
      </c>
      <c r="B28" s="3755">
        <v>27</v>
      </c>
      <c r="C28" s="3755" t="s">
        <v>4439</v>
      </c>
      <c r="D28" s="3756" t="s">
        <v>4382</v>
      </c>
      <c r="E28" s="3757">
        <v>164.96</v>
      </c>
      <c r="F28" s="3758">
        <v>45005</v>
      </c>
      <c r="G28" s="3758">
        <v>47986</v>
      </c>
      <c r="H28" s="3759">
        <f t="shared" si="0"/>
        <v>8</v>
      </c>
      <c r="I28" s="3757">
        <v>39590.400000000001</v>
      </c>
      <c r="J28" s="3760" t="s">
        <v>4440</v>
      </c>
      <c r="K28" s="3759" t="s">
        <v>4284</v>
      </c>
    </row>
    <row r="29" spans="1:11" s="3759" customFormat="1" ht="15" hidden="1">
      <c r="A29" s="3754">
        <v>28</v>
      </c>
      <c r="B29" s="3755">
        <v>28</v>
      </c>
      <c r="C29" s="3755" t="s">
        <v>4441</v>
      </c>
      <c r="D29" s="3756" t="s">
        <v>4382</v>
      </c>
      <c r="E29" s="3757">
        <v>114.34</v>
      </c>
      <c r="F29" s="3758">
        <v>45035</v>
      </c>
      <c r="G29" s="3758">
        <v>46160</v>
      </c>
      <c r="H29" s="3759">
        <f t="shared" si="0"/>
        <v>8.67</v>
      </c>
      <c r="I29" s="3757">
        <v>29728.400000000001</v>
      </c>
      <c r="J29" s="3760" t="s">
        <v>4442</v>
      </c>
      <c r="K29" s="3759" t="s">
        <v>4284</v>
      </c>
    </row>
    <row r="30" spans="1:11" s="3759" customFormat="1" ht="15" hidden="1">
      <c r="A30" s="3754">
        <v>29</v>
      </c>
      <c r="B30" s="3755">
        <v>29</v>
      </c>
      <c r="C30" s="3755" t="s">
        <v>4443</v>
      </c>
      <c r="D30" s="3756" t="s">
        <v>4382</v>
      </c>
      <c r="E30" s="3757">
        <v>237.7</v>
      </c>
      <c r="F30" s="3758">
        <v>45020</v>
      </c>
      <c r="G30" s="3758">
        <v>46160</v>
      </c>
      <c r="H30" s="3759">
        <f t="shared" si="0"/>
        <v>3.67</v>
      </c>
      <c r="I30" s="3757">
        <v>26147</v>
      </c>
      <c r="J30" s="3760" t="s">
        <v>4402</v>
      </c>
      <c r="K30" s="3759" t="s">
        <v>4444</v>
      </c>
    </row>
    <row r="31" spans="1:11" s="3759" customFormat="1" ht="15" hidden="1">
      <c r="A31" s="3754">
        <v>30</v>
      </c>
      <c r="B31" s="3755">
        <v>30</v>
      </c>
      <c r="C31" s="3755" t="s">
        <v>4445</v>
      </c>
      <c r="D31" s="3756" t="s">
        <v>4382</v>
      </c>
      <c r="E31" s="3757">
        <v>51.5</v>
      </c>
      <c r="F31" s="3758">
        <v>45035</v>
      </c>
      <c r="G31" s="3758">
        <v>45795</v>
      </c>
      <c r="H31" s="3759">
        <f t="shared" si="0"/>
        <v>16.670000000000002</v>
      </c>
      <c r="I31" s="3757">
        <v>25750</v>
      </c>
      <c r="J31" s="3760" t="s">
        <v>4446</v>
      </c>
      <c r="K31" s="3759" t="s">
        <v>4447</v>
      </c>
    </row>
    <row r="32" spans="1:11" s="3759" customFormat="1" ht="15" hidden="1">
      <c r="A32" s="3754">
        <v>31</v>
      </c>
      <c r="B32" s="3755">
        <v>31</v>
      </c>
      <c r="C32" s="3755" t="s">
        <v>4448</v>
      </c>
      <c r="D32" s="3756" t="s">
        <v>4382</v>
      </c>
      <c r="E32" s="3757">
        <v>24.72</v>
      </c>
      <c r="F32" s="3758">
        <v>45045</v>
      </c>
      <c r="G32" s="3758">
        <v>45795</v>
      </c>
      <c r="H32" s="3759">
        <f t="shared" si="0"/>
        <v>20</v>
      </c>
      <c r="I32" s="3757">
        <v>14832</v>
      </c>
      <c r="J32" s="3760" t="s">
        <v>4449</v>
      </c>
      <c r="K32" s="3759" t="s">
        <v>4284</v>
      </c>
    </row>
    <row r="33" spans="1:11" s="3759" customFormat="1" ht="15" hidden="1">
      <c r="A33" s="3754">
        <v>32</v>
      </c>
      <c r="B33" s="3755">
        <v>32</v>
      </c>
      <c r="C33" s="3755" t="s">
        <v>4450</v>
      </c>
      <c r="D33" s="3756" t="s">
        <v>4382</v>
      </c>
      <c r="E33" s="3757">
        <v>45.12</v>
      </c>
      <c r="F33" s="3758">
        <v>45045</v>
      </c>
      <c r="G33" s="3758">
        <v>45795</v>
      </c>
      <c r="H33" s="3759">
        <f t="shared" si="0"/>
        <v>7.33</v>
      </c>
      <c r="I33" s="3757">
        <v>9926.4</v>
      </c>
      <c r="J33" s="3760" t="s">
        <v>4451</v>
      </c>
      <c r="K33" s="3759" t="s">
        <v>4447</v>
      </c>
    </row>
    <row r="34" spans="1:11" s="3759" customFormat="1" ht="15" hidden="1">
      <c r="A34" s="3754">
        <v>33</v>
      </c>
      <c r="B34" s="3755">
        <v>33</v>
      </c>
      <c r="C34" s="3755" t="s">
        <v>4452</v>
      </c>
      <c r="D34" s="3756" t="s">
        <v>4382</v>
      </c>
      <c r="E34" s="3757">
        <v>45</v>
      </c>
      <c r="F34" s="3758">
        <v>45035</v>
      </c>
      <c r="G34" s="3758">
        <v>45795</v>
      </c>
      <c r="H34" s="3759">
        <f t="shared" si="0"/>
        <v>10.33</v>
      </c>
      <c r="I34" s="3757">
        <v>13950</v>
      </c>
      <c r="J34" s="3760" t="s">
        <v>4449</v>
      </c>
      <c r="K34" s="3759" t="s">
        <v>4453</v>
      </c>
    </row>
    <row r="35" spans="1:11" s="3759" customFormat="1" ht="15" hidden="1">
      <c r="A35" s="3754">
        <v>34</v>
      </c>
      <c r="B35" s="3755">
        <v>34</v>
      </c>
      <c r="C35" s="3755" t="s">
        <v>4454</v>
      </c>
      <c r="D35" s="3756" t="s">
        <v>4382</v>
      </c>
      <c r="E35" s="3757">
        <v>294</v>
      </c>
      <c r="F35" s="3758">
        <v>45025</v>
      </c>
      <c r="G35" s="3758">
        <v>46160</v>
      </c>
      <c r="H35" s="3759">
        <f t="shared" si="0"/>
        <v>0</v>
      </c>
      <c r="I35" s="3757">
        <v>0</v>
      </c>
      <c r="J35" s="3760" t="s">
        <v>4455</v>
      </c>
      <c r="K35" s="3759" t="s">
        <v>4406</v>
      </c>
    </row>
    <row r="36" spans="1:11" s="3759" customFormat="1" ht="15" hidden="1">
      <c r="A36" s="3754">
        <v>35</v>
      </c>
      <c r="B36" s="3755">
        <v>35</v>
      </c>
      <c r="C36" s="3755" t="s">
        <v>4456</v>
      </c>
      <c r="D36" s="3756" t="s">
        <v>4382</v>
      </c>
      <c r="E36" s="3757">
        <v>90.47</v>
      </c>
      <c r="F36" s="3758">
        <v>45035</v>
      </c>
      <c r="G36" s="3758">
        <v>45795</v>
      </c>
      <c r="H36" s="3759">
        <f t="shared" si="0"/>
        <v>7.33</v>
      </c>
      <c r="I36" s="3757">
        <v>19903.400000000001</v>
      </c>
      <c r="J36" s="3760" t="s">
        <v>4390</v>
      </c>
      <c r="K36" s="3759" t="s">
        <v>4457</v>
      </c>
    </row>
    <row r="37" spans="1:11" s="3759" customFormat="1" ht="15" hidden="1">
      <c r="A37" s="3754">
        <v>36</v>
      </c>
      <c r="B37" s="3755">
        <v>36</v>
      </c>
      <c r="C37" s="3755" t="s">
        <v>4458</v>
      </c>
      <c r="D37" s="3756" t="s">
        <v>4382</v>
      </c>
      <c r="E37" s="3757">
        <v>84.11</v>
      </c>
      <c r="F37" s="3758">
        <v>45035</v>
      </c>
      <c r="G37" s="3758">
        <v>45795</v>
      </c>
      <c r="H37" s="3759">
        <f t="shared" si="0"/>
        <v>7.17</v>
      </c>
      <c r="I37" s="3757">
        <v>18083.650000000001</v>
      </c>
      <c r="J37" s="3760" t="s">
        <v>4459</v>
      </c>
      <c r="K37" s="3759" t="s">
        <v>4423</v>
      </c>
    </row>
    <row r="38" spans="1:11" s="3759" customFormat="1" ht="15" hidden="1">
      <c r="A38" s="3754">
        <v>37</v>
      </c>
      <c r="B38" s="3755">
        <v>37</v>
      </c>
      <c r="C38" s="3755" t="s">
        <v>4460</v>
      </c>
      <c r="D38" s="3756" t="s">
        <v>4382</v>
      </c>
      <c r="E38" s="3757">
        <v>420.74</v>
      </c>
      <c r="F38" s="3758">
        <v>45020</v>
      </c>
      <c r="G38" s="3758">
        <v>46891</v>
      </c>
      <c r="H38" s="3759">
        <f t="shared" si="0"/>
        <v>3.33</v>
      </c>
      <c r="I38" s="3757">
        <v>42074</v>
      </c>
      <c r="J38" s="3760" t="s">
        <v>4461</v>
      </c>
      <c r="K38" s="3759" t="s">
        <v>4462</v>
      </c>
    </row>
    <row r="39" spans="1:11" s="3759" customFormat="1" ht="15" hidden="1">
      <c r="A39" s="3754">
        <v>38</v>
      </c>
      <c r="B39" s="3755">
        <v>38</v>
      </c>
      <c r="C39" s="3755" t="s">
        <v>4463</v>
      </c>
      <c r="D39" s="3756" t="s">
        <v>4382</v>
      </c>
      <c r="E39" s="3757">
        <v>212</v>
      </c>
      <c r="F39" s="3758">
        <v>45035</v>
      </c>
      <c r="G39" s="3758">
        <v>46160</v>
      </c>
      <c r="H39" s="3759">
        <f t="shared" si="0"/>
        <v>3.33</v>
      </c>
      <c r="I39" s="3757">
        <v>21200</v>
      </c>
      <c r="J39" s="3760" t="s">
        <v>4402</v>
      </c>
      <c r="K39" s="3759" t="s">
        <v>4464</v>
      </c>
    </row>
    <row r="40" spans="1:11" s="3759" customFormat="1" ht="15" hidden="1">
      <c r="A40" s="3754">
        <v>39</v>
      </c>
      <c r="B40" s="3755">
        <v>39</v>
      </c>
      <c r="C40" s="3755" t="s">
        <v>4465</v>
      </c>
      <c r="D40" s="3756" t="s">
        <v>4382</v>
      </c>
      <c r="E40" s="3757">
        <v>46.36</v>
      </c>
      <c r="F40" s="3758">
        <v>45045</v>
      </c>
      <c r="G40" s="3758">
        <v>45795</v>
      </c>
      <c r="H40" s="3759">
        <f t="shared" si="0"/>
        <v>5.93</v>
      </c>
      <c r="I40" s="3757">
        <v>8252.08</v>
      </c>
      <c r="J40" s="3760" t="s">
        <v>4466</v>
      </c>
      <c r="K40" s="3759" t="s">
        <v>4467</v>
      </c>
    </row>
    <row r="41" spans="1:11" s="3759" customFormat="1" ht="15" hidden="1">
      <c r="A41" s="3754">
        <v>40</v>
      </c>
      <c r="B41" s="3755">
        <v>40</v>
      </c>
      <c r="C41" s="3755" t="s">
        <v>4468</v>
      </c>
      <c r="D41" s="3756" t="s">
        <v>4382</v>
      </c>
      <c r="E41" s="3757">
        <v>4295.37</v>
      </c>
      <c r="F41" s="3758">
        <v>45000</v>
      </c>
      <c r="G41" s="3758">
        <v>48717</v>
      </c>
      <c r="H41" s="3759">
        <f t="shared" si="0"/>
        <v>3</v>
      </c>
      <c r="I41" s="3757">
        <v>386583.3</v>
      </c>
      <c r="J41" s="3760" t="s">
        <v>4469</v>
      </c>
      <c r="K41" s="3759" t="s">
        <v>3854</v>
      </c>
    </row>
    <row r="42" spans="1:11" s="3759" customFormat="1" ht="15" hidden="1">
      <c r="A42" s="3754">
        <v>41</v>
      </c>
      <c r="B42" s="3755">
        <v>41</v>
      </c>
      <c r="C42" s="3755" t="s">
        <v>4470</v>
      </c>
      <c r="D42" s="3756" t="s">
        <v>4382</v>
      </c>
      <c r="E42" s="3757">
        <v>31.29</v>
      </c>
      <c r="F42" s="3758">
        <v>45045</v>
      </c>
      <c r="G42" s="3758">
        <v>45795</v>
      </c>
      <c r="H42" s="3759">
        <f t="shared" si="0"/>
        <v>10.33</v>
      </c>
      <c r="I42" s="3757">
        <v>9699.9</v>
      </c>
      <c r="J42" s="3760" t="s">
        <v>4390</v>
      </c>
      <c r="K42" s="3759" t="s">
        <v>4284</v>
      </c>
    </row>
    <row r="43" spans="1:11" s="3759" customFormat="1" ht="15" hidden="1">
      <c r="A43" s="3754">
        <v>42</v>
      </c>
      <c r="B43" s="3755">
        <v>42</v>
      </c>
      <c r="C43" s="3755" t="s">
        <v>4471</v>
      </c>
      <c r="D43" s="3756" t="s">
        <v>4382</v>
      </c>
      <c r="E43" s="3757">
        <v>23.44</v>
      </c>
      <c r="F43" s="3758">
        <v>45045</v>
      </c>
      <c r="G43" s="3758">
        <v>45795</v>
      </c>
      <c r="H43" s="3759">
        <f t="shared" si="0"/>
        <v>14</v>
      </c>
      <c r="I43" s="3757">
        <v>9844.7999999999993</v>
      </c>
      <c r="J43" s="3760" t="s">
        <v>4392</v>
      </c>
      <c r="K43" s="3759" t="s">
        <v>4472</v>
      </c>
    </row>
    <row r="44" spans="1:11" s="3759" customFormat="1" ht="15" hidden="1">
      <c r="A44" s="3754">
        <v>43</v>
      </c>
      <c r="B44" s="3755">
        <v>43</v>
      </c>
      <c r="C44" s="3755" t="s">
        <v>4473</v>
      </c>
      <c r="D44" s="3756" t="s">
        <v>4382</v>
      </c>
      <c r="E44" s="3757">
        <v>36.700000000000003</v>
      </c>
      <c r="F44" s="3758">
        <v>45045</v>
      </c>
      <c r="G44" s="3758">
        <v>45795</v>
      </c>
      <c r="H44" s="3759">
        <f t="shared" si="0"/>
        <v>7.83</v>
      </c>
      <c r="I44" s="3757">
        <v>8624.5</v>
      </c>
      <c r="J44" s="3760" t="s">
        <v>4474</v>
      </c>
      <c r="K44" s="3759" t="s">
        <v>4467</v>
      </c>
    </row>
    <row r="45" spans="1:11" s="3759" customFormat="1" ht="15" hidden="1">
      <c r="A45" s="3754">
        <v>44</v>
      </c>
      <c r="B45" s="3755">
        <v>44</v>
      </c>
      <c r="C45" s="3755" t="s">
        <v>4475</v>
      </c>
      <c r="D45" s="3756" t="s">
        <v>4382</v>
      </c>
      <c r="E45" s="3757">
        <v>25.6</v>
      </c>
      <c r="F45" s="3758">
        <v>45045</v>
      </c>
      <c r="G45" s="3758">
        <v>45795</v>
      </c>
      <c r="H45" s="3759">
        <f t="shared" si="0"/>
        <v>14.5</v>
      </c>
      <c r="I45" s="3757">
        <v>11136</v>
      </c>
      <c r="J45" s="3760" t="s">
        <v>4390</v>
      </c>
      <c r="K45" s="3759" t="s">
        <v>4476</v>
      </c>
    </row>
    <row r="46" spans="1:11" s="3759" customFormat="1" ht="15" hidden="1">
      <c r="A46" s="3754">
        <v>45</v>
      </c>
      <c r="B46" s="3755">
        <v>45</v>
      </c>
      <c r="C46" s="3755" t="s">
        <v>4477</v>
      </c>
      <c r="D46" s="3756" t="s">
        <v>4382</v>
      </c>
      <c r="E46" s="3757">
        <v>31.39</v>
      </c>
      <c r="F46" s="3758">
        <v>45045</v>
      </c>
      <c r="G46" s="3758">
        <v>46160</v>
      </c>
      <c r="H46" s="3759">
        <f t="shared" si="0"/>
        <v>5.33</v>
      </c>
      <c r="I46" s="3757">
        <v>5022.3999999999996</v>
      </c>
      <c r="J46" s="3760" t="s">
        <v>4438</v>
      </c>
      <c r="K46" s="3759" t="s">
        <v>4462</v>
      </c>
    </row>
    <row r="47" spans="1:11" s="3759" customFormat="1" ht="15" hidden="1">
      <c r="A47" s="3754">
        <v>46</v>
      </c>
      <c r="B47" s="3755">
        <v>46</v>
      </c>
      <c r="C47" s="3755" t="s">
        <v>4478</v>
      </c>
      <c r="D47" s="3756" t="s">
        <v>4382</v>
      </c>
      <c r="E47" s="3757">
        <v>11.31</v>
      </c>
      <c r="F47" s="3758">
        <v>45045</v>
      </c>
      <c r="G47" s="3758">
        <v>45795</v>
      </c>
      <c r="H47" s="3759">
        <f t="shared" si="0"/>
        <v>9</v>
      </c>
      <c r="I47" s="3757">
        <v>3053.7</v>
      </c>
      <c r="J47" s="3760" t="s">
        <v>4459</v>
      </c>
      <c r="K47" s="3759" t="s">
        <v>4462</v>
      </c>
    </row>
    <row r="48" spans="1:11" s="3759" customFormat="1" ht="15" hidden="1">
      <c r="A48" s="3754">
        <v>47</v>
      </c>
      <c r="B48" s="3755">
        <v>47</v>
      </c>
      <c r="C48" s="3755" t="s">
        <v>4479</v>
      </c>
      <c r="D48" s="3756" t="s">
        <v>4382</v>
      </c>
      <c r="E48" s="3757">
        <v>28.82</v>
      </c>
      <c r="F48" s="3758">
        <v>45035</v>
      </c>
      <c r="G48" s="3758">
        <v>45795</v>
      </c>
      <c r="H48" s="3759">
        <f t="shared" si="0"/>
        <v>12.17</v>
      </c>
      <c r="I48" s="3757">
        <v>10519.3</v>
      </c>
      <c r="J48" s="3760" t="s">
        <v>4449</v>
      </c>
      <c r="K48" s="3759" t="s">
        <v>4480</v>
      </c>
    </row>
    <row r="49" spans="1:11" s="3759" customFormat="1" ht="15" hidden="1">
      <c r="A49" s="3754">
        <v>48</v>
      </c>
      <c r="B49" s="3755">
        <v>48</v>
      </c>
      <c r="C49" s="3755" t="s">
        <v>4481</v>
      </c>
      <c r="D49" s="3756" t="s">
        <v>4382</v>
      </c>
      <c r="E49" s="3757">
        <v>47.71</v>
      </c>
      <c r="F49" s="3758">
        <v>45045</v>
      </c>
      <c r="G49" s="3758">
        <v>45795</v>
      </c>
      <c r="H49" s="3759">
        <f t="shared" si="0"/>
        <v>9.67</v>
      </c>
      <c r="I49" s="3757">
        <v>13835.9</v>
      </c>
      <c r="J49" s="3760" t="s">
        <v>4449</v>
      </c>
      <c r="K49" s="3759" t="s">
        <v>4482</v>
      </c>
    </row>
    <row r="50" spans="1:11" s="3759" customFormat="1" ht="15" hidden="1">
      <c r="A50" s="3754">
        <v>49</v>
      </c>
      <c r="B50" s="3755">
        <v>49</v>
      </c>
      <c r="C50" s="3755" t="s">
        <v>4483</v>
      </c>
      <c r="D50" s="3756" t="s">
        <v>4382</v>
      </c>
      <c r="E50" s="3757">
        <v>129.4</v>
      </c>
      <c r="F50" s="3758">
        <v>45035</v>
      </c>
      <c r="G50" s="3758">
        <v>46160</v>
      </c>
      <c r="H50" s="3759">
        <f t="shared" si="0"/>
        <v>7.67</v>
      </c>
      <c r="I50" s="3757">
        <v>29762</v>
      </c>
      <c r="J50" s="3760" t="s">
        <v>4438</v>
      </c>
      <c r="K50" s="3759" t="s">
        <v>4476</v>
      </c>
    </row>
    <row r="51" spans="1:11" s="3759" customFormat="1" ht="15" hidden="1">
      <c r="A51" s="3754">
        <v>50</v>
      </c>
      <c r="B51" s="3755">
        <v>50</v>
      </c>
      <c r="C51" s="3755" t="s">
        <v>4484</v>
      </c>
      <c r="D51" s="3756" t="s">
        <v>4382</v>
      </c>
      <c r="E51" s="3757">
        <v>114.58</v>
      </c>
      <c r="F51" s="3758">
        <v>45035</v>
      </c>
      <c r="G51" s="3758">
        <v>45795</v>
      </c>
      <c r="H51" s="3759">
        <f t="shared" si="0"/>
        <v>5.33</v>
      </c>
      <c r="I51" s="3757">
        <v>18332.8</v>
      </c>
      <c r="J51" s="3760" t="s">
        <v>4394</v>
      </c>
      <c r="K51" s="3759" t="s">
        <v>4485</v>
      </c>
    </row>
    <row r="52" spans="1:11" s="3759" customFormat="1" ht="15" hidden="1">
      <c r="A52" s="3754">
        <v>51</v>
      </c>
      <c r="B52" s="3755">
        <v>51</v>
      </c>
      <c r="C52" s="3755" t="s">
        <v>4486</v>
      </c>
      <c r="D52" s="3756" t="s">
        <v>4382</v>
      </c>
      <c r="E52" s="3757">
        <v>155.85</v>
      </c>
      <c r="F52" s="3758">
        <v>45035</v>
      </c>
      <c r="G52" s="3758">
        <v>46160</v>
      </c>
      <c r="H52" s="3759">
        <f t="shared" si="0"/>
        <v>8.33</v>
      </c>
      <c r="I52" s="3757">
        <v>38962.5</v>
      </c>
      <c r="J52" s="3760" t="s">
        <v>4438</v>
      </c>
      <c r="K52" s="3759" t="s">
        <v>4487</v>
      </c>
    </row>
    <row r="53" spans="1:11" s="3759" customFormat="1" ht="15" hidden="1">
      <c r="A53" s="3754">
        <v>52</v>
      </c>
      <c r="B53" s="3755">
        <v>52</v>
      </c>
      <c r="C53" s="3755" t="s">
        <v>4488</v>
      </c>
      <c r="D53" s="3756" t="s">
        <v>4382</v>
      </c>
      <c r="E53" s="3757">
        <v>47.5</v>
      </c>
      <c r="F53" s="3758">
        <v>45035</v>
      </c>
      <c r="G53" s="3758">
        <v>45795</v>
      </c>
      <c r="H53" s="3759">
        <f t="shared" si="0"/>
        <v>7.33</v>
      </c>
      <c r="I53" s="3757">
        <v>10450</v>
      </c>
      <c r="J53" s="3760" t="s">
        <v>4390</v>
      </c>
      <c r="K53" s="3759" t="s">
        <v>4467</v>
      </c>
    </row>
    <row r="54" spans="1:11" s="3759" customFormat="1" ht="15" hidden="1">
      <c r="A54" s="3754">
        <v>53</v>
      </c>
      <c r="B54" s="3755">
        <v>53</v>
      </c>
      <c r="C54" s="3755" t="s">
        <v>4489</v>
      </c>
      <c r="D54" s="3756" t="s">
        <v>4382</v>
      </c>
      <c r="E54" s="3757">
        <v>24.7</v>
      </c>
      <c r="F54" s="3758">
        <v>45045</v>
      </c>
      <c r="G54" s="3758">
        <v>45795</v>
      </c>
      <c r="H54" s="3759">
        <f t="shared" si="0"/>
        <v>12.83</v>
      </c>
      <c r="I54" s="3757">
        <v>9509.5</v>
      </c>
      <c r="J54" s="3760" t="s">
        <v>4394</v>
      </c>
      <c r="K54" s="3759" t="s">
        <v>4490</v>
      </c>
    </row>
    <row r="55" spans="1:11" s="3759" customFormat="1" ht="15" hidden="1">
      <c r="A55" s="3754">
        <v>54</v>
      </c>
      <c r="B55" s="3755">
        <v>54</v>
      </c>
      <c r="C55" s="3755" t="s">
        <v>4491</v>
      </c>
      <c r="D55" s="3756" t="s">
        <v>4382</v>
      </c>
      <c r="E55" s="3757">
        <v>39</v>
      </c>
      <c r="F55" s="3758">
        <v>45035</v>
      </c>
      <c r="G55" s="3758">
        <v>45795</v>
      </c>
      <c r="H55" s="3759">
        <f t="shared" si="0"/>
        <v>10.33</v>
      </c>
      <c r="I55" s="3757">
        <v>12090</v>
      </c>
      <c r="J55" s="3760" t="s">
        <v>4394</v>
      </c>
      <c r="K55" s="3759" t="s">
        <v>4492</v>
      </c>
    </row>
    <row r="56" spans="1:11" s="3759" customFormat="1" ht="15" hidden="1">
      <c r="A56" s="3754">
        <v>55</v>
      </c>
      <c r="B56" s="3755">
        <v>55</v>
      </c>
      <c r="C56" s="3755" t="s">
        <v>4493</v>
      </c>
      <c r="D56" s="3756" t="s">
        <v>4382</v>
      </c>
      <c r="E56" s="3757">
        <v>33.15</v>
      </c>
      <c r="F56" s="3758">
        <v>45055</v>
      </c>
      <c r="G56" s="3758">
        <v>45795</v>
      </c>
      <c r="H56" s="3759">
        <f t="shared" si="0"/>
        <v>10</v>
      </c>
      <c r="I56" s="3757">
        <v>9945</v>
      </c>
      <c r="J56" s="3760" t="s">
        <v>4449</v>
      </c>
      <c r="K56" s="3759" t="s">
        <v>4494</v>
      </c>
    </row>
    <row r="57" spans="1:11" s="3759" customFormat="1" ht="15" hidden="1">
      <c r="A57" s="3754">
        <v>56</v>
      </c>
      <c r="B57" s="3755">
        <v>56</v>
      </c>
      <c r="C57" s="3755" t="s">
        <v>4495</v>
      </c>
      <c r="D57" s="3756" t="s">
        <v>4382</v>
      </c>
      <c r="E57" s="3757">
        <v>69.180000000000007</v>
      </c>
      <c r="F57" s="3758">
        <v>45035</v>
      </c>
      <c r="G57" s="3758">
        <v>45795</v>
      </c>
      <c r="H57" s="3759">
        <f t="shared" si="0"/>
        <v>7</v>
      </c>
      <c r="I57" s="3757">
        <v>14527.8</v>
      </c>
      <c r="J57" s="3760" t="s">
        <v>4496</v>
      </c>
      <c r="K57" s="3759" t="s">
        <v>4284</v>
      </c>
    </row>
    <row r="58" spans="1:11" s="3759" customFormat="1" ht="15" hidden="1">
      <c r="A58" s="3754">
        <v>57</v>
      </c>
      <c r="B58" s="3755">
        <v>57</v>
      </c>
      <c r="C58" s="3755" t="s">
        <v>4497</v>
      </c>
      <c r="D58" s="3756" t="s">
        <v>4382</v>
      </c>
      <c r="E58" s="3757">
        <v>106.05</v>
      </c>
      <c r="F58" s="3758">
        <v>45005</v>
      </c>
      <c r="G58" s="3758">
        <v>46160</v>
      </c>
      <c r="H58" s="3759">
        <f t="shared" si="0"/>
        <v>8.5</v>
      </c>
      <c r="I58" s="3757">
        <v>27042.75</v>
      </c>
      <c r="J58" s="3760" t="s">
        <v>4438</v>
      </c>
      <c r="K58" s="3759" t="s">
        <v>4498</v>
      </c>
    </row>
    <row r="59" spans="1:11" s="3759" customFormat="1" ht="15" hidden="1">
      <c r="A59" s="3754">
        <v>58</v>
      </c>
      <c r="B59" s="3755">
        <v>58</v>
      </c>
      <c r="C59" s="3755" t="s">
        <v>4499</v>
      </c>
      <c r="D59" s="3756" t="s">
        <v>4382</v>
      </c>
      <c r="E59" s="3757">
        <v>139.09</v>
      </c>
      <c r="F59" s="3758">
        <v>45045</v>
      </c>
      <c r="G59" s="3758">
        <v>46160</v>
      </c>
      <c r="H59" s="3759">
        <f t="shared" si="0"/>
        <v>5.33</v>
      </c>
      <c r="I59" s="3757">
        <v>22254.400000000001</v>
      </c>
      <c r="J59" s="3760" t="s">
        <v>4422</v>
      </c>
      <c r="K59" s="3759" t="s">
        <v>4490</v>
      </c>
    </row>
    <row r="60" spans="1:11" s="3759" customFormat="1" ht="15" hidden="1">
      <c r="A60" s="3754">
        <v>59</v>
      </c>
      <c r="B60" s="3755">
        <v>59</v>
      </c>
      <c r="C60" s="3755" t="s">
        <v>4500</v>
      </c>
      <c r="D60" s="3756" t="s">
        <v>4382</v>
      </c>
      <c r="E60" s="3757">
        <v>143.83000000000001</v>
      </c>
      <c r="F60" s="3758">
        <v>45055</v>
      </c>
      <c r="G60" s="3758">
        <v>45278</v>
      </c>
      <c r="H60" s="3759">
        <f t="shared" si="0"/>
        <v>0</v>
      </c>
      <c r="I60" s="3757">
        <v>0</v>
      </c>
      <c r="J60" s="3760" t="s">
        <v>4501</v>
      </c>
      <c r="K60" s="3759" t="s">
        <v>4502</v>
      </c>
    </row>
    <row r="61" spans="1:11" s="3759" customFormat="1" ht="15" hidden="1">
      <c r="A61" s="3754">
        <v>60</v>
      </c>
      <c r="B61" s="3755">
        <v>60</v>
      </c>
      <c r="C61" s="3755" t="s">
        <v>4503</v>
      </c>
      <c r="D61" s="3756" t="s">
        <v>4382</v>
      </c>
      <c r="E61" s="3757">
        <v>246.93</v>
      </c>
      <c r="F61" s="3758">
        <v>45020</v>
      </c>
      <c r="G61" s="3758">
        <v>46160</v>
      </c>
      <c r="H61" s="3759">
        <f t="shared" si="0"/>
        <v>4.5</v>
      </c>
      <c r="I61" s="3757">
        <v>33335.550000000003</v>
      </c>
      <c r="J61" s="3760" t="s">
        <v>4397</v>
      </c>
      <c r="K61" s="3759" t="s">
        <v>4467</v>
      </c>
    </row>
    <row r="62" spans="1:11" s="3759" customFormat="1" ht="15" hidden="1">
      <c r="A62" s="3754">
        <v>61</v>
      </c>
      <c r="B62" s="3755">
        <v>61</v>
      </c>
      <c r="C62" s="3755" t="s">
        <v>4504</v>
      </c>
      <c r="D62" s="3756" t="s">
        <v>4382</v>
      </c>
      <c r="E62" s="3757">
        <v>309.77</v>
      </c>
      <c r="F62" s="3758">
        <v>45020</v>
      </c>
      <c r="G62" s="3758">
        <v>46160</v>
      </c>
      <c r="H62" s="3759">
        <f t="shared" si="0"/>
        <v>3.83</v>
      </c>
      <c r="I62" s="3757">
        <v>35623.550000000003</v>
      </c>
      <c r="J62" s="3760" t="s">
        <v>4505</v>
      </c>
      <c r="K62" s="3759" t="s">
        <v>4506</v>
      </c>
    </row>
    <row r="63" spans="1:11" s="3759" customFormat="1" ht="15" hidden="1">
      <c r="A63" s="3754">
        <v>62</v>
      </c>
      <c r="B63" s="3755">
        <v>62</v>
      </c>
      <c r="C63" s="3755" t="s">
        <v>4507</v>
      </c>
      <c r="D63" s="3756" t="s">
        <v>4382</v>
      </c>
      <c r="E63" s="3757">
        <v>218.4</v>
      </c>
      <c r="F63" s="3758">
        <v>45020</v>
      </c>
      <c r="G63" s="3758">
        <v>46160</v>
      </c>
      <c r="H63" s="3759">
        <f t="shared" si="0"/>
        <v>3.33</v>
      </c>
      <c r="I63" s="3757">
        <v>21840</v>
      </c>
      <c r="J63" s="3760" t="s">
        <v>4402</v>
      </c>
      <c r="K63" s="3759" t="s">
        <v>4444</v>
      </c>
    </row>
    <row r="64" spans="1:11" s="3759" customFormat="1" ht="15" hidden="1">
      <c r="A64" s="3754">
        <v>63</v>
      </c>
      <c r="B64" s="3755">
        <v>63</v>
      </c>
      <c r="C64" s="3755" t="s">
        <v>4508</v>
      </c>
      <c r="D64" s="3756" t="s">
        <v>4382</v>
      </c>
      <c r="E64" s="3757">
        <v>142.25</v>
      </c>
      <c r="F64" s="3758">
        <v>45005</v>
      </c>
      <c r="G64" s="3758">
        <v>46160</v>
      </c>
      <c r="H64" s="3759">
        <f t="shared" si="0"/>
        <v>8.67</v>
      </c>
      <c r="I64" s="3757">
        <v>36985</v>
      </c>
      <c r="J64" s="3760" t="s">
        <v>4402</v>
      </c>
      <c r="K64" s="3759" t="s">
        <v>4509</v>
      </c>
    </row>
    <row r="65" spans="1:11" s="3759" customFormat="1" ht="15" hidden="1">
      <c r="A65" s="3754">
        <v>64</v>
      </c>
      <c r="B65" s="3755">
        <v>64</v>
      </c>
      <c r="C65" s="3755" t="s">
        <v>4510</v>
      </c>
      <c r="D65" s="3756" t="s">
        <v>4382</v>
      </c>
      <c r="E65" s="3757">
        <v>123.63</v>
      </c>
      <c r="F65" s="3758">
        <v>45035</v>
      </c>
      <c r="G65" s="3758">
        <v>46160</v>
      </c>
      <c r="H65" s="3759">
        <f t="shared" si="0"/>
        <v>5.03</v>
      </c>
      <c r="I65" s="3757">
        <v>18668.13</v>
      </c>
      <c r="J65" s="3760" t="s">
        <v>4402</v>
      </c>
      <c r="K65" s="3759" t="s">
        <v>4511</v>
      </c>
    </row>
    <row r="66" spans="1:11" s="3759" customFormat="1" ht="15" hidden="1">
      <c r="A66" s="3754">
        <v>65</v>
      </c>
      <c r="B66" s="3755">
        <v>65</v>
      </c>
      <c r="C66" s="3755" t="s">
        <v>4512</v>
      </c>
      <c r="D66" s="3756" t="s">
        <v>4382</v>
      </c>
      <c r="E66" s="3757">
        <v>104.44</v>
      </c>
      <c r="F66" s="3758">
        <v>45035</v>
      </c>
      <c r="G66" s="3758">
        <v>46160</v>
      </c>
      <c r="H66" s="3759">
        <f t="shared" ref="H66:H129" si="1">ROUND(I66/E66/30,2)</f>
        <v>7.33</v>
      </c>
      <c r="I66" s="3757">
        <v>22976.799999999999</v>
      </c>
      <c r="J66" s="3760" t="s">
        <v>4513</v>
      </c>
      <c r="K66" s="3759" t="s">
        <v>4514</v>
      </c>
    </row>
    <row r="67" spans="1:11" s="3759" customFormat="1" ht="15" hidden="1">
      <c r="A67" s="3754">
        <v>66</v>
      </c>
      <c r="B67" s="3755">
        <v>66</v>
      </c>
      <c r="C67" s="3755" t="s">
        <v>4515</v>
      </c>
      <c r="D67" s="3756" t="s">
        <v>4382</v>
      </c>
      <c r="E67" s="3757">
        <v>130</v>
      </c>
      <c r="F67" s="3758">
        <v>45041</v>
      </c>
      <c r="G67" s="3758">
        <v>46160</v>
      </c>
      <c r="H67" s="3759">
        <f t="shared" si="1"/>
        <v>3.67</v>
      </c>
      <c r="I67" s="3757">
        <v>14300</v>
      </c>
      <c r="J67" s="3760" t="s">
        <v>4516</v>
      </c>
      <c r="K67" s="3759" t="s">
        <v>4517</v>
      </c>
    </row>
    <row r="68" spans="1:11" s="3770" customFormat="1" ht="15">
      <c r="A68" s="3765">
        <v>67</v>
      </c>
      <c r="B68" s="3766">
        <v>67</v>
      </c>
      <c r="C68" s="3766" t="s">
        <v>4518</v>
      </c>
      <c r="D68" s="3767" t="s">
        <v>4382</v>
      </c>
      <c r="E68" s="3768">
        <v>84.42</v>
      </c>
      <c r="F68" s="3769">
        <v>45005</v>
      </c>
      <c r="G68" s="3769">
        <v>46891</v>
      </c>
      <c r="H68" s="3770">
        <f t="shared" si="1"/>
        <v>12</v>
      </c>
      <c r="I68" s="3768">
        <v>30391.200000000001</v>
      </c>
      <c r="J68" s="3771" t="s">
        <v>4519</v>
      </c>
      <c r="K68" s="3770" t="s">
        <v>4284</v>
      </c>
    </row>
    <row r="69" spans="1:11" s="3759" customFormat="1" ht="15">
      <c r="A69" s="3754">
        <v>68</v>
      </c>
      <c r="B69" s="3755">
        <v>68</v>
      </c>
      <c r="C69" s="3755" t="s">
        <v>4520</v>
      </c>
      <c r="D69" s="3756" t="s">
        <v>4382</v>
      </c>
      <c r="E69" s="3757">
        <v>437</v>
      </c>
      <c r="F69" s="3758">
        <v>45005</v>
      </c>
      <c r="G69" s="3758">
        <v>45795</v>
      </c>
      <c r="H69" s="3759">
        <f t="shared" si="1"/>
        <v>20</v>
      </c>
      <c r="I69" s="3757">
        <v>262200</v>
      </c>
      <c r="J69" s="3760" t="s">
        <v>4466</v>
      </c>
      <c r="K69" s="3759" t="s">
        <v>4521</v>
      </c>
    </row>
    <row r="70" spans="1:11" s="3759" customFormat="1" ht="15">
      <c r="A70" s="3754">
        <v>69</v>
      </c>
      <c r="B70" s="3755">
        <v>69</v>
      </c>
      <c r="C70" s="3755" t="s">
        <v>4522</v>
      </c>
      <c r="D70" s="3756" t="s">
        <v>4382</v>
      </c>
      <c r="E70" s="3757">
        <v>147.85</v>
      </c>
      <c r="F70" s="3758">
        <v>45020</v>
      </c>
      <c r="G70" s="3758">
        <v>46160</v>
      </c>
      <c r="H70" s="3759">
        <f t="shared" si="1"/>
        <v>7.33</v>
      </c>
      <c r="I70" s="3757">
        <v>32527</v>
      </c>
      <c r="J70" s="3760" t="s">
        <v>4516</v>
      </c>
      <c r="K70" s="3759" t="s">
        <v>4514</v>
      </c>
    </row>
    <row r="71" spans="1:11" s="3759" customFormat="1" ht="15">
      <c r="A71" s="3754">
        <v>70</v>
      </c>
      <c r="B71" s="3755">
        <v>70</v>
      </c>
      <c r="C71" s="3755" t="s">
        <v>4523</v>
      </c>
      <c r="D71" s="3756" t="s">
        <v>4382</v>
      </c>
      <c r="E71" s="3757">
        <v>162.97999999999999</v>
      </c>
      <c r="F71" s="3758">
        <v>45035</v>
      </c>
      <c r="G71" s="3758">
        <v>45795</v>
      </c>
      <c r="H71" s="3759">
        <f t="shared" si="1"/>
        <v>7</v>
      </c>
      <c r="I71" s="3757">
        <v>34225.800000000003</v>
      </c>
      <c r="J71" s="3760" t="s">
        <v>4496</v>
      </c>
      <c r="K71" s="3759" t="s">
        <v>4426</v>
      </c>
    </row>
    <row r="72" spans="1:11" s="3759" customFormat="1" ht="15">
      <c r="A72" s="3754">
        <v>71</v>
      </c>
      <c r="B72" s="3755">
        <v>71</v>
      </c>
      <c r="C72" s="3755" t="s">
        <v>4524</v>
      </c>
      <c r="D72" s="3756" t="s">
        <v>4382</v>
      </c>
      <c r="E72" s="3757">
        <v>116.2</v>
      </c>
      <c r="F72" s="3758">
        <v>45035</v>
      </c>
      <c r="G72" s="3758">
        <v>46160</v>
      </c>
      <c r="H72" s="3759">
        <f t="shared" si="1"/>
        <v>0</v>
      </c>
      <c r="I72" s="3757">
        <v>0</v>
      </c>
      <c r="J72" s="3760" t="s">
        <v>4525</v>
      </c>
      <c r="K72" s="3759" t="s">
        <v>4413</v>
      </c>
    </row>
    <row r="73" spans="1:11" s="3759" customFormat="1" ht="15">
      <c r="A73" s="3754">
        <v>72</v>
      </c>
      <c r="B73" s="3755">
        <v>72</v>
      </c>
      <c r="C73" s="3755" t="s">
        <v>4526</v>
      </c>
      <c r="D73" s="3756" t="s">
        <v>4382</v>
      </c>
      <c r="E73" s="3757">
        <v>119.07</v>
      </c>
      <c r="F73" s="3758">
        <v>45030</v>
      </c>
      <c r="G73" s="3758">
        <v>45430</v>
      </c>
      <c r="H73" s="3759">
        <f t="shared" si="1"/>
        <v>0</v>
      </c>
      <c r="I73" s="3757">
        <v>0</v>
      </c>
      <c r="J73" s="3760" t="s">
        <v>4527</v>
      </c>
      <c r="K73" s="3759" t="s">
        <v>4426</v>
      </c>
    </row>
    <row r="74" spans="1:11" s="3759" customFormat="1" ht="15">
      <c r="A74" s="3754">
        <v>73</v>
      </c>
      <c r="B74" s="3755">
        <v>73</v>
      </c>
      <c r="C74" s="3755" t="s">
        <v>4528</v>
      </c>
      <c r="D74" s="3756" t="s">
        <v>4382</v>
      </c>
      <c r="E74" s="3757">
        <v>64</v>
      </c>
      <c r="F74" s="3758">
        <v>45035</v>
      </c>
      <c r="G74" s="3758">
        <v>46160</v>
      </c>
      <c r="H74" s="3759">
        <f t="shared" si="1"/>
        <v>8</v>
      </c>
      <c r="I74" s="3757">
        <v>15360</v>
      </c>
      <c r="J74" s="3760" t="s">
        <v>4438</v>
      </c>
      <c r="K74" s="3759" t="s">
        <v>4432</v>
      </c>
    </row>
    <row r="75" spans="1:11" s="3759" customFormat="1" ht="15">
      <c r="A75" s="3754">
        <v>74</v>
      </c>
      <c r="B75" s="3755">
        <v>74</v>
      </c>
      <c r="C75" s="3755" t="s">
        <v>4523</v>
      </c>
      <c r="D75" s="3756" t="s">
        <v>4382</v>
      </c>
      <c r="E75" s="3757">
        <v>45.38</v>
      </c>
      <c r="F75" s="3758">
        <v>45045</v>
      </c>
      <c r="G75" s="3758">
        <v>45795</v>
      </c>
      <c r="H75" s="3759">
        <f t="shared" si="1"/>
        <v>10</v>
      </c>
      <c r="I75" s="3757">
        <v>13614</v>
      </c>
      <c r="J75" s="3760" t="s">
        <v>4449</v>
      </c>
      <c r="K75" s="3759" t="s">
        <v>4529</v>
      </c>
    </row>
    <row r="76" spans="1:11" s="3759" customFormat="1" ht="15">
      <c r="A76" s="3754">
        <v>75</v>
      </c>
      <c r="B76" s="3755">
        <v>75</v>
      </c>
      <c r="C76" s="3755" t="s">
        <v>4530</v>
      </c>
      <c r="D76" s="3756" t="s">
        <v>4382</v>
      </c>
      <c r="E76" s="3757">
        <v>155.52000000000001</v>
      </c>
      <c r="F76" s="3758">
        <v>45260</v>
      </c>
      <c r="G76" s="3758">
        <v>45640</v>
      </c>
      <c r="H76" s="3759">
        <f t="shared" si="1"/>
        <v>0</v>
      </c>
      <c r="I76" s="3757">
        <v>0</v>
      </c>
      <c r="J76" s="3760" t="s">
        <v>4433</v>
      </c>
      <c r="K76" s="3761" t="s">
        <v>4531</v>
      </c>
    </row>
    <row r="77" spans="1:11" s="3759" customFormat="1" ht="15">
      <c r="A77" s="3754">
        <v>76</v>
      </c>
      <c r="B77" s="3755">
        <v>76</v>
      </c>
      <c r="C77" s="3755" t="s">
        <v>4532</v>
      </c>
      <c r="D77" s="3756" t="s">
        <v>4382</v>
      </c>
      <c r="E77" s="3757">
        <v>61.54</v>
      </c>
      <c r="F77" s="3758">
        <v>45035</v>
      </c>
      <c r="G77" s="3758">
        <v>46160</v>
      </c>
      <c r="H77" s="3759">
        <f t="shared" si="1"/>
        <v>10</v>
      </c>
      <c r="I77" s="3757">
        <v>18462</v>
      </c>
      <c r="J77" s="3760" t="s">
        <v>4533</v>
      </c>
      <c r="K77" s="3759" t="s">
        <v>4534</v>
      </c>
    </row>
    <row r="78" spans="1:11" s="3759" customFormat="1" ht="15">
      <c r="A78" s="3754">
        <v>77</v>
      </c>
      <c r="B78" s="3755">
        <v>77</v>
      </c>
      <c r="C78" s="3755" t="s">
        <v>4535</v>
      </c>
      <c r="D78" s="3756" t="s">
        <v>4382</v>
      </c>
      <c r="E78" s="3757">
        <v>1166.44</v>
      </c>
      <c r="F78" s="3758">
        <v>44910</v>
      </c>
      <c r="G78" s="3758">
        <v>48717</v>
      </c>
      <c r="H78" s="3759">
        <f t="shared" si="1"/>
        <v>0</v>
      </c>
      <c r="I78" s="3757">
        <v>0</v>
      </c>
      <c r="J78" s="3760" t="s">
        <v>4536</v>
      </c>
      <c r="K78" s="3759" t="s">
        <v>4423</v>
      </c>
    </row>
    <row r="79" spans="1:11" s="3759" customFormat="1" ht="15">
      <c r="A79" s="3754">
        <v>78</v>
      </c>
      <c r="B79" s="3755">
        <v>78</v>
      </c>
      <c r="C79" s="3755" t="s">
        <v>4537</v>
      </c>
      <c r="D79" s="3756" t="s">
        <v>4382</v>
      </c>
      <c r="E79" s="3757">
        <v>202</v>
      </c>
      <c r="F79" s="3758">
        <v>45110</v>
      </c>
      <c r="G79" s="3758">
        <v>46265</v>
      </c>
      <c r="H79" s="3759">
        <f t="shared" si="1"/>
        <v>6.93</v>
      </c>
      <c r="I79" s="3757">
        <v>42016</v>
      </c>
      <c r="J79" s="3760" t="s">
        <v>4538</v>
      </c>
      <c r="K79" s="3759" t="s">
        <v>4539</v>
      </c>
    </row>
    <row r="80" spans="1:11" s="3759" customFormat="1" ht="15">
      <c r="A80" s="3754">
        <v>79</v>
      </c>
      <c r="B80" s="3755">
        <v>79</v>
      </c>
      <c r="C80" s="3755" t="s">
        <v>4540</v>
      </c>
      <c r="D80" s="3756" t="s">
        <v>4382</v>
      </c>
      <c r="E80" s="3757">
        <v>87.35</v>
      </c>
      <c r="F80" s="3758">
        <v>45035</v>
      </c>
      <c r="G80" s="3758">
        <v>46160</v>
      </c>
      <c r="H80" s="3759">
        <f t="shared" si="1"/>
        <v>10</v>
      </c>
      <c r="I80" s="3757">
        <v>26205</v>
      </c>
      <c r="J80" s="3760" t="s">
        <v>4541</v>
      </c>
      <c r="K80" s="3759" t="s">
        <v>4423</v>
      </c>
    </row>
    <row r="81" spans="1:11" s="3759" customFormat="1" ht="15">
      <c r="A81" s="3754">
        <v>80</v>
      </c>
      <c r="B81" s="3755">
        <v>80</v>
      </c>
      <c r="C81" s="3755" t="s">
        <v>4542</v>
      </c>
      <c r="D81" s="3756" t="s">
        <v>4382</v>
      </c>
      <c r="E81" s="3757">
        <v>82.45</v>
      </c>
      <c r="F81" s="3758">
        <v>45035</v>
      </c>
      <c r="G81" s="3758">
        <v>46160</v>
      </c>
      <c r="H81" s="3759">
        <f t="shared" si="1"/>
        <v>0</v>
      </c>
      <c r="I81" s="3757">
        <v>0</v>
      </c>
      <c r="J81" s="3760" t="s">
        <v>4543</v>
      </c>
      <c r="K81" s="3759" t="s">
        <v>4544</v>
      </c>
    </row>
    <row r="82" spans="1:11" s="3759" customFormat="1" ht="15">
      <c r="A82" s="3754">
        <v>81</v>
      </c>
      <c r="B82" s="3755">
        <v>81</v>
      </c>
      <c r="C82" s="3755" t="s">
        <v>4545</v>
      </c>
      <c r="D82" s="3756" t="s">
        <v>4382</v>
      </c>
      <c r="E82" s="3757">
        <v>114.4</v>
      </c>
      <c r="F82" s="3758">
        <v>45249</v>
      </c>
      <c r="G82" s="3758">
        <v>46374</v>
      </c>
      <c r="H82" s="3759">
        <f t="shared" si="1"/>
        <v>2.8</v>
      </c>
      <c r="I82" s="3757">
        <v>9594.84</v>
      </c>
      <c r="J82" s="3760" t="s">
        <v>4546</v>
      </c>
      <c r="K82" s="3759" t="s">
        <v>4426</v>
      </c>
    </row>
    <row r="83" spans="1:11" s="3759" customFormat="1" ht="15">
      <c r="A83" s="3754">
        <v>82</v>
      </c>
      <c r="B83" s="3755">
        <v>82</v>
      </c>
      <c r="C83" s="3755" t="s">
        <v>4547</v>
      </c>
      <c r="D83" s="3756" t="s">
        <v>4382</v>
      </c>
      <c r="E83" s="3757">
        <v>161.36000000000001</v>
      </c>
      <c r="F83" s="3758">
        <v>45005</v>
      </c>
      <c r="G83" s="3758">
        <v>46160</v>
      </c>
      <c r="H83" s="3759">
        <f t="shared" si="1"/>
        <v>8.4</v>
      </c>
      <c r="I83" s="3757">
        <v>40662.720000000001</v>
      </c>
      <c r="J83" s="3760" t="s">
        <v>4548</v>
      </c>
      <c r="K83" s="3759" t="s">
        <v>4549</v>
      </c>
    </row>
    <row r="84" spans="1:11" s="3759" customFormat="1" ht="15">
      <c r="A84" s="3754">
        <v>83</v>
      </c>
      <c r="B84" s="3755">
        <v>83</v>
      </c>
      <c r="C84" s="3755" t="s">
        <v>4550</v>
      </c>
      <c r="D84" s="3756" t="s">
        <v>4382</v>
      </c>
      <c r="E84" s="3757">
        <v>210.13</v>
      </c>
      <c r="F84" s="3758">
        <v>45005</v>
      </c>
      <c r="G84" s="3758">
        <v>45795</v>
      </c>
      <c r="H84" s="3759">
        <f t="shared" si="1"/>
        <v>19.600000000000001</v>
      </c>
      <c r="I84" s="3757">
        <v>123556.44</v>
      </c>
      <c r="J84" s="3760" t="s">
        <v>4459</v>
      </c>
      <c r="K84" s="3759" t="s">
        <v>4531</v>
      </c>
    </row>
    <row r="85" spans="1:11" s="3759" customFormat="1" ht="15">
      <c r="A85" s="3754">
        <v>84</v>
      </c>
      <c r="B85" s="3755">
        <v>84</v>
      </c>
      <c r="C85" s="3755" t="s">
        <v>4551</v>
      </c>
      <c r="D85" s="3756" t="s">
        <v>4382</v>
      </c>
      <c r="E85" s="3757">
        <v>78.180000000000007</v>
      </c>
      <c r="F85" s="3758">
        <v>45035</v>
      </c>
      <c r="G85" s="3758">
        <v>46160</v>
      </c>
      <c r="H85" s="3759">
        <f t="shared" si="1"/>
        <v>10</v>
      </c>
      <c r="I85" s="3757">
        <v>23454</v>
      </c>
      <c r="J85" s="3760" t="s">
        <v>4541</v>
      </c>
      <c r="K85" s="3759" t="s">
        <v>4476</v>
      </c>
    </row>
    <row r="86" spans="1:11" s="3759" customFormat="1" ht="15">
      <c r="A86" s="3754">
        <v>85</v>
      </c>
      <c r="B86" s="3755">
        <v>85</v>
      </c>
      <c r="C86" s="3755" t="s">
        <v>4552</v>
      </c>
      <c r="D86" s="3756" t="s">
        <v>4382</v>
      </c>
      <c r="E86" s="3757">
        <v>141.78</v>
      </c>
      <c r="F86" s="3758">
        <v>45025</v>
      </c>
      <c r="G86" s="3758">
        <v>45795</v>
      </c>
      <c r="H86" s="3759">
        <f t="shared" si="1"/>
        <v>5</v>
      </c>
      <c r="I86" s="3757">
        <v>21267</v>
      </c>
      <c r="J86" s="3760" t="s">
        <v>4553</v>
      </c>
      <c r="K86" s="3759" t="s">
        <v>4426</v>
      </c>
    </row>
    <row r="87" spans="1:11" s="3759" customFormat="1" ht="15">
      <c r="A87" s="3754">
        <v>86</v>
      </c>
      <c r="B87" s="3755">
        <v>86</v>
      </c>
      <c r="C87" s="3755" t="s">
        <v>4554</v>
      </c>
      <c r="D87" s="3756" t="s">
        <v>4382</v>
      </c>
      <c r="E87" s="3757">
        <v>176.25</v>
      </c>
      <c r="F87" s="3758">
        <v>44986</v>
      </c>
      <c r="G87" s="3758">
        <v>46891</v>
      </c>
      <c r="H87" s="3759">
        <f t="shared" si="1"/>
        <v>4</v>
      </c>
      <c r="I87" s="3757">
        <v>21150</v>
      </c>
      <c r="J87" s="3760" t="s">
        <v>4555</v>
      </c>
      <c r="K87" s="3759" t="s">
        <v>4284</v>
      </c>
    </row>
    <row r="88" spans="1:11" s="3759" customFormat="1" ht="15">
      <c r="A88" s="3754">
        <v>87</v>
      </c>
      <c r="B88" s="3755">
        <v>87</v>
      </c>
      <c r="C88" s="3755" t="s">
        <v>4556</v>
      </c>
      <c r="D88" s="3756" t="s">
        <v>4382</v>
      </c>
      <c r="E88" s="3757">
        <v>126.65</v>
      </c>
      <c r="F88" s="3758">
        <v>45035</v>
      </c>
      <c r="G88" s="3758">
        <v>45795</v>
      </c>
      <c r="H88" s="3759">
        <f t="shared" si="1"/>
        <v>0</v>
      </c>
      <c r="I88" s="3757">
        <v>0</v>
      </c>
      <c r="J88" s="3760" t="s">
        <v>4557</v>
      </c>
      <c r="K88" s="3759" t="s">
        <v>4426</v>
      </c>
    </row>
    <row r="89" spans="1:11" s="3759" customFormat="1" ht="15">
      <c r="A89" s="3754">
        <v>88</v>
      </c>
      <c r="B89" s="3755">
        <v>88</v>
      </c>
      <c r="C89" s="3755" t="s">
        <v>4558</v>
      </c>
      <c r="D89" s="3756" t="s">
        <v>4382</v>
      </c>
      <c r="E89" s="3757">
        <v>150</v>
      </c>
      <c r="F89" s="3758">
        <v>45035</v>
      </c>
      <c r="G89" s="3758">
        <v>46160</v>
      </c>
      <c r="H89" s="3759">
        <f t="shared" si="1"/>
        <v>9.33</v>
      </c>
      <c r="I89" s="3757">
        <v>42000</v>
      </c>
      <c r="J89" s="3760" t="s">
        <v>4559</v>
      </c>
      <c r="K89" s="3759" t="s">
        <v>4476</v>
      </c>
    </row>
    <row r="90" spans="1:11" s="3759" customFormat="1" ht="15">
      <c r="A90" s="3754">
        <v>89</v>
      </c>
      <c r="B90" s="3755">
        <v>89</v>
      </c>
      <c r="C90" s="3755" t="s">
        <v>4560</v>
      </c>
      <c r="D90" s="3756" t="s">
        <v>4382</v>
      </c>
      <c r="E90" s="3757">
        <v>122.14</v>
      </c>
      <c r="F90" s="3758">
        <v>45025</v>
      </c>
      <c r="G90" s="3758">
        <v>46160</v>
      </c>
      <c r="H90" s="3759">
        <f t="shared" si="1"/>
        <v>9.33</v>
      </c>
      <c r="I90" s="3757">
        <v>34199.199999999997</v>
      </c>
      <c r="J90" s="3760" t="s">
        <v>4559</v>
      </c>
      <c r="K90" s="3759" t="s">
        <v>4561</v>
      </c>
    </row>
    <row r="91" spans="1:11" s="3759" customFormat="1" ht="15">
      <c r="A91" s="3754">
        <v>90</v>
      </c>
      <c r="B91" s="3755">
        <v>90</v>
      </c>
      <c r="C91" s="3755" t="s">
        <v>4562</v>
      </c>
      <c r="D91" s="3756" t="s">
        <v>4382</v>
      </c>
      <c r="E91" s="3757">
        <v>158.22999999999999</v>
      </c>
      <c r="F91" s="3758">
        <v>45020</v>
      </c>
      <c r="G91" s="3758">
        <v>46160</v>
      </c>
      <c r="H91" s="3759">
        <f t="shared" si="1"/>
        <v>7.67</v>
      </c>
      <c r="I91" s="3757">
        <v>36392.9</v>
      </c>
      <c r="J91" s="3760" t="s">
        <v>4438</v>
      </c>
      <c r="K91" s="3759" t="s">
        <v>4426</v>
      </c>
    </row>
    <row r="92" spans="1:11" s="3759" customFormat="1" ht="15">
      <c r="A92" s="3754">
        <v>91</v>
      </c>
      <c r="B92" s="3755">
        <v>91</v>
      </c>
      <c r="C92" s="3755" t="s">
        <v>4563</v>
      </c>
      <c r="D92" s="3756" t="s">
        <v>4382</v>
      </c>
      <c r="E92" s="3757">
        <v>180.18</v>
      </c>
      <c r="F92" s="3758">
        <v>45035</v>
      </c>
      <c r="G92" s="3758">
        <v>45795</v>
      </c>
      <c r="H92" s="3759">
        <f t="shared" si="1"/>
        <v>7</v>
      </c>
      <c r="I92" s="3757">
        <v>37837.800000000003</v>
      </c>
      <c r="J92" s="3760" t="s">
        <v>4390</v>
      </c>
      <c r="K92" s="3759" t="s">
        <v>4426</v>
      </c>
    </row>
    <row r="93" spans="1:11" s="3759" customFormat="1" ht="15">
      <c r="A93" s="3754">
        <v>92</v>
      </c>
      <c r="B93" s="3755">
        <v>92</v>
      </c>
      <c r="C93" s="3755" t="s">
        <v>4564</v>
      </c>
      <c r="D93" s="3756" t="s">
        <v>4382</v>
      </c>
      <c r="E93" s="3757">
        <v>150</v>
      </c>
      <c r="F93" s="3758">
        <v>44977</v>
      </c>
      <c r="G93" s="3758">
        <v>47993</v>
      </c>
      <c r="H93" s="3759">
        <f t="shared" si="1"/>
        <v>6</v>
      </c>
      <c r="I93" s="3757">
        <v>27000</v>
      </c>
      <c r="J93" s="3760" t="s">
        <v>4565</v>
      </c>
      <c r="K93" s="3759" t="s">
        <v>4284</v>
      </c>
    </row>
    <row r="94" spans="1:11" s="3759" customFormat="1" ht="15">
      <c r="A94" s="3754">
        <v>93</v>
      </c>
      <c r="B94" s="3755">
        <v>93</v>
      </c>
      <c r="C94" s="3755" t="s">
        <v>4566</v>
      </c>
      <c r="D94" s="3756" t="s">
        <v>4382</v>
      </c>
      <c r="E94" s="3757">
        <v>148.4</v>
      </c>
      <c r="F94" s="3758">
        <v>45005</v>
      </c>
      <c r="G94" s="3758">
        <v>46891</v>
      </c>
      <c r="H94" s="3759">
        <f t="shared" si="1"/>
        <v>9.33</v>
      </c>
      <c r="I94" s="3757">
        <v>41552</v>
      </c>
      <c r="J94" s="3760" t="s">
        <v>4383</v>
      </c>
      <c r="K94" s="3759" t="s">
        <v>4476</v>
      </c>
    </row>
    <row r="95" spans="1:11" s="3759" customFormat="1" ht="15" hidden="1">
      <c r="A95" s="3754">
        <v>94</v>
      </c>
      <c r="B95" s="3755">
        <v>94</v>
      </c>
      <c r="C95" s="3755" t="s">
        <v>4567</v>
      </c>
      <c r="D95" s="3756" t="s">
        <v>4382</v>
      </c>
      <c r="E95" s="3757">
        <v>251.61</v>
      </c>
      <c r="F95" s="3758">
        <v>45005</v>
      </c>
      <c r="G95" s="3758">
        <v>46891</v>
      </c>
      <c r="H95" s="3759">
        <f t="shared" si="1"/>
        <v>1.7</v>
      </c>
      <c r="I95" s="3757">
        <v>12832.11</v>
      </c>
      <c r="J95" s="3760" t="s">
        <v>4568</v>
      </c>
      <c r="K95" s="3759" t="s">
        <v>4569</v>
      </c>
    </row>
    <row r="96" spans="1:11" s="3759" customFormat="1" ht="15" hidden="1">
      <c r="A96" s="3754">
        <v>95</v>
      </c>
      <c r="B96" s="3755">
        <v>95</v>
      </c>
      <c r="C96" s="3755" t="s">
        <v>4570</v>
      </c>
      <c r="D96" s="3756" t="s">
        <v>4382</v>
      </c>
      <c r="E96" s="3757">
        <v>80</v>
      </c>
      <c r="F96" s="3758">
        <v>45035</v>
      </c>
      <c r="G96" s="3758">
        <v>46160</v>
      </c>
      <c r="H96" s="3759">
        <f t="shared" si="1"/>
        <v>10</v>
      </c>
      <c r="I96" s="3757">
        <v>24000</v>
      </c>
      <c r="J96" s="3760" t="s">
        <v>4571</v>
      </c>
      <c r="K96" s="3759" t="s">
        <v>4284</v>
      </c>
    </row>
    <row r="97" spans="1:11" s="3759" customFormat="1" ht="15" hidden="1">
      <c r="A97" s="3754">
        <v>96</v>
      </c>
      <c r="B97" s="3755">
        <v>96</v>
      </c>
      <c r="C97" s="3755" t="s">
        <v>4572</v>
      </c>
      <c r="D97" s="3756" t="s">
        <v>4382</v>
      </c>
      <c r="E97" s="3757">
        <v>80.27</v>
      </c>
      <c r="F97" s="3758">
        <v>45035</v>
      </c>
      <c r="G97" s="3758">
        <v>45795</v>
      </c>
      <c r="H97" s="3759">
        <f t="shared" si="1"/>
        <v>6.67</v>
      </c>
      <c r="I97" s="3757">
        <v>16054</v>
      </c>
      <c r="J97" s="3760" t="s">
        <v>4446</v>
      </c>
      <c r="K97" s="3759" t="s">
        <v>4426</v>
      </c>
    </row>
    <row r="98" spans="1:11" s="3759" customFormat="1" ht="15" hidden="1">
      <c r="A98" s="3754">
        <v>97</v>
      </c>
      <c r="B98" s="3755">
        <v>97</v>
      </c>
      <c r="C98" s="3755" t="s">
        <v>4573</v>
      </c>
      <c r="D98" s="3756" t="s">
        <v>4382</v>
      </c>
      <c r="E98" s="3757">
        <v>68.790000000000006</v>
      </c>
      <c r="F98" s="3758">
        <v>45035</v>
      </c>
      <c r="G98" s="3758">
        <v>46160</v>
      </c>
      <c r="H98" s="3759">
        <f t="shared" si="1"/>
        <v>7.33</v>
      </c>
      <c r="I98" s="3757">
        <v>15133.8</v>
      </c>
      <c r="J98" s="3760" t="s">
        <v>4516</v>
      </c>
      <c r="K98" s="3759" t="s">
        <v>4426</v>
      </c>
    </row>
    <row r="99" spans="1:11" s="3759" customFormat="1" ht="15" hidden="1">
      <c r="A99" s="3754">
        <v>98</v>
      </c>
      <c r="B99" s="3755">
        <v>98</v>
      </c>
      <c r="C99" s="3755" t="s">
        <v>4574</v>
      </c>
      <c r="D99" s="3756" t="s">
        <v>4382</v>
      </c>
      <c r="E99" s="3757">
        <v>100.49</v>
      </c>
      <c r="F99" s="3758">
        <v>45035</v>
      </c>
      <c r="G99" s="3758">
        <v>46160</v>
      </c>
      <c r="H99" s="3759">
        <f t="shared" si="1"/>
        <v>0</v>
      </c>
      <c r="I99" s="3757">
        <v>0</v>
      </c>
      <c r="J99" s="3760" t="s">
        <v>4575</v>
      </c>
      <c r="K99" s="3759" t="s">
        <v>4544</v>
      </c>
    </row>
    <row r="100" spans="1:11" s="3759" customFormat="1" ht="15" hidden="1">
      <c r="A100" s="3754">
        <v>99</v>
      </c>
      <c r="B100" s="3755">
        <v>99</v>
      </c>
      <c r="C100" s="3755" t="s">
        <v>4576</v>
      </c>
      <c r="D100" s="3756" t="s">
        <v>4382</v>
      </c>
      <c r="E100" s="3757">
        <v>121.16</v>
      </c>
      <c r="F100" s="3758">
        <v>45035</v>
      </c>
      <c r="G100" s="3758">
        <v>46160</v>
      </c>
      <c r="H100" s="3759">
        <f t="shared" si="1"/>
        <v>6.33</v>
      </c>
      <c r="I100" s="3757">
        <v>23020.400000000001</v>
      </c>
      <c r="J100" s="3760" t="s">
        <v>4390</v>
      </c>
      <c r="K100" s="3759" t="s">
        <v>4426</v>
      </c>
    </row>
    <row r="101" spans="1:11" s="3759" customFormat="1" ht="15" hidden="1">
      <c r="A101" s="3754">
        <v>100</v>
      </c>
      <c r="B101" s="3755">
        <v>100</v>
      </c>
      <c r="C101" s="3755" t="s">
        <v>4577</v>
      </c>
      <c r="D101" s="3756" t="s">
        <v>4382</v>
      </c>
      <c r="E101" s="3757">
        <v>117</v>
      </c>
      <c r="F101" s="3758">
        <v>45035</v>
      </c>
      <c r="G101" s="3758">
        <v>46160</v>
      </c>
      <c r="H101" s="3759">
        <f t="shared" si="1"/>
        <v>0</v>
      </c>
      <c r="I101" s="3757">
        <v>0</v>
      </c>
      <c r="J101" s="3760" t="s">
        <v>4578</v>
      </c>
      <c r="K101" s="3759" t="s">
        <v>4426</v>
      </c>
    </row>
    <row r="102" spans="1:11" s="3759" customFormat="1" ht="15" hidden="1">
      <c r="A102" s="3754">
        <v>101</v>
      </c>
      <c r="B102" s="3755">
        <v>101</v>
      </c>
      <c r="C102" s="3755" t="s">
        <v>4579</v>
      </c>
      <c r="D102" s="3756" t="s">
        <v>4382</v>
      </c>
      <c r="E102" s="3757">
        <v>131.4</v>
      </c>
      <c r="F102" s="3758">
        <v>45035</v>
      </c>
      <c r="G102" s="3758">
        <v>45795</v>
      </c>
      <c r="H102" s="3759">
        <f t="shared" si="1"/>
        <v>8</v>
      </c>
      <c r="I102" s="3757">
        <v>31536</v>
      </c>
      <c r="J102" s="3760" t="s">
        <v>4466</v>
      </c>
      <c r="K102" s="3759" t="s">
        <v>4426</v>
      </c>
    </row>
    <row r="103" spans="1:11" s="3759" customFormat="1" ht="15" hidden="1">
      <c r="A103" s="3754">
        <v>102</v>
      </c>
      <c r="B103" s="3755">
        <v>102</v>
      </c>
      <c r="C103" s="3755" t="s">
        <v>4580</v>
      </c>
      <c r="D103" s="3756" t="s">
        <v>4382</v>
      </c>
      <c r="E103" s="3757">
        <v>102.39</v>
      </c>
      <c r="F103" s="3758">
        <v>45035</v>
      </c>
      <c r="G103" s="3758">
        <v>46160</v>
      </c>
      <c r="H103" s="3759">
        <f t="shared" si="1"/>
        <v>13.33</v>
      </c>
      <c r="I103" s="3757">
        <v>40956</v>
      </c>
      <c r="J103" s="3760" t="s">
        <v>4581</v>
      </c>
      <c r="K103" s="3759" t="s">
        <v>4582</v>
      </c>
    </row>
    <row r="104" spans="1:11" s="3759" customFormat="1" ht="15" hidden="1">
      <c r="A104" s="3754">
        <v>103</v>
      </c>
      <c r="B104" s="3755">
        <v>103</v>
      </c>
      <c r="C104" s="3755" t="s">
        <v>4583</v>
      </c>
      <c r="D104" s="3756" t="s">
        <v>4382</v>
      </c>
      <c r="E104" s="3757">
        <v>119.8</v>
      </c>
      <c r="F104" s="3758">
        <v>45035</v>
      </c>
      <c r="G104" s="3758">
        <v>45795</v>
      </c>
      <c r="H104" s="3759">
        <f t="shared" si="1"/>
        <v>16.670000000000002</v>
      </c>
      <c r="I104" s="3757">
        <v>59900</v>
      </c>
      <c r="J104" s="3760" t="s">
        <v>4496</v>
      </c>
      <c r="K104" s="3759" t="s">
        <v>4584</v>
      </c>
    </row>
    <row r="105" spans="1:11" s="3759" customFormat="1" ht="15" hidden="1">
      <c r="A105" s="3754">
        <v>104</v>
      </c>
      <c r="B105" s="3755">
        <v>104</v>
      </c>
      <c r="C105" s="3755" t="s">
        <v>4585</v>
      </c>
      <c r="D105" s="3756" t="s">
        <v>4382</v>
      </c>
      <c r="E105" s="3757">
        <v>119.92</v>
      </c>
      <c r="F105" s="3758">
        <v>45035</v>
      </c>
      <c r="G105" s="3758">
        <v>46160</v>
      </c>
      <c r="H105" s="3759">
        <f t="shared" si="1"/>
        <v>15.27</v>
      </c>
      <c r="I105" s="3757">
        <v>54923.360000000001</v>
      </c>
      <c r="J105" s="3760" t="s">
        <v>4586</v>
      </c>
      <c r="K105" s="3759" t="s">
        <v>4587</v>
      </c>
    </row>
    <row r="106" spans="1:11" s="3759" customFormat="1" ht="15" hidden="1">
      <c r="A106" s="3754">
        <v>105</v>
      </c>
      <c r="B106" s="3755">
        <v>105</v>
      </c>
      <c r="C106" s="3755" t="s">
        <v>4588</v>
      </c>
      <c r="D106" s="3756" t="s">
        <v>4382</v>
      </c>
      <c r="E106" s="3757">
        <v>119.9</v>
      </c>
      <c r="F106" s="3758">
        <v>45035</v>
      </c>
      <c r="G106" s="3758">
        <v>45795</v>
      </c>
      <c r="H106" s="3759">
        <f t="shared" si="1"/>
        <v>17.329999999999998</v>
      </c>
      <c r="I106" s="3757">
        <v>62348</v>
      </c>
      <c r="J106" s="3760" t="s">
        <v>4496</v>
      </c>
      <c r="K106" s="3759" t="s">
        <v>4589</v>
      </c>
    </row>
    <row r="107" spans="1:11" s="3759" customFormat="1" ht="15" hidden="1">
      <c r="A107" s="3754">
        <v>106</v>
      </c>
      <c r="B107" s="3755">
        <v>106</v>
      </c>
      <c r="C107" s="3755" t="s">
        <v>4590</v>
      </c>
      <c r="D107" s="3756" t="s">
        <v>4382</v>
      </c>
      <c r="E107" s="3757">
        <v>119.44</v>
      </c>
      <c r="F107" s="3758">
        <v>45035</v>
      </c>
      <c r="G107" s="3758">
        <v>46160</v>
      </c>
      <c r="H107" s="3759">
        <f t="shared" si="1"/>
        <v>20</v>
      </c>
      <c r="I107" s="3757">
        <v>71664</v>
      </c>
      <c r="J107" s="3760" t="s">
        <v>4591</v>
      </c>
      <c r="K107" s="3759" t="s">
        <v>4589</v>
      </c>
    </row>
    <row r="108" spans="1:11" s="3759" customFormat="1" ht="15" hidden="1">
      <c r="A108" s="3754">
        <v>107</v>
      </c>
      <c r="B108" s="3755">
        <v>107</v>
      </c>
      <c r="C108" s="3755" t="s">
        <v>4592</v>
      </c>
      <c r="D108" s="3756" t="s">
        <v>4382</v>
      </c>
      <c r="E108" s="3757">
        <v>351</v>
      </c>
      <c r="F108" s="3758">
        <v>45005</v>
      </c>
      <c r="G108" s="3758">
        <v>46891</v>
      </c>
      <c r="H108" s="3759">
        <f t="shared" si="1"/>
        <v>4.17</v>
      </c>
      <c r="I108" s="3757">
        <v>43875</v>
      </c>
      <c r="J108" s="3760" t="s">
        <v>4593</v>
      </c>
      <c r="K108" s="3759" t="s">
        <v>4594</v>
      </c>
    </row>
    <row r="109" spans="1:11" s="3759" customFormat="1" ht="15" hidden="1">
      <c r="A109" s="3754">
        <v>108</v>
      </c>
      <c r="B109" s="3755">
        <v>108</v>
      </c>
      <c r="C109" s="3755" t="s">
        <v>4595</v>
      </c>
      <c r="D109" s="3756" t="s">
        <v>4382</v>
      </c>
      <c r="E109" s="3757">
        <v>80.349999999999994</v>
      </c>
      <c r="F109" s="3758">
        <v>44999</v>
      </c>
      <c r="G109" s="3758">
        <v>46160</v>
      </c>
      <c r="H109" s="3759">
        <f t="shared" si="1"/>
        <v>15</v>
      </c>
      <c r="I109" s="3757">
        <v>36157.5</v>
      </c>
      <c r="J109" s="3760" t="s">
        <v>4438</v>
      </c>
      <c r="K109" s="3759" t="s">
        <v>4589</v>
      </c>
    </row>
    <row r="110" spans="1:11" s="3759" customFormat="1" ht="15" hidden="1">
      <c r="A110" s="3754">
        <v>109</v>
      </c>
      <c r="B110" s="3755">
        <v>109</v>
      </c>
      <c r="C110" s="3755" t="s">
        <v>4596</v>
      </c>
      <c r="D110" s="3756" t="s">
        <v>4382</v>
      </c>
      <c r="E110" s="3757">
        <v>93.36</v>
      </c>
      <c r="F110" s="3758">
        <v>45035</v>
      </c>
      <c r="G110" s="3758">
        <v>45795</v>
      </c>
      <c r="H110" s="3759">
        <f t="shared" si="1"/>
        <v>18.329999999999998</v>
      </c>
      <c r="I110" s="3757">
        <v>51348</v>
      </c>
      <c r="J110" s="3760" t="s">
        <v>4390</v>
      </c>
      <c r="K110" s="3759" t="s">
        <v>4589</v>
      </c>
    </row>
    <row r="111" spans="1:11" s="3759" customFormat="1" ht="15" hidden="1">
      <c r="A111" s="3754">
        <v>110</v>
      </c>
      <c r="B111" s="3755">
        <v>110</v>
      </c>
      <c r="C111" s="3755" t="s">
        <v>4597</v>
      </c>
      <c r="D111" s="3756" t="s">
        <v>4382</v>
      </c>
      <c r="E111" s="3757">
        <v>92.13</v>
      </c>
      <c r="F111" s="3758">
        <v>45035</v>
      </c>
      <c r="G111" s="3758">
        <v>46160</v>
      </c>
      <c r="H111" s="3759">
        <f t="shared" si="1"/>
        <v>18.329999999999998</v>
      </c>
      <c r="I111" s="3757">
        <v>50671.5</v>
      </c>
      <c r="J111" s="3760" t="s">
        <v>4598</v>
      </c>
      <c r="K111" s="3759" t="s">
        <v>4589</v>
      </c>
    </row>
    <row r="112" spans="1:11" s="3759" customFormat="1" ht="15" hidden="1">
      <c r="A112" s="3754">
        <v>111</v>
      </c>
      <c r="B112" s="3755">
        <v>111</v>
      </c>
      <c r="C112" s="3755" t="s">
        <v>4599</v>
      </c>
      <c r="D112" s="3756" t="s">
        <v>4382</v>
      </c>
      <c r="E112" s="3757">
        <v>77.69</v>
      </c>
      <c r="F112" s="3758">
        <v>45005</v>
      </c>
      <c r="G112" s="3758">
        <v>46160</v>
      </c>
      <c r="H112" s="3759">
        <f t="shared" si="1"/>
        <v>8.5</v>
      </c>
      <c r="I112" s="3757">
        <v>19810.95</v>
      </c>
      <c r="J112" s="3760" t="s">
        <v>4402</v>
      </c>
      <c r="K112" s="3759" t="s">
        <v>4600</v>
      </c>
    </row>
    <row r="113" spans="1:11" s="3759" customFormat="1" ht="15" hidden="1">
      <c r="A113" s="3754">
        <v>112</v>
      </c>
      <c r="B113" s="3755">
        <v>112</v>
      </c>
      <c r="C113" s="3755" t="s">
        <v>4601</v>
      </c>
      <c r="D113" s="3756" t="s">
        <v>4382</v>
      </c>
      <c r="E113" s="3757">
        <v>71.84</v>
      </c>
      <c r="F113" s="3758">
        <v>45035</v>
      </c>
      <c r="G113" s="3758">
        <v>46160</v>
      </c>
      <c r="H113" s="3759">
        <f t="shared" si="1"/>
        <v>14.33</v>
      </c>
      <c r="I113" s="3757">
        <v>30891.200000000001</v>
      </c>
      <c r="J113" s="3760" t="s">
        <v>4405</v>
      </c>
      <c r="K113" s="3759" t="s">
        <v>4600</v>
      </c>
    </row>
    <row r="114" spans="1:11" s="3759" customFormat="1" ht="15" hidden="1">
      <c r="A114" s="3754">
        <v>113</v>
      </c>
      <c r="B114" s="3755">
        <v>113</v>
      </c>
      <c r="C114" s="3755" t="s">
        <v>4602</v>
      </c>
      <c r="D114" s="3756" t="s">
        <v>4382</v>
      </c>
      <c r="E114" s="3757">
        <v>76</v>
      </c>
      <c r="F114" s="3758">
        <v>45035</v>
      </c>
      <c r="G114" s="3758">
        <v>45795</v>
      </c>
      <c r="H114" s="3759">
        <f t="shared" si="1"/>
        <v>17</v>
      </c>
      <c r="I114" s="3757">
        <v>38760</v>
      </c>
      <c r="J114" s="3760" t="s">
        <v>4446</v>
      </c>
      <c r="K114" s="3759" t="s">
        <v>4600</v>
      </c>
    </row>
    <row r="115" spans="1:11" s="3759" customFormat="1" ht="15" hidden="1">
      <c r="A115" s="3754">
        <v>114</v>
      </c>
      <c r="B115" s="3755">
        <v>114</v>
      </c>
      <c r="C115" s="3755" t="s">
        <v>4603</v>
      </c>
      <c r="D115" s="3756" t="s">
        <v>4382</v>
      </c>
      <c r="E115" s="3757">
        <v>90.2</v>
      </c>
      <c r="F115" s="3758">
        <v>45035</v>
      </c>
      <c r="G115" s="3758">
        <v>45795</v>
      </c>
      <c r="H115" s="3759">
        <f t="shared" si="1"/>
        <v>15.33</v>
      </c>
      <c r="I115" s="3757">
        <v>41492</v>
      </c>
      <c r="J115" s="3760" t="s">
        <v>4446</v>
      </c>
      <c r="K115" s="3759" t="s">
        <v>4600</v>
      </c>
    </row>
    <row r="116" spans="1:11" s="3759" customFormat="1" ht="15" hidden="1">
      <c r="A116" s="3754">
        <v>115</v>
      </c>
      <c r="B116" s="3755">
        <v>115</v>
      </c>
      <c r="C116" s="3755" t="s">
        <v>4604</v>
      </c>
      <c r="D116" s="3756" t="s">
        <v>4382</v>
      </c>
      <c r="E116" s="3757">
        <v>104.75</v>
      </c>
      <c r="F116" s="3758">
        <v>45035</v>
      </c>
      <c r="G116" s="3758">
        <v>45795</v>
      </c>
      <c r="H116" s="3759">
        <f t="shared" si="1"/>
        <v>10</v>
      </c>
      <c r="I116" s="3757">
        <v>31425</v>
      </c>
      <c r="J116" s="3760" t="s">
        <v>4459</v>
      </c>
      <c r="K116" s="3759" t="s">
        <v>4457</v>
      </c>
    </row>
    <row r="117" spans="1:11" s="3759" customFormat="1" ht="15" hidden="1">
      <c r="A117" s="3754">
        <v>116</v>
      </c>
      <c r="B117" s="3755">
        <v>116</v>
      </c>
      <c r="C117" s="3755" t="s">
        <v>4605</v>
      </c>
      <c r="D117" s="3756" t="s">
        <v>4382</v>
      </c>
      <c r="E117" s="3757">
        <v>342.49</v>
      </c>
      <c r="F117" s="3758">
        <v>44975</v>
      </c>
      <c r="G117" s="3758">
        <v>47986</v>
      </c>
      <c r="H117" s="3759">
        <f t="shared" si="1"/>
        <v>0</v>
      </c>
      <c r="I117" s="3757">
        <v>0</v>
      </c>
      <c r="J117" s="3760" t="s">
        <v>4606</v>
      </c>
      <c r="K117" s="3759" t="s">
        <v>4607</v>
      </c>
    </row>
    <row r="118" spans="1:11" s="3759" customFormat="1" ht="15" hidden="1">
      <c r="A118" s="3754">
        <v>117</v>
      </c>
      <c r="B118" s="3755">
        <v>117</v>
      </c>
      <c r="C118" s="3755" t="s">
        <v>4608</v>
      </c>
      <c r="D118" s="3756" t="s">
        <v>4382</v>
      </c>
      <c r="E118" s="3757">
        <v>296.08</v>
      </c>
      <c r="F118" s="3758">
        <v>45030</v>
      </c>
      <c r="G118" s="3758">
        <v>45795</v>
      </c>
      <c r="H118" s="3759">
        <f t="shared" si="1"/>
        <v>6</v>
      </c>
      <c r="I118" s="3757">
        <v>53294.400000000001</v>
      </c>
      <c r="J118" s="3760" t="s">
        <v>4474</v>
      </c>
      <c r="K118" s="3759" t="s">
        <v>4423</v>
      </c>
    </row>
    <row r="119" spans="1:11" s="3759" customFormat="1" ht="15" hidden="1">
      <c r="A119" s="3754">
        <v>118</v>
      </c>
      <c r="B119" s="3755">
        <v>118</v>
      </c>
      <c r="C119" s="3755" t="s">
        <v>4609</v>
      </c>
      <c r="D119" s="3756" t="s">
        <v>4382</v>
      </c>
      <c r="E119" s="3757">
        <v>159.68</v>
      </c>
      <c r="F119" s="3758">
        <v>45236</v>
      </c>
      <c r="G119" s="3758">
        <v>46027</v>
      </c>
      <c r="H119" s="3759">
        <f t="shared" si="1"/>
        <v>4.75</v>
      </c>
      <c r="I119" s="3757">
        <v>22767.279999999999</v>
      </c>
      <c r="J119" s="3760" t="s">
        <v>4610</v>
      </c>
      <c r="K119" s="3759" t="s">
        <v>4423</v>
      </c>
    </row>
    <row r="120" spans="1:11" s="3759" customFormat="1" ht="15" hidden="1">
      <c r="A120" s="3754">
        <v>119</v>
      </c>
      <c r="B120" s="3755">
        <v>119</v>
      </c>
      <c r="C120" s="3755" t="s">
        <v>4611</v>
      </c>
      <c r="D120" s="3756" t="s">
        <v>4382</v>
      </c>
      <c r="E120" s="3757">
        <v>110.22</v>
      </c>
      <c r="F120" s="3758">
        <v>45035</v>
      </c>
      <c r="G120" s="3758">
        <v>46160</v>
      </c>
      <c r="H120" s="3759">
        <f t="shared" si="1"/>
        <v>9.33</v>
      </c>
      <c r="I120" s="3757">
        <v>30861.599999999999</v>
      </c>
      <c r="J120" s="3760" t="s">
        <v>4397</v>
      </c>
      <c r="K120" s="3759" t="s">
        <v>4561</v>
      </c>
    </row>
    <row r="121" spans="1:11" s="3759" customFormat="1" ht="15" hidden="1">
      <c r="A121" s="3754">
        <v>120</v>
      </c>
      <c r="B121" s="3755">
        <v>120</v>
      </c>
      <c r="C121" s="3755" t="s">
        <v>4612</v>
      </c>
      <c r="D121" s="3756" t="s">
        <v>4382</v>
      </c>
      <c r="E121" s="3757">
        <v>159.41999999999999</v>
      </c>
      <c r="F121" s="3758">
        <v>45035</v>
      </c>
      <c r="G121" s="3758">
        <v>45795</v>
      </c>
      <c r="H121" s="3759">
        <f t="shared" si="1"/>
        <v>9.17</v>
      </c>
      <c r="I121" s="3757">
        <v>43840.5</v>
      </c>
      <c r="J121" s="3760" t="s">
        <v>4390</v>
      </c>
      <c r="K121" s="3759" t="s">
        <v>4457</v>
      </c>
    </row>
    <row r="122" spans="1:11" s="3759" customFormat="1" ht="15" hidden="1">
      <c r="A122" s="3754">
        <v>121</v>
      </c>
      <c r="B122" s="3755">
        <v>121</v>
      </c>
      <c r="C122" s="3755" t="s">
        <v>4613</v>
      </c>
      <c r="D122" s="3756" t="s">
        <v>4382</v>
      </c>
      <c r="E122" s="3757">
        <v>138.5</v>
      </c>
      <c r="F122" s="3758">
        <v>45045</v>
      </c>
      <c r="G122" s="3758">
        <v>46499</v>
      </c>
      <c r="H122" s="3759">
        <f t="shared" si="1"/>
        <v>4.67</v>
      </c>
      <c r="I122" s="3757">
        <v>19390</v>
      </c>
      <c r="J122" s="3760" t="s">
        <v>4614</v>
      </c>
      <c r="K122" s="3759" t="s">
        <v>4485</v>
      </c>
    </row>
    <row r="123" spans="1:11" s="3759" customFormat="1" ht="15" hidden="1">
      <c r="A123" s="3754">
        <v>122</v>
      </c>
      <c r="B123" s="3755">
        <v>122</v>
      </c>
      <c r="C123" s="3755" t="s">
        <v>4615</v>
      </c>
      <c r="D123" s="3756" t="s">
        <v>4382</v>
      </c>
      <c r="E123" s="3757">
        <v>119.2</v>
      </c>
      <c r="F123" s="3758">
        <v>45035</v>
      </c>
      <c r="G123" s="3758">
        <v>46160</v>
      </c>
      <c r="H123" s="3759">
        <f t="shared" si="1"/>
        <v>7.33</v>
      </c>
      <c r="I123" s="3757">
        <v>26224</v>
      </c>
      <c r="J123" s="3760" t="s">
        <v>4405</v>
      </c>
      <c r="K123" s="3759" t="s">
        <v>4457</v>
      </c>
    </row>
    <row r="124" spans="1:11" s="3759" customFormat="1" ht="15" hidden="1">
      <c r="A124" s="3754">
        <v>123</v>
      </c>
      <c r="B124" s="3755">
        <v>123</v>
      </c>
      <c r="C124" s="3755" t="s">
        <v>4616</v>
      </c>
      <c r="D124" s="3756" t="s">
        <v>4382</v>
      </c>
      <c r="E124" s="3757">
        <v>60.43</v>
      </c>
      <c r="F124" s="3758">
        <v>45035</v>
      </c>
      <c r="G124" s="3758">
        <v>45795</v>
      </c>
      <c r="H124" s="3759">
        <f t="shared" si="1"/>
        <v>13.33</v>
      </c>
      <c r="I124" s="3757">
        <v>24172</v>
      </c>
      <c r="J124" s="3760" t="s">
        <v>4390</v>
      </c>
      <c r="K124" s="3759" t="s">
        <v>4617</v>
      </c>
    </row>
    <row r="125" spans="1:11" s="3759" customFormat="1" ht="15" hidden="1">
      <c r="A125" s="3754">
        <v>124</v>
      </c>
      <c r="B125" s="3755">
        <v>124</v>
      </c>
      <c r="C125" s="3755" t="s">
        <v>4618</v>
      </c>
      <c r="D125" s="3756" t="s">
        <v>4382</v>
      </c>
      <c r="E125" s="3757">
        <v>80.459999999999994</v>
      </c>
      <c r="F125" s="3758">
        <v>45035</v>
      </c>
      <c r="G125" s="3758">
        <v>46160</v>
      </c>
      <c r="H125" s="3759">
        <f t="shared" si="1"/>
        <v>0</v>
      </c>
      <c r="I125" s="3757">
        <v>0</v>
      </c>
      <c r="J125" s="3760" t="s">
        <v>4619</v>
      </c>
      <c r="K125" s="3759" t="s">
        <v>4544</v>
      </c>
    </row>
    <row r="126" spans="1:11" s="3759" customFormat="1" ht="15" hidden="1">
      <c r="A126" s="3754">
        <v>125</v>
      </c>
      <c r="B126" s="3755">
        <v>125</v>
      </c>
      <c r="C126" s="3755" t="s">
        <v>4620</v>
      </c>
      <c r="D126" s="3756" t="s">
        <v>4382</v>
      </c>
      <c r="E126" s="3757">
        <v>313.25</v>
      </c>
      <c r="F126" s="3758">
        <v>45020</v>
      </c>
      <c r="G126" s="3758">
        <v>46525</v>
      </c>
      <c r="H126" s="3759">
        <f t="shared" si="1"/>
        <v>4.67</v>
      </c>
      <c r="I126" s="3757">
        <v>43855</v>
      </c>
      <c r="J126" s="3760" t="s">
        <v>4621</v>
      </c>
      <c r="K126" s="3759" t="s">
        <v>4622</v>
      </c>
    </row>
    <row r="127" spans="1:11" s="3759" customFormat="1" ht="15" hidden="1">
      <c r="A127" s="3754">
        <v>126</v>
      </c>
      <c r="B127" s="3755">
        <v>126</v>
      </c>
      <c r="C127" s="3755" t="s">
        <v>4623</v>
      </c>
      <c r="D127" s="3756" t="s">
        <v>4382</v>
      </c>
      <c r="E127" s="3757">
        <v>276.14</v>
      </c>
      <c r="F127" s="3758">
        <v>45015</v>
      </c>
      <c r="G127" s="3758">
        <v>46160</v>
      </c>
      <c r="H127" s="3759">
        <f t="shared" si="1"/>
        <v>5.67</v>
      </c>
      <c r="I127" s="3757">
        <v>46943.8</v>
      </c>
      <c r="J127" s="3760" t="s">
        <v>4516</v>
      </c>
      <c r="K127" s="3759" t="s">
        <v>4423</v>
      </c>
    </row>
    <row r="128" spans="1:11" s="3759" customFormat="1" ht="15" hidden="1">
      <c r="A128" s="3754">
        <v>127</v>
      </c>
      <c r="B128" s="3755">
        <v>127</v>
      </c>
      <c r="C128" s="3755" t="s">
        <v>4624</v>
      </c>
      <c r="D128" s="3756" t="s">
        <v>4382</v>
      </c>
      <c r="E128" s="3757">
        <v>64.48</v>
      </c>
      <c r="F128" s="3758">
        <v>45035</v>
      </c>
      <c r="G128" s="3758">
        <v>45795</v>
      </c>
      <c r="H128" s="3759">
        <f t="shared" si="1"/>
        <v>5.67</v>
      </c>
      <c r="I128" s="3757">
        <v>10961.6</v>
      </c>
      <c r="J128" s="3760" t="s">
        <v>4625</v>
      </c>
      <c r="K128" s="3759" t="s">
        <v>4423</v>
      </c>
    </row>
    <row r="129" spans="1:11" s="3759" customFormat="1" ht="15" hidden="1">
      <c r="A129" s="3754">
        <v>128</v>
      </c>
      <c r="B129" s="3755">
        <v>128</v>
      </c>
      <c r="C129" s="3755" t="s">
        <v>4626</v>
      </c>
      <c r="D129" s="3756" t="s">
        <v>4382</v>
      </c>
      <c r="E129" s="3757">
        <v>81.349999999999994</v>
      </c>
      <c r="F129" s="3758">
        <v>45035</v>
      </c>
      <c r="G129" s="3758">
        <v>46160</v>
      </c>
      <c r="H129" s="3759">
        <f t="shared" si="1"/>
        <v>0</v>
      </c>
      <c r="I129" s="3757">
        <v>0</v>
      </c>
      <c r="J129" s="3760" t="s">
        <v>4627</v>
      </c>
      <c r="K129" s="3759" t="s">
        <v>4544</v>
      </c>
    </row>
    <row r="130" spans="1:11" s="3759" customFormat="1" ht="15" hidden="1">
      <c r="A130" s="3754">
        <v>129</v>
      </c>
      <c r="B130" s="3755">
        <v>129</v>
      </c>
      <c r="C130" s="3755" t="s">
        <v>4628</v>
      </c>
      <c r="D130" s="3756" t="s">
        <v>4382</v>
      </c>
      <c r="E130" s="3757">
        <v>70.989999999999995</v>
      </c>
      <c r="F130" s="3758">
        <v>45035</v>
      </c>
      <c r="G130" s="3758">
        <v>46160</v>
      </c>
      <c r="H130" s="3759">
        <f t="shared" ref="H130:H193" si="2">ROUND(I130/E130/30,2)</f>
        <v>0</v>
      </c>
      <c r="I130" s="3757">
        <v>0</v>
      </c>
      <c r="J130" s="3760" t="s">
        <v>4629</v>
      </c>
      <c r="K130" s="3759" t="s">
        <v>4544</v>
      </c>
    </row>
    <row r="131" spans="1:11" s="3759" customFormat="1" ht="15" hidden="1">
      <c r="A131" s="3754">
        <v>130</v>
      </c>
      <c r="B131" s="3755">
        <v>130</v>
      </c>
      <c r="C131" s="3755" t="s">
        <v>4630</v>
      </c>
      <c r="D131" s="3756" t="s">
        <v>4382</v>
      </c>
      <c r="E131" s="3757">
        <v>87.59</v>
      </c>
      <c r="F131" s="3758">
        <v>45035</v>
      </c>
      <c r="G131" s="3758">
        <v>45795</v>
      </c>
      <c r="H131" s="3759">
        <f t="shared" si="2"/>
        <v>7.33</v>
      </c>
      <c r="I131" s="3757">
        <v>19269.8</v>
      </c>
      <c r="J131" s="3760" t="s">
        <v>4390</v>
      </c>
      <c r="K131" s="3759" t="s">
        <v>4423</v>
      </c>
    </row>
    <row r="132" spans="1:11" s="3759" customFormat="1" ht="15" hidden="1">
      <c r="A132" s="3754">
        <v>131</v>
      </c>
      <c r="B132" s="3755">
        <v>131</v>
      </c>
      <c r="C132" s="3755" t="s">
        <v>4631</v>
      </c>
      <c r="D132" s="3756" t="s">
        <v>4382</v>
      </c>
      <c r="E132" s="3757">
        <v>113.96</v>
      </c>
      <c r="F132" s="3758">
        <v>45035</v>
      </c>
      <c r="G132" s="3758">
        <v>46160</v>
      </c>
      <c r="H132" s="3759">
        <f t="shared" si="2"/>
        <v>0</v>
      </c>
      <c r="I132" s="3757">
        <v>0</v>
      </c>
      <c r="J132" s="3760" t="s">
        <v>4632</v>
      </c>
      <c r="K132" s="3759" t="s">
        <v>4423</v>
      </c>
    </row>
    <row r="133" spans="1:11" s="3759" customFormat="1" ht="15" hidden="1">
      <c r="A133" s="3754">
        <v>132</v>
      </c>
      <c r="B133" s="3755">
        <v>132</v>
      </c>
      <c r="C133" s="3755" t="s">
        <v>4633</v>
      </c>
      <c r="D133" s="3756" t="s">
        <v>4382</v>
      </c>
      <c r="E133" s="3757">
        <v>109.33</v>
      </c>
      <c r="F133" s="3758">
        <v>45035</v>
      </c>
      <c r="G133" s="3758">
        <v>46160</v>
      </c>
      <c r="H133" s="3759">
        <f t="shared" si="2"/>
        <v>6.67</v>
      </c>
      <c r="I133" s="3757">
        <v>21866</v>
      </c>
      <c r="J133" s="3760" t="s">
        <v>4581</v>
      </c>
      <c r="K133" s="3759" t="s">
        <v>4423</v>
      </c>
    </row>
    <row r="134" spans="1:11" s="3759" customFormat="1" ht="15" hidden="1">
      <c r="A134" s="3754">
        <v>133</v>
      </c>
      <c r="B134" s="3755">
        <v>133</v>
      </c>
      <c r="C134" s="3755" t="s">
        <v>4634</v>
      </c>
      <c r="D134" s="3756" t="s">
        <v>4382</v>
      </c>
      <c r="E134" s="3757">
        <v>147.93</v>
      </c>
      <c r="F134" s="3758">
        <v>45035</v>
      </c>
      <c r="G134" s="3758">
        <v>45795</v>
      </c>
      <c r="H134" s="3759">
        <f t="shared" si="2"/>
        <v>6.67</v>
      </c>
      <c r="I134" s="3757">
        <v>29586</v>
      </c>
      <c r="J134" s="3760" t="s">
        <v>4390</v>
      </c>
      <c r="K134" s="3759" t="s">
        <v>4635</v>
      </c>
    </row>
    <row r="135" spans="1:11" s="3759" customFormat="1" ht="15" hidden="1">
      <c r="A135" s="3754">
        <v>134</v>
      </c>
      <c r="B135" s="3755">
        <v>134</v>
      </c>
      <c r="C135" s="3755" t="s">
        <v>4636</v>
      </c>
      <c r="D135" s="3756" t="s">
        <v>4382</v>
      </c>
      <c r="E135" s="3757">
        <v>96.27</v>
      </c>
      <c r="F135" s="3758">
        <v>45035</v>
      </c>
      <c r="G135" s="3758">
        <v>45795</v>
      </c>
      <c r="H135" s="3759">
        <f t="shared" si="2"/>
        <v>5.67</v>
      </c>
      <c r="I135" s="3757">
        <v>16365.9</v>
      </c>
      <c r="J135" s="3760" t="s">
        <v>4451</v>
      </c>
      <c r="K135" s="3759" t="s">
        <v>4637</v>
      </c>
    </row>
    <row r="136" spans="1:11" s="3759" customFormat="1" ht="15" hidden="1">
      <c r="A136" s="3754">
        <v>135</v>
      </c>
      <c r="B136" s="3755">
        <v>135</v>
      </c>
      <c r="C136" s="3755" t="s">
        <v>4638</v>
      </c>
      <c r="D136" s="3756" t="s">
        <v>4382</v>
      </c>
      <c r="E136" s="3757">
        <v>182.57</v>
      </c>
      <c r="F136" s="3758">
        <v>45025</v>
      </c>
      <c r="G136" s="3758">
        <v>46160</v>
      </c>
      <c r="H136" s="3759">
        <f t="shared" si="2"/>
        <v>7.17</v>
      </c>
      <c r="I136" s="3757">
        <v>39252.550000000003</v>
      </c>
      <c r="J136" s="3760" t="s">
        <v>4405</v>
      </c>
      <c r="K136" s="3759" t="s">
        <v>4403</v>
      </c>
    </row>
    <row r="137" spans="1:11" s="3759" customFormat="1" ht="15" hidden="1">
      <c r="A137" s="3754">
        <v>136</v>
      </c>
      <c r="B137" s="3755">
        <v>136</v>
      </c>
      <c r="C137" s="3755" t="s">
        <v>4638</v>
      </c>
      <c r="D137" s="3756" t="s">
        <v>4382</v>
      </c>
      <c r="E137" s="3757">
        <v>154.19999999999999</v>
      </c>
      <c r="F137" s="3758">
        <v>45245</v>
      </c>
      <c r="G137" s="3758">
        <v>46385</v>
      </c>
      <c r="H137" s="3759">
        <f t="shared" si="2"/>
        <v>0.45</v>
      </c>
      <c r="I137" s="3757">
        <v>2069.2600000000002</v>
      </c>
      <c r="J137" s="3760" t="s">
        <v>4639</v>
      </c>
      <c r="K137" s="3759" t="s">
        <v>4640</v>
      </c>
    </row>
    <row r="138" spans="1:11" s="3759" customFormat="1" ht="15" hidden="1">
      <c r="A138" s="3754">
        <v>137</v>
      </c>
      <c r="B138" s="3755">
        <v>137</v>
      </c>
      <c r="C138" s="3755" t="s">
        <v>4641</v>
      </c>
      <c r="D138" s="3756" t="s">
        <v>4382</v>
      </c>
      <c r="E138" s="3757">
        <v>939.4</v>
      </c>
      <c r="F138" s="3758">
        <v>44880</v>
      </c>
      <c r="G138" s="3758">
        <v>47986</v>
      </c>
      <c r="H138" s="3759">
        <f t="shared" si="2"/>
        <v>2.5</v>
      </c>
      <c r="I138" s="3757">
        <v>70455</v>
      </c>
      <c r="J138" s="3760" t="s">
        <v>4642</v>
      </c>
      <c r="K138" s="3759" t="s">
        <v>4643</v>
      </c>
    </row>
    <row r="139" spans="1:11" s="3759" customFormat="1" ht="15" hidden="1">
      <c r="A139" s="3754">
        <v>138</v>
      </c>
      <c r="B139" s="3755">
        <v>138</v>
      </c>
      <c r="C139" s="3755" t="s">
        <v>4644</v>
      </c>
      <c r="D139" s="3756" t="s">
        <v>4382</v>
      </c>
      <c r="E139" s="3757">
        <v>230</v>
      </c>
      <c r="F139" s="3758">
        <v>45020</v>
      </c>
      <c r="G139" s="3758">
        <v>46160</v>
      </c>
      <c r="H139" s="3759">
        <f t="shared" si="2"/>
        <v>4.67</v>
      </c>
      <c r="I139" s="3757">
        <v>32200</v>
      </c>
      <c r="J139" s="3760" t="s">
        <v>4397</v>
      </c>
      <c r="K139" s="3759" t="s">
        <v>4403</v>
      </c>
    </row>
    <row r="140" spans="1:11" s="3759" customFormat="1" ht="15" hidden="1">
      <c r="A140" s="3754">
        <v>139</v>
      </c>
      <c r="B140" s="3755">
        <v>139</v>
      </c>
      <c r="C140" s="3755" t="s">
        <v>4645</v>
      </c>
      <c r="D140" s="3756" t="s">
        <v>4382</v>
      </c>
      <c r="E140" s="3757">
        <v>111.5</v>
      </c>
      <c r="F140" s="3758">
        <v>45035</v>
      </c>
      <c r="G140" s="3758">
        <v>46160</v>
      </c>
      <c r="H140" s="3759">
        <f t="shared" si="2"/>
        <v>5.27</v>
      </c>
      <c r="I140" s="3757">
        <v>17617</v>
      </c>
      <c r="J140" s="3760" t="s">
        <v>4646</v>
      </c>
      <c r="K140" s="3759" t="s">
        <v>4403</v>
      </c>
    </row>
    <row r="141" spans="1:11" s="3759" customFormat="1" ht="15" hidden="1">
      <c r="A141" s="3754">
        <v>140</v>
      </c>
      <c r="B141" s="3755">
        <v>140</v>
      </c>
      <c r="C141" s="3755" t="s">
        <v>4647</v>
      </c>
      <c r="D141" s="3756" t="s">
        <v>4382</v>
      </c>
      <c r="E141" s="3757">
        <v>32.86</v>
      </c>
      <c r="F141" s="3758">
        <v>45040</v>
      </c>
      <c r="G141" s="3758">
        <v>45795</v>
      </c>
      <c r="H141" s="3759">
        <f t="shared" si="2"/>
        <v>9.33</v>
      </c>
      <c r="I141" s="3757">
        <v>9200.7999999999993</v>
      </c>
      <c r="J141" s="3760" t="s">
        <v>4459</v>
      </c>
      <c r="K141" s="3759" t="s">
        <v>4648</v>
      </c>
    </row>
    <row r="142" spans="1:11" s="3759" customFormat="1" ht="15" hidden="1">
      <c r="A142" s="3754">
        <v>141</v>
      </c>
      <c r="B142" s="3755">
        <v>141</v>
      </c>
      <c r="C142" s="3755" t="s">
        <v>4649</v>
      </c>
      <c r="D142" s="3756" t="s">
        <v>4382</v>
      </c>
      <c r="E142" s="3757">
        <v>161.49</v>
      </c>
      <c r="F142" s="3758">
        <v>45035</v>
      </c>
      <c r="G142" s="3758">
        <v>46161</v>
      </c>
      <c r="H142" s="3759">
        <f t="shared" si="2"/>
        <v>7.33</v>
      </c>
      <c r="I142" s="3757">
        <v>35527.800000000003</v>
      </c>
      <c r="J142" s="3760" t="s">
        <v>4405</v>
      </c>
      <c r="K142" s="3759" t="s">
        <v>4457</v>
      </c>
    </row>
    <row r="143" spans="1:11" s="3759" customFormat="1" ht="15" hidden="1">
      <c r="A143" s="3754">
        <v>142</v>
      </c>
      <c r="B143" s="3755">
        <v>142</v>
      </c>
      <c r="C143" s="3755" t="s">
        <v>4650</v>
      </c>
      <c r="D143" s="3756" t="s">
        <v>4382</v>
      </c>
      <c r="E143" s="3757">
        <v>172.5</v>
      </c>
      <c r="F143" s="3758">
        <v>45005</v>
      </c>
      <c r="G143" s="3758">
        <v>47986</v>
      </c>
      <c r="H143" s="3759">
        <f t="shared" si="2"/>
        <v>7.33</v>
      </c>
      <c r="I143" s="3757">
        <v>37950</v>
      </c>
      <c r="J143" s="3760" t="s">
        <v>4651</v>
      </c>
      <c r="K143" s="3759" t="s">
        <v>4284</v>
      </c>
    </row>
    <row r="144" spans="1:11" s="3759" customFormat="1" ht="15" hidden="1">
      <c r="A144" s="3754">
        <v>143</v>
      </c>
      <c r="B144" s="3755">
        <v>143</v>
      </c>
      <c r="C144" s="3755" t="s">
        <v>4652</v>
      </c>
      <c r="D144" s="3756" t="s">
        <v>4382</v>
      </c>
      <c r="E144" s="3757">
        <v>209.95</v>
      </c>
      <c r="F144" s="3758">
        <v>45035</v>
      </c>
      <c r="G144" s="3758">
        <v>46160</v>
      </c>
      <c r="H144" s="3759">
        <f t="shared" si="2"/>
        <v>0</v>
      </c>
      <c r="I144" s="3757">
        <v>0</v>
      </c>
      <c r="J144" s="3760" t="s">
        <v>4653</v>
      </c>
      <c r="K144" s="3759" t="s">
        <v>4654</v>
      </c>
    </row>
    <row r="145" spans="1:11" s="3759" customFormat="1" ht="15" hidden="1">
      <c r="A145" s="3754">
        <v>144</v>
      </c>
      <c r="B145" s="3755">
        <v>144</v>
      </c>
      <c r="C145" s="3755" t="s">
        <v>4655</v>
      </c>
      <c r="D145" s="3756" t="s">
        <v>4382</v>
      </c>
      <c r="E145" s="3757">
        <v>260.01</v>
      </c>
      <c r="F145" s="3758">
        <v>45005</v>
      </c>
      <c r="G145" s="3758">
        <v>46160</v>
      </c>
      <c r="H145" s="3759">
        <f t="shared" si="2"/>
        <v>3.33</v>
      </c>
      <c r="I145" s="3757">
        <v>26001</v>
      </c>
      <c r="J145" s="3760" t="s">
        <v>4402</v>
      </c>
      <c r="K145" s="3759" t="s">
        <v>4426</v>
      </c>
    </row>
    <row r="146" spans="1:11" s="3759" customFormat="1" ht="15" hidden="1">
      <c r="A146" s="3754">
        <v>145</v>
      </c>
      <c r="B146" s="3755">
        <v>145</v>
      </c>
      <c r="C146" s="3755" t="s">
        <v>4656</v>
      </c>
      <c r="D146" s="3756" t="s">
        <v>4382</v>
      </c>
      <c r="E146" s="3757">
        <v>184.68</v>
      </c>
      <c r="F146" s="3758">
        <v>45025</v>
      </c>
      <c r="G146" s="3758">
        <v>46160</v>
      </c>
      <c r="H146" s="3759">
        <f t="shared" si="2"/>
        <v>3.33</v>
      </c>
      <c r="I146" s="3757">
        <v>18468</v>
      </c>
      <c r="J146" s="3760" t="s">
        <v>4496</v>
      </c>
      <c r="K146" s="3759" t="s">
        <v>4426</v>
      </c>
    </row>
    <row r="147" spans="1:11" s="3759" customFormat="1" ht="15" hidden="1">
      <c r="A147" s="3754">
        <v>146</v>
      </c>
      <c r="B147" s="3755">
        <v>146</v>
      </c>
      <c r="C147" s="3755" t="s">
        <v>4657</v>
      </c>
      <c r="D147" s="3756" t="s">
        <v>4382</v>
      </c>
      <c r="E147" s="3757">
        <v>85.22</v>
      </c>
      <c r="F147" s="3758">
        <v>45035</v>
      </c>
      <c r="G147" s="3758">
        <v>45795</v>
      </c>
      <c r="H147" s="3759">
        <f t="shared" si="2"/>
        <v>7</v>
      </c>
      <c r="I147" s="3757">
        <v>17896.2</v>
      </c>
      <c r="J147" s="3760" t="s">
        <v>4451</v>
      </c>
      <c r="K147" s="3759" t="s">
        <v>4423</v>
      </c>
    </row>
    <row r="148" spans="1:11" s="3759" customFormat="1" ht="15" hidden="1">
      <c r="A148" s="3754">
        <v>147</v>
      </c>
      <c r="B148" s="3755">
        <v>147</v>
      </c>
      <c r="C148" s="3755" t="s">
        <v>4658</v>
      </c>
      <c r="D148" s="3756" t="s">
        <v>4382</v>
      </c>
      <c r="E148" s="3757">
        <v>159.47</v>
      </c>
      <c r="F148" s="3758">
        <v>45035</v>
      </c>
      <c r="G148" s="3758">
        <v>46160</v>
      </c>
      <c r="H148" s="3759">
        <f t="shared" si="2"/>
        <v>6</v>
      </c>
      <c r="I148" s="3757">
        <v>28704.6</v>
      </c>
      <c r="J148" s="3760" t="s">
        <v>4659</v>
      </c>
      <c r="K148" s="3759" t="s">
        <v>4457</v>
      </c>
    </row>
    <row r="149" spans="1:11" s="3759" customFormat="1" ht="15" hidden="1">
      <c r="A149" s="3754">
        <v>148</v>
      </c>
      <c r="B149" s="3755">
        <v>148</v>
      </c>
      <c r="C149" s="3755" t="s">
        <v>4660</v>
      </c>
      <c r="D149" s="3756" t="s">
        <v>4382</v>
      </c>
      <c r="E149" s="3757">
        <v>138.53</v>
      </c>
      <c r="F149" s="3758">
        <v>45035</v>
      </c>
      <c r="G149" s="3758">
        <v>45795</v>
      </c>
      <c r="H149" s="3759">
        <f t="shared" si="2"/>
        <v>8</v>
      </c>
      <c r="I149" s="3757">
        <v>33247.199999999997</v>
      </c>
      <c r="J149" s="3760" t="s">
        <v>4466</v>
      </c>
      <c r="K149" s="3759" t="s">
        <v>4423</v>
      </c>
    </row>
    <row r="150" spans="1:11" s="3759" customFormat="1" ht="15" hidden="1">
      <c r="A150" s="3754">
        <v>149</v>
      </c>
      <c r="B150" s="3755">
        <v>149</v>
      </c>
      <c r="C150" s="3755" t="s">
        <v>4661</v>
      </c>
      <c r="D150" s="3756" t="s">
        <v>4382</v>
      </c>
      <c r="E150" s="3757">
        <v>119.25</v>
      </c>
      <c r="F150" s="3758">
        <v>45035</v>
      </c>
      <c r="G150" s="3758">
        <v>45795</v>
      </c>
      <c r="H150" s="3759">
        <f t="shared" si="2"/>
        <v>6.33</v>
      </c>
      <c r="I150" s="3757">
        <v>22657.5</v>
      </c>
      <c r="J150" s="3760" t="s">
        <v>4390</v>
      </c>
      <c r="K150" s="3759" t="s">
        <v>4457</v>
      </c>
    </row>
    <row r="151" spans="1:11" s="3759" customFormat="1" ht="15" hidden="1">
      <c r="A151" s="3754">
        <v>150</v>
      </c>
      <c r="B151" s="3755">
        <v>150</v>
      </c>
      <c r="C151" s="3755" t="s">
        <v>4662</v>
      </c>
      <c r="D151" s="3756" t="s">
        <v>4382</v>
      </c>
      <c r="E151" s="3757">
        <v>94.51</v>
      </c>
      <c r="F151" s="3758">
        <v>45035</v>
      </c>
      <c r="G151" s="3758">
        <v>45795</v>
      </c>
      <c r="H151" s="3759">
        <f t="shared" si="2"/>
        <v>8.17</v>
      </c>
      <c r="I151" s="3757">
        <v>23154.95</v>
      </c>
      <c r="J151" s="3760" t="s">
        <v>4392</v>
      </c>
      <c r="K151" s="3759" t="s">
        <v>4663</v>
      </c>
    </row>
    <row r="152" spans="1:11" s="3759" customFormat="1" ht="15" hidden="1">
      <c r="A152" s="3754">
        <v>151</v>
      </c>
      <c r="B152" s="3755">
        <v>151</v>
      </c>
      <c r="C152" s="3755" t="s">
        <v>4664</v>
      </c>
      <c r="D152" s="3756" t="s">
        <v>4382</v>
      </c>
      <c r="E152" s="3757">
        <v>678.66</v>
      </c>
      <c r="F152" s="3758">
        <v>44990</v>
      </c>
      <c r="G152" s="3758">
        <v>46891</v>
      </c>
      <c r="H152" s="3759">
        <f t="shared" si="2"/>
        <v>3.5</v>
      </c>
      <c r="I152" s="3757">
        <v>71259.3</v>
      </c>
      <c r="J152" s="3760" t="s">
        <v>4519</v>
      </c>
      <c r="K152" s="3759" t="s">
        <v>4430</v>
      </c>
    </row>
    <row r="153" spans="1:11" s="3759" customFormat="1" ht="15" hidden="1">
      <c r="A153" s="3754">
        <v>152</v>
      </c>
      <c r="B153" s="3755">
        <v>152</v>
      </c>
      <c r="C153" s="3755" t="s">
        <v>4665</v>
      </c>
      <c r="D153" s="3756" t="s">
        <v>4382</v>
      </c>
      <c r="E153" s="3757">
        <v>76.64</v>
      </c>
      <c r="F153" s="3758">
        <v>45035</v>
      </c>
      <c r="G153" s="3758">
        <v>45795</v>
      </c>
      <c r="H153" s="3759">
        <f t="shared" si="2"/>
        <v>13.67</v>
      </c>
      <c r="I153" s="3757">
        <v>31422.400000000001</v>
      </c>
      <c r="J153" s="3760" t="s">
        <v>4390</v>
      </c>
      <c r="K153" s="3759" t="s">
        <v>4666</v>
      </c>
    </row>
    <row r="154" spans="1:11" s="3759" customFormat="1" ht="15" hidden="1">
      <c r="A154" s="3754">
        <v>153</v>
      </c>
      <c r="B154" s="3755">
        <v>153</v>
      </c>
      <c r="C154" s="3755" t="s">
        <v>4667</v>
      </c>
      <c r="D154" s="3756" t="s">
        <v>4382</v>
      </c>
      <c r="E154" s="3757">
        <v>71.8</v>
      </c>
      <c r="F154" s="3758">
        <v>45035</v>
      </c>
      <c r="G154" s="3758">
        <v>46160</v>
      </c>
      <c r="H154" s="3759">
        <f t="shared" si="2"/>
        <v>13.33</v>
      </c>
      <c r="I154" s="3757">
        <v>28720</v>
      </c>
      <c r="J154" s="3760" t="s">
        <v>4402</v>
      </c>
      <c r="K154" s="3759" t="s">
        <v>4284</v>
      </c>
    </row>
    <row r="155" spans="1:11" s="3759" customFormat="1" ht="15" hidden="1">
      <c r="A155" s="3754">
        <v>154</v>
      </c>
      <c r="B155" s="3755">
        <v>154</v>
      </c>
      <c r="C155" s="3755" t="s">
        <v>4668</v>
      </c>
      <c r="D155" s="3756" t="s">
        <v>4382</v>
      </c>
      <c r="E155" s="3757">
        <v>87.85</v>
      </c>
      <c r="F155" s="3758">
        <v>45035</v>
      </c>
      <c r="G155" s="3758">
        <v>45795</v>
      </c>
      <c r="H155" s="3759">
        <f t="shared" si="2"/>
        <v>10.67</v>
      </c>
      <c r="I155" s="3757">
        <v>28112</v>
      </c>
      <c r="J155" s="3760" t="s">
        <v>4449</v>
      </c>
      <c r="K155" s="3759" t="s">
        <v>4669</v>
      </c>
    </row>
    <row r="156" spans="1:11" s="3759" customFormat="1" ht="15" hidden="1">
      <c r="A156" s="3754">
        <v>155</v>
      </c>
      <c r="B156" s="3755">
        <v>155</v>
      </c>
      <c r="C156" s="3755" t="s">
        <v>4670</v>
      </c>
      <c r="D156" s="3756" t="s">
        <v>4382</v>
      </c>
      <c r="E156" s="3757">
        <v>108.6</v>
      </c>
      <c r="F156" s="3758">
        <v>45035</v>
      </c>
      <c r="G156" s="3758">
        <v>46160</v>
      </c>
      <c r="H156" s="3759">
        <f t="shared" si="2"/>
        <v>6.33</v>
      </c>
      <c r="I156" s="3757">
        <v>20634</v>
      </c>
      <c r="J156" s="3760" t="s">
        <v>4541</v>
      </c>
      <c r="K156" s="3759" t="s">
        <v>4648</v>
      </c>
    </row>
    <row r="157" spans="1:11" s="3759" customFormat="1" ht="15" hidden="1">
      <c r="A157" s="3754">
        <v>156</v>
      </c>
      <c r="B157" s="3755">
        <v>156</v>
      </c>
      <c r="C157" s="3755" t="s">
        <v>4671</v>
      </c>
      <c r="D157" s="3756" t="s">
        <v>4382</v>
      </c>
      <c r="E157" s="3757">
        <v>88.46</v>
      </c>
      <c r="F157" s="3758">
        <v>45035</v>
      </c>
      <c r="G157" s="3758">
        <v>45795</v>
      </c>
      <c r="H157" s="3759">
        <f t="shared" si="2"/>
        <v>0</v>
      </c>
      <c r="I157" s="3757">
        <v>0</v>
      </c>
      <c r="J157" s="3760" t="s">
        <v>4672</v>
      </c>
      <c r="K157" s="3759" t="s">
        <v>4648</v>
      </c>
    </row>
    <row r="158" spans="1:11" s="3759" customFormat="1" ht="15" hidden="1">
      <c r="A158" s="3754">
        <v>157</v>
      </c>
      <c r="B158" s="3755">
        <v>157</v>
      </c>
      <c r="C158" s="3755" t="s">
        <v>4673</v>
      </c>
      <c r="D158" s="3756" t="s">
        <v>4382</v>
      </c>
      <c r="E158" s="3757">
        <v>81.45</v>
      </c>
      <c r="F158" s="3758">
        <v>45035</v>
      </c>
      <c r="G158" s="3758">
        <v>45795</v>
      </c>
      <c r="H158" s="3759">
        <f t="shared" si="2"/>
        <v>0</v>
      </c>
      <c r="I158" s="3757">
        <v>0</v>
      </c>
      <c r="J158" s="3760" t="s">
        <v>4674</v>
      </c>
      <c r="K158" s="3759" t="s">
        <v>4675</v>
      </c>
    </row>
    <row r="159" spans="1:11" s="3759" customFormat="1" ht="15" hidden="1">
      <c r="A159" s="3754">
        <v>158</v>
      </c>
      <c r="B159" s="3755">
        <v>158</v>
      </c>
      <c r="C159" s="3755" t="s">
        <v>4676</v>
      </c>
      <c r="D159" s="3756" t="s">
        <v>4382</v>
      </c>
      <c r="E159" s="3757">
        <v>105.4</v>
      </c>
      <c r="F159" s="3758">
        <v>45035</v>
      </c>
      <c r="G159" s="3758">
        <v>45795</v>
      </c>
      <c r="H159" s="3759">
        <f t="shared" si="2"/>
        <v>8.17</v>
      </c>
      <c r="I159" s="3757">
        <v>25823</v>
      </c>
      <c r="J159" s="3760" t="s">
        <v>4392</v>
      </c>
      <c r="K159" s="3759" t="s">
        <v>4677</v>
      </c>
    </row>
    <row r="160" spans="1:11" s="3759" customFormat="1" ht="15" hidden="1">
      <c r="A160" s="3754">
        <v>159</v>
      </c>
      <c r="B160" s="3755">
        <v>159</v>
      </c>
      <c r="C160" s="3755" t="s">
        <v>4678</v>
      </c>
      <c r="D160" s="3756" t="s">
        <v>4382</v>
      </c>
      <c r="E160" s="3757">
        <v>141.9</v>
      </c>
      <c r="F160" s="3758">
        <v>45035</v>
      </c>
      <c r="G160" s="3758">
        <v>45795</v>
      </c>
      <c r="H160" s="3759">
        <f t="shared" si="2"/>
        <v>6.67</v>
      </c>
      <c r="I160" s="3757">
        <v>28380</v>
      </c>
      <c r="J160" s="3760" t="s">
        <v>4390</v>
      </c>
      <c r="K160" s="3759" t="s">
        <v>4675</v>
      </c>
    </row>
    <row r="161" spans="1:11" s="3759" customFormat="1" ht="15" hidden="1">
      <c r="A161" s="3754">
        <v>160</v>
      </c>
      <c r="B161" s="3755">
        <v>160</v>
      </c>
      <c r="C161" s="3755" t="s">
        <v>4679</v>
      </c>
      <c r="D161" s="3756" t="s">
        <v>4382</v>
      </c>
      <c r="E161" s="3757">
        <v>66.98</v>
      </c>
      <c r="F161" s="3758">
        <v>45045</v>
      </c>
      <c r="G161" s="3758">
        <v>45795</v>
      </c>
      <c r="H161" s="3759">
        <f t="shared" si="2"/>
        <v>3.93</v>
      </c>
      <c r="I161" s="3757">
        <v>7903.64</v>
      </c>
      <c r="J161" s="3760" t="s">
        <v>4392</v>
      </c>
      <c r="K161" s="3759" t="s">
        <v>4680</v>
      </c>
    </row>
    <row r="162" spans="1:11" s="3759" customFormat="1" ht="15" hidden="1">
      <c r="A162" s="3754">
        <v>161</v>
      </c>
      <c r="B162" s="3755">
        <v>161</v>
      </c>
      <c r="C162" s="3755" t="s">
        <v>4681</v>
      </c>
      <c r="D162" s="3756" t="s">
        <v>4382</v>
      </c>
      <c r="E162" s="3757">
        <v>168.44</v>
      </c>
      <c r="F162" s="3758">
        <v>45035</v>
      </c>
      <c r="G162" s="3758">
        <v>46160</v>
      </c>
      <c r="H162" s="3759">
        <f t="shared" si="2"/>
        <v>6</v>
      </c>
      <c r="I162" s="3757">
        <v>30319.200000000001</v>
      </c>
      <c r="J162" s="3760" t="s">
        <v>4591</v>
      </c>
      <c r="K162" s="3759" t="s">
        <v>4669</v>
      </c>
    </row>
    <row r="163" spans="1:11" s="3759" customFormat="1" ht="15" hidden="1">
      <c r="A163" s="3754">
        <v>162</v>
      </c>
      <c r="B163" s="3755">
        <v>162</v>
      </c>
      <c r="C163" s="3755" t="s">
        <v>4682</v>
      </c>
      <c r="D163" s="3756" t="s">
        <v>4382</v>
      </c>
      <c r="E163" s="3757">
        <v>142</v>
      </c>
      <c r="F163" s="3758">
        <v>45035</v>
      </c>
      <c r="G163" s="3758">
        <v>45795</v>
      </c>
      <c r="H163" s="3759">
        <f t="shared" si="2"/>
        <v>10.67</v>
      </c>
      <c r="I163" s="3757">
        <v>45440</v>
      </c>
      <c r="J163" s="3760" t="s">
        <v>4394</v>
      </c>
      <c r="K163" s="3759" t="s">
        <v>4643</v>
      </c>
    </row>
    <row r="164" spans="1:11" s="3759" customFormat="1" ht="15" hidden="1">
      <c r="A164" s="3754">
        <v>163</v>
      </c>
      <c r="B164" s="3755">
        <v>163</v>
      </c>
      <c r="C164" s="3755" t="s">
        <v>4683</v>
      </c>
      <c r="D164" s="3756" t="s">
        <v>4382</v>
      </c>
      <c r="E164" s="3757">
        <v>710</v>
      </c>
      <c r="F164" s="3758">
        <v>44975</v>
      </c>
      <c r="G164" s="3758">
        <v>47986</v>
      </c>
      <c r="H164" s="3759">
        <f t="shared" si="2"/>
        <v>2.33</v>
      </c>
      <c r="I164" s="3757">
        <v>49700</v>
      </c>
      <c r="J164" s="3760" t="s">
        <v>4684</v>
      </c>
      <c r="K164" s="3759" t="s">
        <v>4476</v>
      </c>
    </row>
    <row r="165" spans="1:11" s="3759" customFormat="1" ht="15" hidden="1">
      <c r="A165" s="3754">
        <v>164</v>
      </c>
      <c r="B165" s="3755">
        <v>164</v>
      </c>
      <c r="C165" s="3755" t="s">
        <v>4685</v>
      </c>
      <c r="D165" s="3756" t="s">
        <v>4382</v>
      </c>
      <c r="E165" s="3757">
        <v>54.13</v>
      </c>
      <c r="F165" s="3758">
        <v>45035</v>
      </c>
      <c r="G165" s="3758">
        <v>45795</v>
      </c>
      <c r="H165" s="3759">
        <f t="shared" si="2"/>
        <v>9</v>
      </c>
      <c r="I165" s="3757">
        <v>14615.1</v>
      </c>
      <c r="J165" s="3760" t="s">
        <v>4459</v>
      </c>
      <c r="K165" s="3759" t="s">
        <v>4686</v>
      </c>
    </row>
    <row r="166" spans="1:11" s="3759" customFormat="1" ht="15" hidden="1">
      <c r="A166" s="3754">
        <v>165</v>
      </c>
      <c r="B166" s="3755">
        <v>165</v>
      </c>
      <c r="C166" s="3755" t="s">
        <v>4687</v>
      </c>
      <c r="D166" s="3756" t="s">
        <v>4382</v>
      </c>
      <c r="E166" s="3757">
        <v>88.64</v>
      </c>
      <c r="F166" s="3758">
        <v>45035</v>
      </c>
      <c r="G166" s="3758">
        <v>45795</v>
      </c>
      <c r="H166" s="3759">
        <f t="shared" si="2"/>
        <v>10.6</v>
      </c>
      <c r="I166" s="3757">
        <v>28187.52</v>
      </c>
      <c r="J166" s="3760" t="s">
        <v>4451</v>
      </c>
      <c r="K166" s="3759" t="s">
        <v>4669</v>
      </c>
    </row>
    <row r="167" spans="1:11" s="3759" customFormat="1" ht="15" hidden="1">
      <c r="A167" s="3754">
        <v>166</v>
      </c>
      <c r="B167" s="3755">
        <v>166</v>
      </c>
      <c r="C167" s="3755" t="s">
        <v>4688</v>
      </c>
      <c r="D167" s="3756" t="s">
        <v>4382</v>
      </c>
      <c r="E167" s="3757">
        <v>93.77</v>
      </c>
      <c r="F167" s="3758">
        <v>45035</v>
      </c>
      <c r="G167" s="3758">
        <v>46160</v>
      </c>
      <c r="H167" s="3759">
        <f t="shared" si="2"/>
        <v>7.33</v>
      </c>
      <c r="I167" s="3757">
        <v>20629.400000000001</v>
      </c>
      <c r="J167" s="3760" t="s">
        <v>4689</v>
      </c>
      <c r="K167" s="3759" t="s">
        <v>4669</v>
      </c>
    </row>
    <row r="168" spans="1:11" s="3759" customFormat="1" ht="15" hidden="1">
      <c r="A168" s="3754">
        <v>167</v>
      </c>
      <c r="B168" s="3755">
        <v>167</v>
      </c>
      <c r="C168" s="3755" t="s">
        <v>4690</v>
      </c>
      <c r="D168" s="3756" t="s">
        <v>4382</v>
      </c>
      <c r="E168" s="3757">
        <v>85.76</v>
      </c>
      <c r="F168" s="3758">
        <v>45045</v>
      </c>
      <c r="G168" s="3758">
        <v>45795</v>
      </c>
      <c r="H168" s="3759">
        <f t="shared" si="2"/>
        <v>4.67</v>
      </c>
      <c r="I168" s="3757">
        <v>12006.4</v>
      </c>
      <c r="J168" s="3760" t="s">
        <v>4691</v>
      </c>
      <c r="K168" s="3759" t="s">
        <v>4648</v>
      </c>
    </row>
    <row r="169" spans="1:11" s="3759" customFormat="1" ht="15" hidden="1">
      <c r="A169" s="3754">
        <v>168</v>
      </c>
      <c r="B169" s="3755">
        <v>168</v>
      </c>
      <c r="C169" s="3755" t="s">
        <v>4692</v>
      </c>
      <c r="D169" s="3756" t="s">
        <v>4382</v>
      </c>
      <c r="E169" s="3757">
        <v>76.77</v>
      </c>
      <c r="F169" s="3758">
        <v>45045</v>
      </c>
      <c r="G169" s="3758">
        <v>45795</v>
      </c>
      <c r="H169" s="3759">
        <f t="shared" si="2"/>
        <v>3.5</v>
      </c>
      <c r="I169" s="3757">
        <v>8060.85</v>
      </c>
      <c r="J169" s="3760" t="s">
        <v>4390</v>
      </c>
      <c r="K169" s="3759" t="s">
        <v>4669</v>
      </c>
    </row>
    <row r="170" spans="1:11" s="3759" customFormat="1" ht="15" hidden="1">
      <c r="A170" s="3754">
        <v>169</v>
      </c>
      <c r="B170" s="3755">
        <v>169</v>
      </c>
      <c r="C170" s="3755" t="s">
        <v>4693</v>
      </c>
      <c r="D170" s="3756" t="s">
        <v>4382</v>
      </c>
      <c r="E170" s="3757">
        <v>113.89</v>
      </c>
      <c r="F170" s="3758">
        <v>45035</v>
      </c>
      <c r="G170" s="3758">
        <v>46160</v>
      </c>
      <c r="H170" s="3759">
        <f t="shared" si="2"/>
        <v>6.33</v>
      </c>
      <c r="I170" s="3757">
        <v>21639.1</v>
      </c>
      <c r="J170" s="3760" t="s">
        <v>4402</v>
      </c>
      <c r="K170" s="3759" t="s">
        <v>4648</v>
      </c>
    </row>
    <row r="171" spans="1:11" s="3759" customFormat="1" ht="15" hidden="1">
      <c r="A171" s="3754">
        <v>170</v>
      </c>
      <c r="B171" s="3755">
        <v>170</v>
      </c>
      <c r="C171" s="3755" t="s">
        <v>4694</v>
      </c>
      <c r="D171" s="3756" t="s">
        <v>4382</v>
      </c>
      <c r="E171" s="3757">
        <v>136.52000000000001</v>
      </c>
      <c r="F171" s="3758">
        <v>45035</v>
      </c>
      <c r="G171" s="3758">
        <v>46160</v>
      </c>
      <c r="H171" s="3759">
        <f t="shared" si="2"/>
        <v>5.17</v>
      </c>
      <c r="I171" s="3757">
        <v>21160.6</v>
      </c>
      <c r="J171" s="3760" t="s">
        <v>4422</v>
      </c>
      <c r="K171" s="3759" t="s">
        <v>4695</v>
      </c>
    </row>
    <row r="172" spans="1:11" s="3759" customFormat="1" ht="15" hidden="1">
      <c r="A172" s="3754">
        <v>171</v>
      </c>
      <c r="B172" s="3755">
        <v>171</v>
      </c>
      <c r="C172" s="3755" t="s">
        <v>4696</v>
      </c>
      <c r="D172" s="3756" t="s">
        <v>4382</v>
      </c>
      <c r="E172" s="3757">
        <v>210.24</v>
      </c>
      <c r="F172" s="3758">
        <v>45035</v>
      </c>
      <c r="G172" s="3758">
        <v>46160</v>
      </c>
      <c r="H172" s="3759">
        <f t="shared" si="2"/>
        <v>6.67</v>
      </c>
      <c r="I172" s="3757">
        <v>42048</v>
      </c>
      <c r="J172" s="3760" t="s">
        <v>4402</v>
      </c>
      <c r="K172" s="3759" t="s">
        <v>4648</v>
      </c>
    </row>
    <row r="173" spans="1:11" s="3759" customFormat="1" ht="15" hidden="1">
      <c r="A173" s="3754">
        <v>172</v>
      </c>
      <c r="B173" s="3755">
        <v>172</v>
      </c>
      <c r="C173" s="3755" t="s">
        <v>4697</v>
      </c>
      <c r="D173" s="3756" t="s">
        <v>4382</v>
      </c>
      <c r="E173" s="3757">
        <v>131.88</v>
      </c>
      <c r="F173" s="3758">
        <v>45035</v>
      </c>
      <c r="G173" s="3758">
        <v>45795</v>
      </c>
      <c r="H173" s="3759">
        <f t="shared" si="2"/>
        <v>0</v>
      </c>
      <c r="I173" s="3757">
        <v>0</v>
      </c>
      <c r="J173" s="3760" t="s">
        <v>4698</v>
      </c>
      <c r="K173" s="3759" t="s">
        <v>4699</v>
      </c>
    </row>
    <row r="174" spans="1:11" s="3759" customFormat="1" ht="15" hidden="1">
      <c r="A174" s="3754">
        <v>173</v>
      </c>
      <c r="B174" s="3755">
        <v>173</v>
      </c>
      <c r="C174" s="3755" t="s">
        <v>4700</v>
      </c>
      <c r="D174" s="3756" t="s">
        <v>4382</v>
      </c>
      <c r="E174" s="3757">
        <v>292.27999999999997</v>
      </c>
      <c r="F174" s="3758">
        <v>45020</v>
      </c>
      <c r="G174" s="3758">
        <v>46160</v>
      </c>
      <c r="H174" s="3759">
        <f t="shared" si="2"/>
        <v>6</v>
      </c>
      <c r="I174" s="3757">
        <v>52610.400000000001</v>
      </c>
      <c r="J174" s="3760" t="s">
        <v>4701</v>
      </c>
      <c r="K174" s="3759" t="s">
        <v>4648</v>
      </c>
    </row>
    <row r="175" spans="1:11" s="3759" customFormat="1" ht="15" hidden="1">
      <c r="A175" s="3754">
        <v>174</v>
      </c>
      <c r="B175" s="3755">
        <v>174</v>
      </c>
      <c r="C175" s="3755" t="s">
        <v>4702</v>
      </c>
      <c r="D175" s="3756" t="s">
        <v>4382</v>
      </c>
      <c r="E175" s="3757">
        <v>168.19</v>
      </c>
      <c r="F175" s="3758">
        <v>45035</v>
      </c>
      <c r="G175" s="3758">
        <v>46160</v>
      </c>
      <c r="H175" s="3759">
        <f t="shared" si="2"/>
        <v>4.93</v>
      </c>
      <c r="I175" s="3757">
        <v>24892.12</v>
      </c>
      <c r="J175" s="3760" t="s">
        <v>4571</v>
      </c>
      <c r="K175" s="3759" t="s">
        <v>4648</v>
      </c>
    </row>
    <row r="176" spans="1:11" s="3759" customFormat="1" ht="15" hidden="1">
      <c r="A176" s="3754">
        <v>175</v>
      </c>
      <c r="B176" s="3755">
        <v>175</v>
      </c>
      <c r="C176" s="3755" t="s">
        <v>4703</v>
      </c>
      <c r="D176" s="3756" t="s">
        <v>4382</v>
      </c>
      <c r="E176" s="3757">
        <v>262</v>
      </c>
      <c r="F176" s="3758">
        <v>45005</v>
      </c>
      <c r="G176" s="3758">
        <v>46499</v>
      </c>
      <c r="H176" s="3759">
        <f t="shared" si="2"/>
        <v>4.53</v>
      </c>
      <c r="I176" s="3757">
        <v>35632</v>
      </c>
      <c r="J176" s="3760" t="s">
        <v>4704</v>
      </c>
      <c r="K176" s="3759" t="s">
        <v>4705</v>
      </c>
    </row>
    <row r="177" spans="1:11" s="3759" customFormat="1" ht="15" hidden="1">
      <c r="A177" s="3754">
        <v>176</v>
      </c>
      <c r="B177" s="3755">
        <v>176</v>
      </c>
      <c r="C177" s="3755" t="s">
        <v>4706</v>
      </c>
      <c r="D177" s="3756" t="s">
        <v>4382</v>
      </c>
      <c r="E177" s="3757">
        <v>138.47</v>
      </c>
      <c r="F177" s="3758">
        <v>45020</v>
      </c>
      <c r="G177" s="3758">
        <v>45795</v>
      </c>
      <c r="H177" s="3759">
        <f t="shared" si="2"/>
        <v>9.33</v>
      </c>
      <c r="I177" s="3757">
        <v>38771.599999999999</v>
      </c>
      <c r="J177" s="3760" t="s">
        <v>4390</v>
      </c>
      <c r="K177" s="3759" t="s">
        <v>4699</v>
      </c>
    </row>
    <row r="178" spans="1:11" s="3759" customFormat="1" ht="15" hidden="1">
      <c r="A178" s="3754">
        <v>177</v>
      </c>
      <c r="B178" s="3755">
        <v>177</v>
      </c>
      <c r="C178" s="3755" t="s">
        <v>4707</v>
      </c>
      <c r="D178" s="3756" t="s">
        <v>4382</v>
      </c>
      <c r="E178" s="3757">
        <v>119.21</v>
      </c>
      <c r="F178" s="3758">
        <v>45035</v>
      </c>
      <c r="G178" s="3758">
        <v>45795</v>
      </c>
      <c r="H178" s="3759">
        <f t="shared" si="2"/>
        <v>6</v>
      </c>
      <c r="I178" s="3757">
        <v>21457.8</v>
      </c>
      <c r="J178" s="3760" t="s">
        <v>4474</v>
      </c>
      <c r="K178" s="3759" t="s">
        <v>4699</v>
      </c>
    </row>
    <row r="179" spans="1:11" s="3759" customFormat="1" ht="15" hidden="1">
      <c r="A179" s="3754">
        <v>178</v>
      </c>
      <c r="B179" s="3755">
        <v>178</v>
      </c>
      <c r="C179" s="3755" t="s">
        <v>4708</v>
      </c>
      <c r="D179" s="3756" t="s">
        <v>4382</v>
      </c>
      <c r="E179" s="3757">
        <v>65.819999999999993</v>
      </c>
      <c r="F179" s="3758">
        <v>45035</v>
      </c>
      <c r="G179" s="3758">
        <v>45795</v>
      </c>
      <c r="H179" s="3759">
        <f t="shared" si="2"/>
        <v>13.67</v>
      </c>
      <c r="I179" s="3757">
        <v>26986.2</v>
      </c>
      <c r="J179" s="3760" t="s">
        <v>4390</v>
      </c>
      <c r="K179" s="3759" t="s">
        <v>4430</v>
      </c>
    </row>
    <row r="180" spans="1:11" s="3759" customFormat="1" ht="15" hidden="1">
      <c r="A180" s="3754">
        <v>179</v>
      </c>
      <c r="B180" s="3755">
        <v>179</v>
      </c>
      <c r="C180" s="3755" t="s">
        <v>4709</v>
      </c>
      <c r="D180" s="3756" t="s">
        <v>4382</v>
      </c>
      <c r="E180" s="3757">
        <v>417.86</v>
      </c>
      <c r="F180" s="3758">
        <v>45005</v>
      </c>
      <c r="G180" s="3758">
        <v>46891</v>
      </c>
      <c r="H180" s="3759">
        <f t="shared" si="2"/>
        <v>5</v>
      </c>
      <c r="I180" s="3757">
        <v>62679</v>
      </c>
      <c r="J180" s="3760" t="s">
        <v>4710</v>
      </c>
      <c r="K180" s="3759" t="s">
        <v>4711</v>
      </c>
    </row>
    <row r="181" spans="1:11" s="3759" customFormat="1" ht="15" hidden="1">
      <c r="A181" s="3754">
        <v>180</v>
      </c>
      <c r="B181" s="3755">
        <v>180</v>
      </c>
      <c r="C181" s="3755" t="s">
        <v>4712</v>
      </c>
      <c r="D181" s="3756" t="s">
        <v>4382</v>
      </c>
      <c r="E181" s="3757">
        <v>248</v>
      </c>
      <c r="F181" s="3758">
        <v>45005</v>
      </c>
      <c r="G181" s="3758">
        <v>46525</v>
      </c>
      <c r="H181" s="3759">
        <f t="shared" si="2"/>
        <v>5.67</v>
      </c>
      <c r="I181" s="3757">
        <v>42160</v>
      </c>
      <c r="J181" s="3760" t="s">
        <v>4713</v>
      </c>
      <c r="K181" s="3759" t="s">
        <v>4509</v>
      </c>
    </row>
    <row r="182" spans="1:11" s="3759" customFormat="1" ht="15" hidden="1">
      <c r="A182" s="3754">
        <v>181</v>
      </c>
      <c r="B182" s="3755">
        <v>181</v>
      </c>
      <c r="C182" s="3755" t="s">
        <v>4714</v>
      </c>
      <c r="D182" s="3756" t="s">
        <v>4382</v>
      </c>
      <c r="E182" s="3757">
        <v>64.459999999999994</v>
      </c>
      <c r="F182" s="3758">
        <v>45035</v>
      </c>
      <c r="G182" s="3758">
        <v>46160</v>
      </c>
      <c r="H182" s="3759">
        <f t="shared" si="2"/>
        <v>12.67</v>
      </c>
      <c r="I182" s="3757">
        <v>24494.799999999999</v>
      </c>
      <c r="J182" s="3760" t="s">
        <v>4541</v>
      </c>
      <c r="K182" s="3759" t="s">
        <v>4509</v>
      </c>
    </row>
    <row r="183" spans="1:11" s="3759" customFormat="1" ht="15" hidden="1">
      <c r="A183" s="3754">
        <v>182</v>
      </c>
      <c r="B183" s="3755">
        <v>182</v>
      </c>
      <c r="C183" s="3755" t="s">
        <v>4715</v>
      </c>
      <c r="D183" s="3756" t="s">
        <v>4382</v>
      </c>
      <c r="E183" s="3757">
        <v>40.74</v>
      </c>
      <c r="F183" s="3758">
        <v>45035</v>
      </c>
      <c r="G183" s="3758">
        <v>45795</v>
      </c>
      <c r="H183" s="3759">
        <f t="shared" si="2"/>
        <v>14</v>
      </c>
      <c r="I183" s="3757">
        <v>17110.8</v>
      </c>
      <c r="J183" s="3760" t="s">
        <v>4390</v>
      </c>
      <c r="K183" s="3759" t="s">
        <v>4284</v>
      </c>
    </row>
    <row r="184" spans="1:11" s="3759" customFormat="1" ht="15" hidden="1">
      <c r="A184" s="3754">
        <v>183</v>
      </c>
      <c r="B184" s="3755">
        <v>183</v>
      </c>
      <c r="C184" s="3755" t="s">
        <v>4716</v>
      </c>
      <c r="D184" s="3756" t="s">
        <v>4382</v>
      </c>
      <c r="E184" s="3757">
        <v>27.88</v>
      </c>
      <c r="F184" s="3758">
        <v>45025</v>
      </c>
      <c r="G184" s="3758">
        <v>45795</v>
      </c>
      <c r="H184" s="3759">
        <f t="shared" si="2"/>
        <v>18.329999999999998</v>
      </c>
      <c r="I184" s="3757">
        <v>15334</v>
      </c>
      <c r="J184" s="3760" t="s">
        <v>4390</v>
      </c>
      <c r="K184" s="3759" t="s">
        <v>4284</v>
      </c>
    </row>
    <row r="185" spans="1:11" s="3759" customFormat="1" ht="15" hidden="1">
      <c r="A185" s="3754">
        <v>184</v>
      </c>
      <c r="B185" s="3755">
        <v>184</v>
      </c>
      <c r="C185" s="3755" t="s">
        <v>4717</v>
      </c>
      <c r="D185" s="3756" t="s">
        <v>4382</v>
      </c>
      <c r="E185" s="3757">
        <v>70.709999999999994</v>
      </c>
      <c r="F185" s="3758">
        <v>45035</v>
      </c>
      <c r="G185" s="3758">
        <v>45795</v>
      </c>
      <c r="H185" s="3759">
        <f t="shared" si="2"/>
        <v>15</v>
      </c>
      <c r="I185" s="3757">
        <v>31819.5</v>
      </c>
      <c r="J185" s="3760" t="s">
        <v>4392</v>
      </c>
      <c r="K185" s="3759" t="s">
        <v>4284</v>
      </c>
    </row>
    <row r="186" spans="1:11" s="3759" customFormat="1" ht="15" hidden="1">
      <c r="A186" s="3754">
        <v>185</v>
      </c>
      <c r="B186" s="3755">
        <v>185</v>
      </c>
      <c r="C186" s="3755" t="s">
        <v>4718</v>
      </c>
      <c r="D186" s="3756" t="s">
        <v>4382</v>
      </c>
      <c r="E186" s="3757">
        <v>87.59</v>
      </c>
      <c r="F186" s="3758">
        <v>45035</v>
      </c>
      <c r="G186" s="3758">
        <v>46160</v>
      </c>
      <c r="H186" s="3759">
        <f t="shared" si="2"/>
        <v>7.67</v>
      </c>
      <c r="I186" s="3757">
        <v>20145.7</v>
      </c>
      <c r="J186" s="3760" t="s">
        <v>4438</v>
      </c>
      <c r="K186" s="3759" t="s">
        <v>4284</v>
      </c>
    </row>
    <row r="187" spans="1:11" s="3759" customFormat="1" ht="15" hidden="1">
      <c r="A187" s="3754">
        <v>186</v>
      </c>
      <c r="B187" s="3755">
        <v>186</v>
      </c>
      <c r="C187" s="3755" t="s">
        <v>4719</v>
      </c>
      <c r="D187" s="3756" t="s">
        <v>4382</v>
      </c>
      <c r="E187" s="3757">
        <v>113.43</v>
      </c>
      <c r="F187" s="3758">
        <v>45035</v>
      </c>
      <c r="G187" s="3758">
        <v>45795</v>
      </c>
      <c r="H187" s="3759">
        <f t="shared" si="2"/>
        <v>0</v>
      </c>
      <c r="I187" s="3757">
        <v>0</v>
      </c>
      <c r="J187" s="3760" t="s">
        <v>4720</v>
      </c>
      <c r="K187" s="3759" t="s">
        <v>4721</v>
      </c>
    </row>
    <row r="188" spans="1:11" s="3759" customFormat="1" ht="15" hidden="1">
      <c r="A188" s="3754">
        <v>187</v>
      </c>
      <c r="B188" s="3755">
        <v>187</v>
      </c>
      <c r="C188" s="3755" t="s">
        <v>4722</v>
      </c>
      <c r="D188" s="3756" t="s">
        <v>4382</v>
      </c>
      <c r="E188" s="3757">
        <v>55.91</v>
      </c>
      <c r="F188" s="3758">
        <v>45035</v>
      </c>
      <c r="G188" s="3758">
        <v>45795</v>
      </c>
      <c r="H188" s="3759">
        <f t="shared" si="2"/>
        <v>6.67</v>
      </c>
      <c r="I188" s="3757">
        <v>11182</v>
      </c>
      <c r="J188" s="3760" t="s">
        <v>4496</v>
      </c>
      <c r="K188" s="3759" t="s">
        <v>4723</v>
      </c>
    </row>
    <row r="189" spans="1:11" s="3759" customFormat="1" ht="15" hidden="1">
      <c r="A189" s="3754">
        <v>188</v>
      </c>
      <c r="B189" s="3755">
        <v>188</v>
      </c>
      <c r="C189" s="3755" t="s">
        <v>4724</v>
      </c>
      <c r="D189" s="3756" t="s">
        <v>4382</v>
      </c>
      <c r="E189" s="3757">
        <v>52.7</v>
      </c>
      <c r="F189" s="3758">
        <v>45035</v>
      </c>
      <c r="G189" s="3758">
        <v>45796</v>
      </c>
      <c r="H189" s="3759">
        <f t="shared" si="2"/>
        <v>5.83</v>
      </c>
      <c r="I189" s="3757">
        <v>9222.5</v>
      </c>
      <c r="J189" s="3760" t="s">
        <v>4725</v>
      </c>
      <c r="K189" s="3759" t="s">
        <v>4721</v>
      </c>
    </row>
    <row r="190" spans="1:11" s="3759" customFormat="1" ht="15" hidden="1">
      <c r="A190" s="3754">
        <v>189</v>
      </c>
      <c r="B190" s="3755">
        <v>189</v>
      </c>
      <c r="C190" s="3755" t="s">
        <v>4726</v>
      </c>
      <c r="D190" s="3756" t="s">
        <v>4382</v>
      </c>
      <c r="E190" s="3757">
        <v>76.239999999999995</v>
      </c>
      <c r="F190" s="3758">
        <v>45035</v>
      </c>
      <c r="G190" s="3758">
        <v>45795</v>
      </c>
      <c r="H190" s="3759">
        <f t="shared" si="2"/>
        <v>5</v>
      </c>
      <c r="I190" s="3757">
        <v>11436</v>
      </c>
      <c r="J190" s="3760" t="s">
        <v>4410</v>
      </c>
      <c r="K190" s="3759" t="s">
        <v>4721</v>
      </c>
    </row>
    <row r="191" spans="1:11" s="3759" customFormat="1" ht="15" hidden="1">
      <c r="A191" s="3754">
        <v>190</v>
      </c>
      <c r="B191" s="3755">
        <v>190</v>
      </c>
      <c r="C191" s="3755" t="s">
        <v>4727</v>
      </c>
      <c r="D191" s="3756" t="s">
        <v>4382</v>
      </c>
      <c r="E191" s="3757">
        <v>52.5</v>
      </c>
      <c r="F191" s="3758">
        <v>45035</v>
      </c>
      <c r="G191" s="3758">
        <v>45795</v>
      </c>
      <c r="H191" s="3759">
        <f t="shared" si="2"/>
        <v>11.67</v>
      </c>
      <c r="I191" s="3757">
        <v>18375</v>
      </c>
      <c r="J191" s="3760" t="s">
        <v>4394</v>
      </c>
      <c r="K191" s="3759" t="s">
        <v>4728</v>
      </c>
    </row>
    <row r="192" spans="1:11" s="3759" customFormat="1" ht="15" hidden="1">
      <c r="A192" s="3754">
        <v>191</v>
      </c>
      <c r="B192" s="3755">
        <v>191</v>
      </c>
      <c r="C192" s="3755" t="s">
        <v>4729</v>
      </c>
      <c r="D192" s="3756" t="s">
        <v>4382</v>
      </c>
      <c r="E192" s="3757">
        <v>280.86</v>
      </c>
      <c r="F192" s="3758">
        <v>45020</v>
      </c>
      <c r="G192" s="3758">
        <v>46525</v>
      </c>
      <c r="H192" s="3759">
        <f t="shared" si="2"/>
        <v>5.5</v>
      </c>
      <c r="I192" s="3757">
        <v>46341.9</v>
      </c>
      <c r="J192" s="3760" t="s">
        <v>4730</v>
      </c>
      <c r="K192" s="3759" t="s">
        <v>4731</v>
      </c>
    </row>
    <row r="193" spans="1:11" s="3759" customFormat="1" ht="15" hidden="1">
      <c r="A193" s="3754">
        <v>192</v>
      </c>
      <c r="B193" s="3755">
        <v>192</v>
      </c>
      <c r="C193" s="3755" t="s">
        <v>4732</v>
      </c>
      <c r="D193" s="3756" t="s">
        <v>4382</v>
      </c>
      <c r="E193" s="3757">
        <v>164.87</v>
      </c>
      <c r="F193" s="3758">
        <v>45020</v>
      </c>
      <c r="G193" s="3758">
        <v>46160</v>
      </c>
      <c r="H193" s="3759">
        <f t="shared" si="2"/>
        <v>10</v>
      </c>
      <c r="I193" s="3757">
        <v>49461</v>
      </c>
      <c r="J193" s="3760" t="s">
        <v>4733</v>
      </c>
      <c r="K193" s="3759" t="s">
        <v>4467</v>
      </c>
    </row>
    <row r="194" spans="1:11" s="3759" customFormat="1" ht="15" hidden="1">
      <c r="A194" s="3754">
        <v>193</v>
      </c>
      <c r="B194" s="3755">
        <v>193</v>
      </c>
      <c r="C194" s="3755" t="s">
        <v>4734</v>
      </c>
      <c r="D194" s="3756" t="s">
        <v>4382</v>
      </c>
      <c r="E194" s="3757">
        <v>111.53</v>
      </c>
      <c r="F194" s="3758">
        <v>45020</v>
      </c>
      <c r="G194" s="3758">
        <v>46160</v>
      </c>
      <c r="H194" s="3759">
        <f t="shared" ref="H194:H243" si="3">ROUND(I194/E194/30,2)</f>
        <v>10.33</v>
      </c>
      <c r="I194" s="3757">
        <v>34574.300000000003</v>
      </c>
      <c r="J194" s="3760" t="s">
        <v>4402</v>
      </c>
      <c r="K194" s="3759" t="s">
        <v>4467</v>
      </c>
    </row>
    <row r="195" spans="1:11" s="3759" customFormat="1" ht="15" hidden="1">
      <c r="A195" s="3754">
        <v>194</v>
      </c>
      <c r="B195" s="3755">
        <v>194</v>
      </c>
      <c r="C195" s="3755" t="s">
        <v>4735</v>
      </c>
      <c r="D195" s="3756" t="s">
        <v>4382</v>
      </c>
      <c r="E195" s="3757">
        <v>970</v>
      </c>
      <c r="F195" s="3758">
        <v>44988</v>
      </c>
      <c r="G195" s="3758">
        <v>47269</v>
      </c>
      <c r="H195" s="3759">
        <f t="shared" si="3"/>
        <v>0</v>
      </c>
      <c r="I195" s="3757">
        <v>0</v>
      </c>
      <c r="J195" s="3760" t="s">
        <v>4736</v>
      </c>
      <c r="K195" s="3759" t="s">
        <v>4284</v>
      </c>
    </row>
    <row r="196" spans="1:11" s="3759" customFormat="1" ht="15" hidden="1">
      <c r="A196" s="3754">
        <v>195</v>
      </c>
      <c r="B196" s="3755">
        <v>195</v>
      </c>
      <c r="C196" s="3755" t="s">
        <v>4737</v>
      </c>
      <c r="D196" s="3756" t="s">
        <v>4382</v>
      </c>
      <c r="E196" s="3757">
        <v>88.65</v>
      </c>
      <c r="F196" s="3758">
        <v>45035</v>
      </c>
      <c r="G196" s="3758">
        <v>46160</v>
      </c>
      <c r="H196" s="3759">
        <f t="shared" si="3"/>
        <v>8.17</v>
      </c>
      <c r="I196" s="3757">
        <v>21719.25</v>
      </c>
      <c r="J196" s="3760" t="s">
        <v>4438</v>
      </c>
      <c r="K196" s="3759" t="s">
        <v>4467</v>
      </c>
    </row>
    <row r="197" spans="1:11" s="3759" customFormat="1" ht="15" hidden="1">
      <c r="A197" s="3754">
        <v>196</v>
      </c>
      <c r="B197" s="3755">
        <v>196</v>
      </c>
      <c r="C197" s="3755" t="s">
        <v>4738</v>
      </c>
      <c r="D197" s="3756" t="s">
        <v>4382</v>
      </c>
      <c r="E197" s="3757">
        <v>53</v>
      </c>
      <c r="F197" s="3758">
        <v>45050</v>
      </c>
      <c r="G197" s="3758">
        <v>45795</v>
      </c>
      <c r="H197" s="3759">
        <f t="shared" si="3"/>
        <v>6.67</v>
      </c>
      <c r="I197" s="3757">
        <v>10600</v>
      </c>
      <c r="J197" s="3760" t="s">
        <v>4392</v>
      </c>
      <c r="K197" s="3759" t="s">
        <v>4467</v>
      </c>
    </row>
    <row r="198" spans="1:11" s="3759" customFormat="1" ht="15" hidden="1">
      <c r="A198" s="3754">
        <v>197</v>
      </c>
      <c r="B198" s="3755">
        <v>197</v>
      </c>
      <c r="C198" s="3755" t="s">
        <v>4739</v>
      </c>
      <c r="D198" s="3756" t="s">
        <v>4382</v>
      </c>
      <c r="E198" s="3757">
        <v>59</v>
      </c>
      <c r="F198" s="3758">
        <v>45035</v>
      </c>
      <c r="G198" s="3758">
        <v>45795</v>
      </c>
      <c r="H198" s="3759">
        <f t="shared" si="3"/>
        <v>12.67</v>
      </c>
      <c r="I198" s="3757">
        <v>22420</v>
      </c>
      <c r="J198" s="3760" t="s">
        <v>4474</v>
      </c>
      <c r="K198" s="3759" t="s">
        <v>4740</v>
      </c>
    </row>
    <row r="199" spans="1:11" s="3759" customFormat="1" ht="15" hidden="1">
      <c r="A199" s="3754">
        <v>198</v>
      </c>
      <c r="B199" s="3755">
        <v>198</v>
      </c>
      <c r="C199" s="3755" t="s">
        <v>4741</v>
      </c>
      <c r="D199" s="3756" t="s">
        <v>4382</v>
      </c>
      <c r="E199" s="3757">
        <v>230.4</v>
      </c>
      <c r="F199" s="3758">
        <v>45005</v>
      </c>
      <c r="G199" s="3758">
        <v>46160</v>
      </c>
      <c r="H199" s="3759">
        <f t="shared" si="3"/>
        <v>0</v>
      </c>
      <c r="I199" s="3757">
        <v>0</v>
      </c>
      <c r="J199" s="3760" t="s">
        <v>4742</v>
      </c>
      <c r="K199" s="3759" t="s">
        <v>4743</v>
      </c>
    </row>
    <row r="200" spans="1:11" s="3759" customFormat="1" ht="15" hidden="1">
      <c r="A200" s="3754">
        <v>199</v>
      </c>
      <c r="B200" s="3755">
        <v>199</v>
      </c>
      <c r="C200" s="3755" t="s">
        <v>4744</v>
      </c>
      <c r="D200" s="3756" t="s">
        <v>4382</v>
      </c>
      <c r="E200" s="3757">
        <v>137.05000000000001</v>
      </c>
      <c r="F200" s="3758">
        <v>45035</v>
      </c>
      <c r="G200" s="3758">
        <v>46160</v>
      </c>
      <c r="H200" s="3759">
        <f t="shared" si="3"/>
        <v>10.33</v>
      </c>
      <c r="I200" s="3757">
        <v>42485.5</v>
      </c>
      <c r="J200" s="3760" t="s">
        <v>4541</v>
      </c>
      <c r="K200" s="3759" t="s">
        <v>4745</v>
      </c>
    </row>
    <row r="201" spans="1:11" s="3759" customFormat="1" ht="15" hidden="1">
      <c r="A201" s="3754">
        <v>200</v>
      </c>
      <c r="B201" s="3755">
        <v>200</v>
      </c>
      <c r="C201" s="3755" t="s">
        <v>4746</v>
      </c>
      <c r="D201" s="3756" t="s">
        <v>4382</v>
      </c>
      <c r="E201" s="3757">
        <v>319.16000000000003</v>
      </c>
      <c r="F201" s="3758">
        <v>45005</v>
      </c>
      <c r="G201" s="3758">
        <v>46891</v>
      </c>
      <c r="H201" s="3759">
        <f t="shared" si="3"/>
        <v>5.33</v>
      </c>
      <c r="I201" s="3757">
        <v>51065.599999999999</v>
      </c>
      <c r="J201" s="3760" t="s">
        <v>4747</v>
      </c>
      <c r="K201" s="3759" t="s">
        <v>4284</v>
      </c>
    </row>
    <row r="202" spans="1:11" s="3759" customFormat="1" ht="15" hidden="1">
      <c r="A202" s="3754">
        <v>201</v>
      </c>
      <c r="B202" s="3755">
        <v>201</v>
      </c>
      <c r="C202" s="3755" t="s">
        <v>4748</v>
      </c>
      <c r="D202" s="3756" t="s">
        <v>4382</v>
      </c>
      <c r="E202" s="3757">
        <v>135.38999999999999</v>
      </c>
      <c r="F202" s="3758">
        <v>45005</v>
      </c>
      <c r="G202" s="3758">
        <v>46160</v>
      </c>
      <c r="H202" s="3759">
        <f t="shared" si="3"/>
        <v>9.17</v>
      </c>
      <c r="I202" s="3757">
        <v>37232.25</v>
      </c>
      <c r="J202" s="3760" t="s">
        <v>4402</v>
      </c>
      <c r="K202" s="3759" t="s">
        <v>4284</v>
      </c>
    </row>
    <row r="203" spans="1:11" s="3759" customFormat="1" ht="15" hidden="1">
      <c r="A203" s="3754">
        <v>202</v>
      </c>
      <c r="B203" s="3755">
        <v>202</v>
      </c>
      <c r="C203" s="3755" t="s">
        <v>4749</v>
      </c>
      <c r="D203" s="3756" t="s">
        <v>4382</v>
      </c>
      <c r="E203" s="3757">
        <v>61.2</v>
      </c>
      <c r="F203" s="3758">
        <v>45034</v>
      </c>
      <c r="G203" s="3758">
        <v>45795</v>
      </c>
      <c r="H203" s="3759">
        <f t="shared" si="3"/>
        <v>11.33</v>
      </c>
      <c r="I203" s="3757">
        <v>20808</v>
      </c>
      <c r="J203" s="3760" t="s">
        <v>4449</v>
      </c>
      <c r="K203" s="3759" t="s">
        <v>4284</v>
      </c>
    </row>
    <row r="204" spans="1:11" s="3759" customFormat="1" ht="15" hidden="1">
      <c r="A204" s="3754">
        <v>203</v>
      </c>
      <c r="B204" s="3755">
        <v>203</v>
      </c>
      <c r="C204" s="3755" t="s">
        <v>4750</v>
      </c>
      <c r="D204" s="3756" t="s">
        <v>4382</v>
      </c>
      <c r="E204" s="3757">
        <v>138.13</v>
      </c>
      <c r="F204" s="3758">
        <v>45020</v>
      </c>
      <c r="G204" s="3758">
        <v>46525</v>
      </c>
      <c r="H204" s="3759">
        <f t="shared" si="3"/>
        <v>6.67</v>
      </c>
      <c r="I204" s="3757">
        <v>27626</v>
      </c>
      <c r="J204" s="3760" t="s">
        <v>4751</v>
      </c>
      <c r="K204" s="3759" t="s">
        <v>4284</v>
      </c>
    </row>
    <row r="205" spans="1:11" s="3759" customFormat="1" ht="15" hidden="1">
      <c r="A205" s="3754">
        <v>204</v>
      </c>
      <c r="B205" s="3755">
        <v>204</v>
      </c>
      <c r="C205" s="3755" t="s">
        <v>4752</v>
      </c>
      <c r="D205" s="3756" t="s">
        <v>4382</v>
      </c>
      <c r="E205" s="3757">
        <v>163.16</v>
      </c>
      <c r="F205" s="3758">
        <v>45249</v>
      </c>
      <c r="G205" s="3758">
        <v>45351</v>
      </c>
      <c r="H205" s="3759">
        <f t="shared" si="3"/>
        <v>0</v>
      </c>
      <c r="I205" s="3757">
        <v>0</v>
      </c>
      <c r="J205" s="3760" t="s">
        <v>4753</v>
      </c>
      <c r="K205" s="3759" t="s">
        <v>4426</v>
      </c>
    </row>
    <row r="206" spans="1:11" s="3759" customFormat="1" ht="15" hidden="1">
      <c r="A206" s="3754">
        <v>205</v>
      </c>
      <c r="B206" s="3755">
        <v>205</v>
      </c>
      <c r="C206" s="3755" t="s">
        <v>4754</v>
      </c>
      <c r="D206" s="3756" t="s">
        <v>4382</v>
      </c>
      <c r="E206" s="3757">
        <v>153.19</v>
      </c>
      <c r="F206" s="3758">
        <v>45010</v>
      </c>
      <c r="G206" s="3758">
        <v>46160</v>
      </c>
      <c r="H206" s="3759">
        <f t="shared" si="3"/>
        <v>3.67</v>
      </c>
      <c r="I206" s="3757">
        <v>16850.900000000001</v>
      </c>
      <c r="J206" s="3760" t="s">
        <v>4402</v>
      </c>
      <c r="K206" s="3759" t="s">
        <v>4755</v>
      </c>
    </row>
    <row r="207" spans="1:11" s="3759" customFormat="1" ht="15" hidden="1">
      <c r="A207" s="3754">
        <v>206</v>
      </c>
      <c r="B207" s="3755">
        <v>206</v>
      </c>
      <c r="C207" s="3755" t="s">
        <v>4756</v>
      </c>
      <c r="D207" s="3756" t="s">
        <v>4382</v>
      </c>
      <c r="E207" s="3757">
        <v>149.61000000000001</v>
      </c>
      <c r="F207" s="3758">
        <v>45035</v>
      </c>
      <c r="G207" s="3758">
        <v>46160</v>
      </c>
      <c r="H207" s="3759">
        <f t="shared" si="3"/>
        <v>3.33</v>
      </c>
      <c r="I207" s="3757">
        <v>14961</v>
      </c>
      <c r="J207" s="3760" t="s">
        <v>4757</v>
      </c>
      <c r="K207" s="3759" t="s">
        <v>4755</v>
      </c>
    </row>
    <row r="208" spans="1:11" s="3759" customFormat="1" ht="15" hidden="1">
      <c r="A208" s="3754">
        <v>207</v>
      </c>
      <c r="B208" s="3755">
        <v>207</v>
      </c>
      <c r="C208" s="3755" t="s">
        <v>4758</v>
      </c>
      <c r="D208" s="3756" t="s">
        <v>4382</v>
      </c>
      <c r="E208" s="3757">
        <v>138.47</v>
      </c>
      <c r="F208" s="3758">
        <v>45035</v>
      </c>
      <c r="G208" s="3758">
        <v>45795</v>
      </c>
      <c r="H208" s="3759">
        <f t="shared" si="3"/>
        <v>10.67</v>
      </c>
      <c r="I208" s="3757">
        <v>44310.400000000001</v>
      </c>
      <c r="J208" s="3760" t="s">
        <v>4459</v>
      </c>
      <c r="K208" s="3759" t="s">
        <v>4755</v>
      </c>
    </row>
    <row r="209" spans="1:11" s="3759" customFormat="1" ht="15" hidden="1">
      <c r="A209" s="3754">
        <v>208</v>
      </c>
      <c r="B209" s="3755">
        <v>208</v>
      </c>
      <c r="C209" s="3755" t="s">
        <v>4759</v>
      </c>
      <c r="D209" s="3756" t="s">
        <v>4382</v>
      </c>
      <c r="E209" s="3757">
        <v>185.05</v>
      </c>
      <c r="F209" s="3758">
        <v>45035</v>
      </c>
      <c r="G209" s="3758">
        <v>46160</v>
      </c>
      <c r="H209" s="3759">
        <f t="shared" si="3"/>
        <v>4.43</v>
      </c>
      <c r="I209" s="3757">
        <v>24611.65</v>
      </c>
      <c r="J209" s="3760" t="s">
        <v>4442</v>
      </c>
      <c r="K209" s="3759" t="s">
        <v>4760</v>
      </c>
    </row>
    <row r="210" spans="1:11" s="3759" customFormat="1" ht="15" hidden="1">
      <c r="A210" s="3754">
        <v>209</v>
      </c>
      <c r="B210" s="3755">
        <v>209</v>
      </c>
      <c r="C210" s="3755" t="s">
        <v>4761</v>
      </c>
      <c r="D210" s="3756" t="s">
        <v>4382</v>
      </c>
      <c r="E210" s="3757">
        <v>332.63</v>
      </c>
      <c r="F210" s="3758">
        <v>45005</v>
      </c>
      <c r="G210" s="3758">
        <v>46891</v>
      </c>
      <c r="H210" s="3759">
        <f t="shared" si="3"/>
        <v>7.33</v>
      </c>
      <c r="I210" s="3757">
        <v>73178.600000000006</v>
      </c>
      <c r="J210" s="3760" t="s">
        <v>4762</v>
      </c>
      <c r="K210" s="3759" t="s">
        <v>4284</v>
      </c>
    </row>
    <row r="211" spans="1:11" s="3759" customFormat="1" ht="15" hidden="1">
      <c r="A211" s="3754">
        <v>210</v>
      </c>
      <c r="B211" s="3755">
        <v>210</v>
      </c>
      <c r="C211" s="3755" t="s">
        <v>4763</v>
      </c>
      <c r="D211" s="3756" t="s">
        <v>4382</v>
      </c>
      <c r="E211" s="3757">
        <v>363.83</v>
      </c>
      <c r="F211" s="3758">
        <v>44975</v>
      </c>
      <c r="G211" s="3758">
        <v>47256</v>
      </c>
      <c r="H211" s="3759">
        <f t="shared" si="3"/>
        <v>4.33</v>
      </c>
      <c r="I211" s="3757">
        <v>47297.9</v>
      </c>
      <c r="J211" s="3760" t="s">
        <v>4764</v>
      </c>
      <c r="K211" s="3759" t="s">
        <v>4400</v>
      </c>
    </row>
    <row r="212" spans="1:11" s="3759" customFormat="1" ht="15" hidden="1">
      <c r="A212" s="3754">
        <v>211</v>
      </c>
      <c r="B212" s="3755">
        <v>211</v>
      </c>
      <c r="C212" s="3755" t="s">
        <v>4765</v>
      </c>
      <c r="D212" s="3756" t="s">
        <v>4382</v>
      </c>
      <c r="E212" s="3757">
        <v>76.61</v>
      </c>
      <c r="F212" s="3758">
        <v>45050</v>
      </c>
      <c r="G212" s="3758">
        <v>46160</v>
      </c>
      <c r="H212" s="3759">
        <f t="shared" si="3"/>
        <v>6.67</v>
      </c>
      <c r="I212" s="3757">
        <v>15322</v>
      </c>
      <c r="J212" s="3760" t="s">
        <v>4581</v>
      </c>
      <c r="K212" s="3759" t="s">
        <v>4766</v>
      </c>
    </row>
    <row r="213" spans="1:11" s="3759" customFormat="1" ht="15" hidden="1">
      <c r="A213" s="3754">
        <v>212</v>
      </c>
      <c r="B213" s="3755">
        <v>212</v>
      </c>
      <c r="C213" s="3755" t="s">
        <v>4767</v>
      </c>
      <c r="D213" s="3756" t="s">
        <v>4382</v>
      </c>
      <c r="E213" s="3757">
        <v>151.25</v>
      </c>
      <c r="F213" s="3758">
        <v>45005</v>
      </c>
      <c r="G213" s="3758">
        <v>46525</v>
      </c>
      <c r="H213" s="3759">
        <f t="shared" si="3"/>
        <v>8.67</v>
      </c>
      <c r="I213" s="3757">
        <v>39325</v>
      </c>
      <c r="J213" s="3760" t="s">
        <v>4435</v>
      </c>
      <c r="K213" s="3759" t="s">
        <v>4284</v>
      </c>
    </row>
    <row r="214" spans="1:11" s="3759" customFormat="1" ht="15" hidden="1">
      <c r="A214" s="3754">
        <v>213</v>
      </c>
      <c r="B214" s="3755">
        <v>213</v>
      </c>
      <c r="C214" s="3755" t="s">
        <v>4768</v>
      </c>
      <c r="D214" s="3756" t="s">
        <v>4382</v>
      </c>
      <c r="E214" s="3757">
        <v>108</v>
      </c>
      <c r="F214" s="3758">
        <v>45005</v>
      </c>
      <c r="G214" s="3758">
        <v>46160</v>
      </c>
      <c r="H214" s="3759">
        <f t="shared" si="3"/>
        <v>14.5</v>
      </c>
      <c r="I214" s="3757">
        <v>46980</v>
      </c>
      <c r="J214" s="3760" t="s">
        <v>4402</v>
      </c>
      <c r="K214" s="3759" t="s">
        <v>4284</v>
      </c>
    </row>
    <row r="215" spans="1:11" s="3759" customFormat="1" ht="15" hidden="1">
      <c r="A215" s="3754">
        <v>214</v>
      </c>
      <c r="B215" s="3755">
        <v>214</v>
      </c>
      <c r="C215" s="3755" t="s">
        <v>4769</v>
      </c>
      <c r="D215" s="3756" t="s">
        <v>4382</v>
      </c>
      <c r="E215" s="3757">
        <v>76.540000000000006</v>
      </c>
      <c r="F215" s="3758">
        <v>45035</v>
      </c>
      <c r="G215" s="3758">
        <v>46160</v>
      </c>
      <c r="H215" s="3759">
        <f t="shared" si="3"/>
        <v>8.33</v>
      </c>
      <c r="I215" s="3757">
        <v>19135</v>
      </c>
      <c r="J215" s="3760" t="s">
        <v>4438</v>
      </c>
      <c r="K215" s="3759" t="s">
        <v>4284</v>
      </c>
    </row>
    <row r="216" spans="1:11" s="3759" customFormat="1" ht="15" hidden="1">
      <c r="A216" s="3754">
        <v>215</v>
      </c>
      <c r="B216" s="3755">
        <v>215</v>
      </c>
      <c r="C216" s="3755" t="s">
        <v>4770</v>
      </c>
      <c r="D216" s="3756" t="s">
        <v>4382</v>
      </c>
      <c r="E216" s="3757">
        <v>210.56</v>
      </c>
      <c r="F216" s="3758">
        <v>45005</v>
      </c>
      <c r="G216" s="3758">
        <v>46891</v>
      </c>
      <c r="H216" s="3759">
        <f t="shared" si="3"/>
        <v>5</v>
      </c>
      <c r="I216" s="3757">
        <v>31584</v>
      </c>
      <c r="J216" s="3760" t="s">
        <v>4383</v>
      </c>
      <c r="K216" s="3759" t="s">
        <v>4284</v>
      </c>
    </row>
    <row r="217" spans="1:11" s="3759" customFormat="1" ht="15" hidden="1">
      <c r="A217" s="3754">
        <v>216</v>
      </c>
      <c r="B217" s="3755">
        <v>216</v>
      </c>
      <c r="C217" s="3755" t="s">
        <v>4771</v>
      </c>
      <c r="D217" s="3756" t="s">
        <v>4382</v>
      </c>
      <c r="E217" s="3757">
        <v>204.3</v>
      </c>
      <c r="F217" s="3758">
        <v>45005</v>
      </c>
      <c r="G217" s="3758">
        <v>46525</v>
      </c>
      <c r="H217" s="3759">
        <f t="shared" si="3"/>
        <v>7.33</v>
      </c>
      <c r="I217" s="3757">
        <v>44946</v>
      </c>
      <c r="J217" s="3760" t="s">
        <v>4772</v>
      </c>
      <c r="K217" s="3759" t="s">
        <v>4284</v>
      </c>
    </row>
    <row r="218" spans="1:11" s="3759" customFormat="1" ht="15" hidden="1">
      <c r="A218" s="3754">
        <v>217</v>
      </c>
      <c r="B218" s="3755">
        <v>217</v>
      </c>
      <c r="C218" s="3755" t="s">
        <v>4773</v>
      </c>
      <c r="D218" s="3756" t="s">
        <v>4382</v>
      </c>
      <c r="E218" s="3757">
        <v>320.22000000000003</v>
      </c>
      <c r="F218" s="3758">
        <v>45020</v>
      </c>
      <c r="G218" s="3758">
        <v>46891</v>
      </c>
      <c r="H218" s="3759">
        <f t="shared" si="3"/>
        <v>5.6</v>
      </c>
      <c r="I218" s="3757">
        <v>53796.959999999999</v>
      </c>
      <c r="J218" s="3760" t="s">
        <v>4747</v>
      </c>
      <c r="K218" s="3759" t="s">
        <v>4284</v>
      </c>
    </row>
    <row r="219" spans="1:11" s="3759" customFormat="1" ht="15" hidden="1">
      <c r="A219" s="3754">
        <v>218</v>
      </c>
      <c r="B219" s="3755">
        <v>218</v>
      </c>
      <c r="C219" s="3755" t="s">
        <v>4774</v>
      </c>
      <c r="D219" s="3756" t="s">
        <v>4382</v>
      </c>
      <c r="E219" s="3757">
        <v>829</v>
      </c>
      <c r="F219" s="3758">
        <v>45000</v>
      </c>
      <c r="G219" s="3758">
        <v>46891</v>
      </c>
      <c r="H219" s="3759">
        <f t="shared" si="3"/>
        <v>4.7300000000000004</v>
      </c>
      <c r="I219" s="3757">
        <v>117718</v>
      </c>
      <c r="J219" s="3760" t="s">
        <v>4775</v>
      </c>
      <c r="K219" s="3759" t="s">
        <v>4284</v>
      </c>
    </row>
    <row r="220" spans="1:11" s="3759" customFormat="1" ht="15" hidden="1">
      <c r="A220" s="3754">
        <v>219</v>
      </c>
      <c r="B220" s="3755">
        <v>219</v>
      </c>
      <c r="C220" s="3755" t="s">
        <v>4776</v>
      </c>
      <c r="D220" s="3756" t="s">
        <v>4382</v>
      </c>
      <c r="E220" s="3757">
        <v>194.63</v>
      </c>
      <c r="F220" s="3758">
        <v>45005</v>
      </c>
      <c r="G220" s="3758">
        <v>46891</v>
      </c>
      <c r="H220" s="3759">
        <f t="shared" si="3"/>
        <v>7</v>
      </c>
      <c r="I220" s="3757">
        <v>40872.300000000003</v>
      </c>
      <c r="J220" s="3760" t="s">
        <v>4777</v>
      </c>
      <c r="K220" s="3759" t="s">
        <v>4400</v>
      </c>
    </row>
    <row r="221" spans="1:11" s="3759" customFormat="1" ht="15" hidden="1">
      <c r="A221" s="3754">
        <v>220</v>
      </c>
      <c r="B221" s="3755">
        <v>220</v>
      </c>
      <c r="C221" s="3755" t="s">
        <v>4778</v>
      </c>
      <c r="D221" s="3756" t="s">
        <v>4382</v>
      </c>
      <c r="E221" s="3757">
        <v>271</v>
      </c>
      <c r="F221" s="3758">
        <v>44990</v>
      </c>
      <c r="G221" s="3758">
        <v>46891</v>
      </c>
      <c r="H221" s="3759">
        <f t="shared" si="3"/>
        <v>6.43</v>
      </c>
      <c r="I221" s="3757">
        <v>52303</v>
      </c>
      <c r="J221" s="3760" t="s">
        <v>4775</v>
      </c>
      <c r="K221" s="3759" t="s">
        <v>4284</v>
      </c>
    </row>
    <row r="222" spans="1:11" s="3759" customFormat="1" ht="15" hidden="1">
      <c r="A222" s="3754">
        <v>221</v>
      </c>
      <c r="B222" s="3755">
        <v>221</v>
      </c>
      <c r="C222" s="3755" t="s">
        <v>4779</v>
      </c>
      <c r="D222" s="3756" t="s">
        <v>4382</v>
      </c>
      <c r="E222" s="3757">
        <v>58</v>
      </c>
      <c r="F222" s="3758">
        <v>45035</v>
      </c>
      <c r="G222" s="3758">
        <v>46160</v>
      </c>
      <c r="H222" s="3759">
        <f t="shared" si="3"/>
        <v>14</v>
      </c>
      <c r="I222" s="3757">
        <v>24360</v>
      </c>
      <c r="J222" s="3760" t="s">
        <v>4559</v>
      </c>
      <c r="K222" s="3759" t="s">
        <v>4284</v>
      </c>
    </row>
    <row r="223" spans="1:11" s="3759" customFormat="1" ht="15" hidden="1">
      <c r="A223" s="3754">
        <v>222</v>
      </c>
      <c r="B223" s="3755">
        <v>222</v>
      </c>
      <c r="C223" s="3755" t="s">
        <v>4780</v>
      </c>
      <c r="D223" s="3756" t="s">
        <v>4382</v>
      </c>
      <c r="E223" s="3757">
        <v>135.6</v>
      </c>
      <c r="F223" s="3758">
        <v>45020</v>
      </c>
      <c r="G223" s="3758">
        <v>46160</v>
      </c>
      <c r="H223" s="3759">
        <f t="shared" si="3"/>
        <v>7.33</v>
      </c>
      <c r="I223" s="3757">
        <v>29832</v>
      </c>
      <c r="J223" s="3760" t="s">
        <v>4405</v>
      </c>
      <c r="K223" s="3759" t="s">
        <v>4284</v>
      </c>
    </row>
    <row r="224" spans="1:11" s="3759" customFormat="1" ht="15" hidden="1">
      <c r="A224" s="3754">
        <v>223</v>
      </c>
      <c r="B224" s="3755">
        <v>223</v>
      </c>
      <c r="C224" s="3755" t="s">
        <v>4781</v>
      </c>
      <c r="D224" s="3756" t="s">
        <v>4382</v>
      </c>
      <c r="E224" s="3757">
        <v>539.46</v>
      </c>
      <c r="F224" s="3758">
        <v>45005</v>
      </c>
      <c r="G224" s="3758">
        <v>47256</v>
      </c>
      <c r="H224" s="3759">
        <f t="shared" si="3"/>
        <v>4.33</v>
      </c>
      <c r="I224" s="3757">
        <v>70129.8</v>
      </c>
      <c r="J224" s="3760" t="s">
        <v>4782</v>
      </c>
      <c r="K224" s="3759" t="s">
        <v>4284</v>
      </c>
    </row>
    <row r="225" spans="1:11" s="3759" customFormat="1" ht="15" hidden="1">
      <c r="A225" s="3754">
        <v>224</v>
      </c>
      <c r="B225" s="3755">
        <v>224</v>
      </c>
      <c r="C225" s="3755" t="s">
        <v>4783</v>
      </c>
      <c r="D225" s="3756" t="s">
        <v>4382</v>
      </c>
      <c r="E225" s="3757">
        <v>448.24</v>
      </c>
      <c r="F225" s="3758">
        <v>44945</v>
      </c>
      <c r="G225" s="3758">
        <v>46891</v>
      </c>
      <c r="H225" s="3759">
        <f t="shared" si="3"/>
        <v>3.4</v>
      </c>
      <c r="I225" s="3757">
        <v>45720.480000000003</v>
      </c>
      <c r="J225" s="3760" t="s">
        <v>4784</v>
      </c>
      <c r="K225" s="3759" t="s">
        <v>4400</v>
      </c>
    </row>
    <row r="226" spans="1:11" s="3759" customFormat="1" ht="15" hidden="1">
      <c r="A226" s="3754">
        <v>225</v>
      </c>
      <c r="B226" s="3755">
        <v>225</v>
      </c>
      <c r="C226" s="3755" t="s">
        <v>4785</v>
      </c>
      <c r="D226" s="3756" t="s">
        <v>4382</v>
      </c>
      <c r="E226" s="3757">
        <v>350</v>
      </c>
      <c r="F226" s="3758">
        <v>45020</v>
      </c>
      <c r="G226" s="3758">
        <v>47986</v>
      </c>
      <c r="H226" s="3759">
        <f t="shared" si="3"/>
        <v>3.67</v>
      </c>
      <c r="I226" s="3757">
        <v>38500</v>
      </c>
      <c r="J226" s="3760" t="s">
        <v>4786</v>
      </c>
      <c r="K226" s="3759" t="s">
        <v>4284</v>
      </c>
    </row>
    <row r="227" spans="1:11" s="3759" customFormat="1" ht="15" hidden="1">
      <c r="A227" s="3754">
        <v>226</v>
      </c>
      <c r="B227" s="3755">
        <v>226</v>
      </c>
      <c r="C227" s="3755" t="s">
        <v>4787</v>
      </c>
      <c r="D227" s="3756" t="s">
        <v>4382</v>
      </c>
      <c r="E227" s="3757">
        <v>169.46</v>
      </c>
      <c r="F227" s="3758">
        <v>45025</v>
      </c>
      <c r="G227" s="3758">
        <v>46160</v>
      </c>
      <c r="H227" s="3759">
        <f t="shared" si="3"/>
        <v>7.33</v>
      </c>
      <c r="I227" s="3757">
        <v>37281.199999999997</v>
      </c>
      <c r="J227" s="3760" t="s">
        <v>4516</v>
      </c>
      <c r="K227" s="3759" t="s">
        <v>4284</v>
      </c>
    </row>
    <row r="228" spans="1:11" s="3759" customFormat="1" ht="15" hidden="1">
      <c r="A228" s="3754">
        <v>227</v>
      </c>
      <c r="B228" s="3755">
        <v>227</v>
      </c>
      <c r="C228" s="3755" t="s">
        <v>4788</v>
      </c>
      <c r="D228" s="3756" t="s">
        <v>4382</v>
      </c>
      <c r="E228" s="3757">
        <v>143.05000000000001</v>
      </c>
      <c r="F228" s="3758">
        <v>45025</v>
      </c>
      <c r="G228" s="3758">
        <v>46160</v>
      </c>
      <c r="H228" s="3759">
        <f t="shared" si="3"/>
        <v>8.8699999999999992</v>
      </c>
      <c r="I228" s="3757">
        <v>38051.300000000003</v>
      </c>
      <c r="J228" s="3760" t="s">
        <v>4438</v>
      </c>
      <c r="K228" s="3759" t="s">
        <v>4284</v>
      </c>
    </row>
    <row r="229" spans="1:11" s="3759" customFormat="1" ht="15" hidden="1">
      <c r="A229" s="3754">
        <v>228</v>
      </c>
      <c r="B229" s="3755">
        <v>228</v>
      </c>
      <c r="C229" s="3755" t="s">
        <v>4789</v>
      </c>
      <c r="D229" s="3756" t="s">
        <v>4382</v>
      </c>
      <c r="E229" s="3757">
        <v>215</v>
      </c>
      <c r="F229" s="3758">
        <v>45005</v>
      </c>
      <c r="G229" s="3758">
        <v>46525</v>
      </c>
      <c r="H229" s="3759">
        <f t="shared" si="3"/>
        <v>6.67</v>
      </c>
      <c r="I229" s="3757">
        <v>43000</v>
      </c>
      <c r="J229" s="3760" t="s">
        <v>4751</v>
      </c>
      <c r="K229" s="3759" t="s">
        <v>4284</v>
      </c>
    </row>
    <row r="230" spans="1:11" s="3759" customFormat="1" ht="15" hidden="1">
      <c r="A230" s="3754">
        <v>229</v>
      </c>
      <c r="B230" s="3755">
        <v>229</v>
      </c>
      <c r="C230" s="3755" t="s">
        <v>4790</v>
      </c>
      <c r="D230" s="3756" t="s">
        <v>4382</v>
      </c>
      <c r="E230" s="3757">
        <v>309</v>
      </c>
      <c r="F230" s="3758">
        <v>45020</v>
      </c>
      <c r="G230" s="3758">
        <v>46160</v>
      </c>
      <c r="H230" s="3759">
        <f t="shared" si="3"/>
        <v>6</v>
      </c>
      <c r="I230" s="3757">
        <v>55620</v>
      </c>
      <c r="J230" s="3760" t="s">
        <v>4659</v>
      </c>
      <c r="K230" s="3759" t="s">
        <v>4284</v>
      </c>
    </row>
    <row r="231" spans="1:11" s="3759" customFormat="1" ht="15" hidden="1">
      <c r="A231" s="3754">
        <v>230</v>
      </c>
      <c r="B231" s="3755">
        <v>230</v>
      </c>
      <c r="C231" s="3755" t="s">
        <v>4791</v>
      </c>
      <c r="D231" s="3756" t="s">
        <v>4382</v>
      </c>
      <c r="E231" s="3757">
        <v>158.63999999999999</v>
      </c>
      <c r="F231" s="3758">
        <v>45035</v>
      </c>
      <c r="G231" s="3758">
        <v>46160</v>
      </c>
      <c r="H231" s="3759">
        <f t="shared" si="3"/>
        <v>8.67</v>
      </c>
      <c r="I231" s="3757">
        <v>41246.400000000001</v>
      </c>
      <c r="J231" s="3760" t="s">
        <v>4438</v>
      </c>
      <c r="K231" s="3759" t="s">
        <v>4284</v>
      </c>
    </row>
    <row r="232" spans="1:11" s="3759" customFormat="1" ht="15" hidden="1">
      <c r="A232" s="3754">
        <v>231</v>
      </c>
      <c r="B232" s="3755">
        <v>231</v>
      </c>
      <c r="C232" s="3755" t="s">
        <v>4792</v>
      </c>
      <c r="D232" s="3756" t="s">
        <v>4382</v>
      </c>
      <c r="E232" s="3757">
        <v>226.03</v>
      </c>
      <c r="F232" s="3758">
        <v>45005</v>
      </c>
      <c r="G232" s="3758">
        <v>46891</v>
      </c>
      <c r="H232" s="3759">
        <f t="shared" si="3"/>
        <v>5</v>
      </c>
      <c r="I232" s="3757">
        <v>33904.5</v>
      </c>
      <c r="J232" s="3760" t="s">
        <v>4793</v>
      </c>
      <c r="K232" s="3759" t="s">
        <v>4284</v>
      </c>
    </row>
    <row r="233" spans="1:11" s="3759" customFormat="1" ht="15" hidden="1">
      <c r="A233" s="3754">
        <v>232</v>
      </c>
      <c r="B233" s="3755">
        <v>232</v>
      </c>
      <c r="C233" s="3755" t="s">
        <v>4794</v>
      </c>
      <c r="D233" s="3756" t="s">
        <v>4382</v>
      </c>
      <c r="E233" s="3757">
        <v>244</v>
      </c>
      <c r="F233" s="3758">
        <v>45005</v>
      </c>
      <c r="G233" s="3758">
        <v>46891</v>
      </c>
      <c r="H233" s="3759">
        <f t="shared" si="3"/>
        <v>4</v>
      </c>
      <c r="I233" s="3757">
        <v>29280</v>
      </c>
      <c r="J233" s="3760" t="s">
        <v>4795</v>
      </c>
      <c r="K233" s="3759" t="s">
        <v>4284</v>
      </c>
    </row>
    <row r="234" spans="1:11" s="3759" customFormat="1" ht="15" hidden="1">
      <c r="A234" s="3754">
        <v>233</v>
      </c>
      <c r="B234" s="3755">
        <v>233</v>
      </c>
      <c r="C234" s="3755" t="s">
        <v>4796</v>
      </c>
      <c r="D234" s="3756" t="s">
        <v>4382</v>
      </c>
      <c r="E234" s="3757">
        <v>2856.13</v>
      </c>
      <c r="F234" s="3758">
        <v>44829</v>
      </c>
      <c r="G234" s="3758">
        <v>50543</v>
      </c>
      <c r="H234" s="3759">
        <f t="shared" si="3"/>
        <v>0</v>
      </c>
      <c r="I234" s="3757">
        <v>0</v>
      </c>
      <c r="J234" s="3760" t="s">
        <v>4797</v>
      </c>
      <c r="K234" s="3759" t="s">
        <v>4798</v>
      </c>
    </row>
    <row r="235" spans="1:11" s="3759" customFormat="1" ht="15" hidden="1">
      <c r="A235" s="3754">
        <v>234</v>
      </c>
      <c r="B235" s="3755">
        <v>234</v>
      </c>
      <c r="C235" s="3755" t="s">
        <v>4799</v>
      </c>
      <c r="D235" s="3756" t="s">
        <v>4382</v>
      </c>
      <c r="E235" s="3757">
        <v>39.6</v>
      </c>
      <c r="F235" s="3758">
        <v>45035</v>
      </c>
      <c r="G235" s="3758">
        <v>45795</v>
      </c>
      <c r="H235" s="3759">
        <f t="shared" si="3"/>
        <v>16.670000000000002</v>
      </c>
      <c r="I235" s="3757">
        <v>19800</v>
      </c>
      <c r="J235" s="3760" t="s">
        <v>4496</v>
      </c>
      <c r="K235" s="3759" t="s">
        <v>4284</v>
      </c>
    </row>
    <row r="236" spans="1:11" s="3759" customFormat="1" ht="15" hidden="1">
      <c r="A236" s="3754">
        <v>235</v>
      </c>
      <c r="B236" s="3755">
        <v>235</v>
      </c>
      <c r="C236" s="3755" t="s">
        <v>4800</v>
      </c>
      <c r="D236" s="3756" t="s">
        <v>4382</v>
      </c>
      <c r="E236" s="3757">
        <v>225.3</v>
      </c>
      <c r="F236" s="3758">
        <v>45015</v>
      </c>
      <c r="G236" s="3758">
        <v>46525</v>
      </c>
      <c r="H236" s="3759">
        <f t="shared" si="3"/>
        <v>8</v>
      </c>
      <c r="I236" s="3757">
        <v>54072</v>
      </c>
      <c r="J236" s="3760" t="s">
        <v>4801</v>
      </c>
      <c r="K236" s="3759" t="s">
        <v>4284</v>
      </c>
    </row>
    <row r="237" spans="1:11" s="3759" customFormat="1" ht="15" hidden="1">
      <c r="A237" s="3754">
        <v>236</v>
      </c>
      <c r="B237" s="3755">
        <v>236</v>
      </c>
      <c r="C237" s="3755" t="s">
        <v>4802</v>
      </c>
      <c r="D237" s="3756" t="s">
        <v>4382</v>
      </c>
      <c r="E237" s="3757">
        <v>160.76</v>
      </c>
      <c r="F237" s="3758">
        <v>45005</v>
      </c>
      <c r="G237" s="3758">
        <v>46160</v>
      </c>
      <c r="H237" s="3759">
        <f t="shared" si="3"/>
        <v>4</v>
      </c>
      <c r="I237" s="3757">
        <v>19291.2</v>
      </c>
      <c r="J237" s="3760" t="s">
        <v>4591</v>
      </c>
      <c r="K237" s="3759" t="s">
        <v>4284</v>
      </c>
    </row>
    <row r="238" spans="1:11" s="3759" customFormat="1" ht="15" hidden="1">
      <c r="A238" s="3754">
        <v>237</v>
      </c>
      <c r="B238" s="3755">
        <v>237</v>
      </c>
      <c r="C238" s="3755" t="s">
        <v>4803</v>
      </c>
      <c r="D238" s="3756" t="s">
        <v>4382</v>
      </c>
      <c r="E238" s="3757">
        <v>306.75</v>
      </c>
      <c r="F238" s="3758">
        <v>45015</v>
      </c>
      <c r="G238" s="3758">
        <v>46891</v>
      </c>
      <c r="H238" s="3759">
        <f t="shared" si="3"/>
        <v>8</v>
      </c>
      <c r="I238" s="3757">
        <v>73620</v>
      </c>
      <c r="J238" s="3760" t="s">
        <v>4804</v>
      </c>
      <c r="K238" s="3759" t="s">
        <v>4284</v>
      </c>
    </row>
    <row r="239" spans="1:11" s="3759" customFormat="1" ht="15" hidden="1">
      <c r="A239" s="3754">
        <v>238</v>
      </c>
      <c r="B239" s="3755">
        <v>238</v>
      </c>
      <c r="C239" s="3755" t="s">
        <v>4805</v>
      </c>
      <c r="D239" s="3756" t="s">
        <v>4382</v>
      </c>
      <c r="E239" s="3757">
        <v>255.75</v>
      </c>
      <c r="F239" s="3758">
        <v>45020</v>
      </c>
      <c r="G239" s="3758">
        <v>46525</v>
      </c>
      <c r="H239" s="3759">
        <f t="shared" si="3"/>
        <v>6</v>
      </c>
      <c r="I239" s="3757">
        <v>46035</v>
      </c>
      <c r="J239" s="3760" t="s">
        <v>4806</v>
      </c>
      <c r="K239" s="3759" t="s">
        <v>4284</v>
      </c>
    </row>
    <row r="240" spans="1:11" s="3759" customFormat="1" ht="15" hidden="1">
      <c r="A240" s="3754">
        <v>239</v>
      </c>
      <c r="B240" s="3755">
        <v>239</v>
      </c>
      <c r="C240" s="3755" t="s">
        <v>4807</v>
      </c>
      <c r="D240" s="3756" t="s">
        <v>4382</v>
      </c>
      <c r="E240" s="3757">
        <v>93.38</v>
      </c>
      <c r="F240" s="3758">
        <v>45035</v>
      </c>
      <c r="G240" s="3758">
        <v>45795</v>
      </c>
      <c r="H240" s="3759">
        <f t="shared" si="3"/>
        <v>9.33</v>
      </c>
      <c r="I240" s="3757">
        <v>26146.400000000001</v>
      </c>
      <c r="J240" s="3760" t="s">
        <v>4459</v>
      </c>
      <c r="K240" s="3759" t="s">
        <v>4284</v>
      </c>
    </row>
    <row r="241" spans="1:11" s="3759" customFormat="1" ht="15" hidden="1">
      <c r="A241" s="3754">
        <v>240</v>
      </c>
      <c r="B241" s="3755">
        <v>240</v>
      </c>
      <c r="C241" s="3755" t="s">
        <v>4808</v>
      </c>
      <c r="D241" s="3756" t="s">
        <v>4382</v>
      </c>
      <c r="E241" s="3757">
        <v>370</v>
      </c>
      <c r="F241" s="3758">
        <v>45020</v>
      </c>
      <c r="G241" s="3758">
        <v>46891</v>
      </c>
      <c r="H241" s="3759">
        <f t="shared" si="3"/>
        <v>6</v>
      </c>
      <c r="I241" s="3757">
        <v>66600</v>
      </c>
      <c r="J241" s="3760" t="s">
        <v>4809</v>
      </c>
      <c r="K241" s="3759" t="s">
        <v>4284</v>
      </c>
    </row>
    <row r="242" spans="1:11" s="3759" customFormat="1" ht="15" hidden="1">
      <c r="A242" s="3754">
        <v>241</v>
      </c>
      <c r="B242" s="3755">
        <v>241</v>
      </c>
      <c r="C242" s="3755" t="s">
        <v>4810</v>
      </c>
      <c r="D242" s="3756" t="s">
        <v>4382</v>
      </c>
      <c r="E242" s="3757">
        <v>321.81</v>
      </c>
      <c r="F242" s="3758">
        <v>45005</v>
      </c>
      <c r="G242" s="3758">
        <v>46891</v>
      </c>
      <c r="H242" s="3759">
        <f t="shared" si="3"/>
        <v>6.67</v>
      </c>
      <c r="I242" s="3757">
        <v>64362</v>
      </c>
      <c r="J242" s="3760" t="s">
        <v>4383</v>
      </c>
      <c r="K242" s="3759" t="s">
        <v>4400</v>
      </c>
    </row>
    <row r="243" spans="1:11" s="3759" customFormat="1" ht="15" hidden="1">
      <c r="A243" s="3754">
        <v>242</v>
      </c>
      <c r="B243" s="3755">
        <v>242</v>
      </c>
      <c r="C243" s="3755" t="s">
        <v>4811</v>
      </c>
      <c r="D243" s="3756" t="s">
        <v>4382</v>
      </c>
      <c r="E243" s="3757">
        <v>98</v>
      </c>
      <c r="F243" s="3758">
        <v>45035</v>
      </c>
      <c r="G243" s="3758">
        <v>45795</v>
      </c>
      <c r="H243" s="3759">
        <f t="shared" si="3"/>
        <v>7</v>
      </c>
      <c r="I243" s="3757">
        <v>20580</v>
      </c>
      <c r="J243" s="3760" t="s">
        <v>4459</v>
      </c>
      <c r="K243" s="3759" t="s">
        <v>4284</v>
      </c>
    </row>
    <row r="244" spans="1:11" s="3764" customFormat="1" ht="15" hidden="1">
      <c r="A244" s="3762"/>
      <c r="B244" s="3762"/>
      <c r="C244" s="3762"/>
      <c r="D244" s="3762"/>
      <c r="E244" s="3763">
        <f>SUM(E2:E243)</f>
        <v>46029.460000000021</v>
      </c>
      <c r="F244" s="3762"/>
      <c r="G244" s="3762"/>
      <c r="H244" s="3762"/>
      <c r="I244" s="3762">
        <f>SUM(I2:I243)</f>
        <v>7198253.9299999997</v>
      </c>
      <c r="J244" s="3762"/>
    </row>
    <row r="245" spans="1:11" hidden="1">
      <c r="E245" s="3763">
        <f>'[15]数据-汇总表'!$E$19</f>
        <v>95274.6</v>
      </c>
      <c r="I245" s="3762">
        <f>I244*12/10000</f>
        <v>8637.9047159999991</v>
      </c>
    </row>
    <row r="246" spans="1:11" hidden="1">
      <c r="I246" s="3762">
        <f>I244*12/E245/365</f>
        <v>2.48392461081996</v>
      </c>
    </row>
    <row r="247" spans="1:11" hidden="1">
      <c r="E247" s="3763">
        <f>E244/E245</f>
        <v>0.48312414851387481</v>
      </c>
    </row>
  </sheetData>
  <autoFilter ref="A1:Z243"/>
  <phoneticPr fontId="134" type="noConversion"/>
  <dataValidations count="2">
    <dataValidation type="date" allowBlank="1" showInputMessage="1" showErrorMessage="1" sqref="F2:G243">
      <formula1>1</formula1>
      <formula2>69763</formula2>
    </dataValidation>
    <dataValidation type="decimal" allowBlank="1" showInputMessage="1" showErrorMessage="1" sqref="E2:E243 I2:I243">
      <formula1>0</formula1>
      <formula2>999999999</formula2>
    </dataValidation>
  </dataValidations>
  <pageMargins left="0.7" right="0.7" top="0.75" bottom="0.75" header="0.3" footer="0.3"/>
  <pageSetup paperSize="9" scale="30"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53"/>
  <sheetViews>
    <sheetView zoomScale="90" zoomScaleNormal="90" workbookViewId="0">
      <pane xSplit="6" ySplit="2" topLeftCell="G57" activePane="bottomRight" state="frozen"/>
      <selection pane="topRight" activeCell="G1" sqref="G1"/>
      <selection pane="bottomLeft" activeCell="A3" sqref="A3"/>
      <selection pane="bottomRight" activeCell="A74" sqref="A74:XFD74"/>
    </sheetView>
  </sheetViews>
  <sheetFormatPr defaultColWidth="11" defaultRowHeight="14.25"/>
  <cols>
    <col min="1" max="1" width="5.75" style="3746" customWidth="1"/>
    <col min="2" max="2" width="21.75" style="3747" customWidth="1"/>
    <col min="3" max="3" width="13.75" style="3651" customWidth="1"/>
    <col min="4" max="4" width="11.625" style="3651" customWidth="1"/>
    <col min="5" max="5" width="11" style="3778"/>
    <col min="6" max="6" width="10.125" style="3651" customWidth="1"/>
    <col min="7" max="7" width="19.625" style="3651" customWidth="1"/>
    <col min="8" max="8" width="16.125" style="3651" customWidth="1"/>
    <col min="9" max="9" width="16.25" style="3651" bestFit="1" customWidth="1"/>
    <col min="10" max="10" width="11" style="3651"/>
    <col min="11" max="11" width="11.625" style="3748" bestFit="1" customWidth="1"/>
    <col min="12" max="12" width="11.625" style="3749" bestFit="1" customWidth="1"/>
    <col min="13" max="14" width="11" style="3746"/>
    <col min="15" max="15" width="11.75" style="3746" bestFit="1" customWidth="1"/>
    <col min="16" max="16" width="11.75" style="3748" bestFit="1" customWidth="1"/>
    <col min="17" max="17" width="13.375" style="3750" customWidth="1"/>
    <col min="18" max="18" width="13.375" style="3746" customWidth="1"/>
    <col min="19" max="19" width="16.125" style="3746" customWidth="1"/>
    <col min="20" max="21" width="13.875" style="3651" bestFit="1" customWidth="1"/>
    <col min="22" max="22" width="16.125" style="3651" bestFit="1" customWidth="1"/>
    <col min="23" max="25" width="11" style="3651"/>
    <col min="26" max="26" width="11.625" style="3651" bestFit="1" customWidth="1"/>
    <col min="27" max="30" width="11" style="3651"/>
    <col min="31" max="35" width="16.125" style="3651" bestFit="1" customWidth="1"/>
    <col min="36" max="37" width="13.875" style="3651" bestFit="1" customWidth="1"/>
    <col min="38" max="16384" width="11" style="3651"/>
  </cols>
  <sheetData>
    <row r="1" spans="1:22" ht="22.15" customHeight="1">
      <c r="A1" s="4069" t="s">
        <v>3906</v>
      </c>
      <c r="B1" s="4070"/>
      <c r="C1" s="4070"/>
      <c r="D1" s="4070"/>
      <c r="E1" s="4070"/>
      <c r="F1" s="4070"/>
      <c r="G1" s="4070"/>
      <c r="H1" s="4070"/>
      <c r="I1" s="4070"/>
      <c r="J1" s="4070"/>
      <c r="K1" s="4070"/>
      <c r="L1" s="4071"/>
      <c r="M1" s="4071"/>
      <c r="N1" s="4071"/>
      <c r="O1" s="4071"/>
      <c r="P1" s="4071"/>
      <c r="Q1" s="4071"/>
      <c r="R1" s="4071"/>
      <c r="S1" s="4072"/>
    </row>
    <row r="2" spans="1:22" ht="25.15" customHeight="1">
      <c r="A2" s="3652" t="s">
        <v>3907</v>
      </c>
      <c r="B2" s="3652" t="s">
        <v>3908</v>
      </c>
      <c r="C2" s="3652" t="s">
        <v>3909</v>
      </c>
      <c r="D2" s="3652" t="s">
        <v>3910</v>
      </c>
      <c r="E2" s="3772" t="s">
        <v>3911</v>
      </c>
      <c r="F2" s="3652" t="s">
        <v>3912</v>
      </c>
      <c r="G2" s="3652" t="s">
        <v>3913</v>
      </c>
      <c r="H2" s="3652" t="s">
        <v>3914</v>
      </c>
      <c r="I2" s="3652" t="s">
        <v>3915</v>
      </c>
      <c r="J2" s="3652" t="s">
        <v>3916</v>
      </c>
      <c r="K2" s="3653" t="s">
        <v>3917</v>
      </c>
      <c r="L2" s="3653" t="s">
        <v>3918</v>
      </c>
      <c r="M2" s="3654" t="s">
        <v>3919</v>
      </c>
      <c r="N2" s="3652" t="s">
        <v>3920</v>
      </c>
      <c r="O2" s="3652" t="s">
        <v>3921</v>
      </c>
      <c r="P2" s="3653" t="s">
        <v>3922</v>
      </c>
      <c r="Q2" s="3655"/>
      <c r="R2" s="3652" t="s">
        <v>3923</v>
      </c>
      <c r="S2" s="3652" t="s">
        <v>3924</v>
      </c>
      <c r="T2" s="3656" t="s">
        <v>3925</v>
      </c>
      <c r="U2" s="3656" t="s">
        <v>3926</v>
      </c>
    </row>
    <row r="3" spans="1:22" ht="18.75" customHeight="1">
      <c r="A3" s="3652">
        <v>1</v>
      </c>
      <c r="B3" s="3655" t="s">
        <v>3927</v>
      </c>
      <c r="C3" s="3657" t="s">
        <v>3928</v>
      </c>
      <c r="D3" s="3658">
        <v>10267</v>
      </c>
      <c r="E3" s="3773">
        <v>1.40999999199457</v>
      </c>
      <c r="F3" s="3659">
        <v>0.49000000266847799</v>
      </c>
      <c r="G3" s="3659">
        <v>5283911.5199999996</v>
      </c>
      <c r="H3" s="3659">
        <v>1836252.96</v>
      </c>
      <c r="I3" s="3659">
        <v>7120164.4800000004</v>
      </c>
      <c r="J3" s="3660">
        <f t="shared" ref="J3:J63" si="0">F3+E3</f>
        <v>1.8999999946630481</v>
      </c>
      <c r="K3" s="3661">
        <v>42917</v>
      </c>
      <c r="L3" s="3662">
        <v>43738</v>
      </c>
      <c r="M3" s="3663" t="s">
        <v>3812</v>
      </c>
      <c r="N3" s="3664" t="s">
        <v>3929</v>
      </c>
      <c r="O3" s="3661" t="s">
        <v>3930</v>
      </c>
      <c r="P3" s="3653">
        <v>44194</v>
      </c>
      <c r="Q3" s="3665" t="s">
        <v>3931</v>
      </c>
      <c r="R3" s="3666">
        <v>0.02</v>
      </c>
      <c r="S3" s="3667" t="s">
        <v>3932</v>
      </c>
      <c r="T3" s="3656" t="s">
        <v>3933</v>
      </c>
      <c r="U3" s="3656" t="s">
        <v>3933</v>
      </c>
    </row>
    <row r="4" spans="1:22" ht="18.75" customHeight="1">
      <c r="A4" s="3652">
        <v>2</v>
      </c>
      <c r="B4" s="3655" t="s">
        <v>3927</v>
      </c>
      <c r="C4" s="3657" t="s">
        <v>3934</v>
      </c>
      <c r="D4" s="3658"/>
      <c r="E4" s="3773">
        <v>39.450000000000003</v>
      </c>
      <c r="F4" s="3659"/>
      <c r="G4" s="3659">
        <v>144000</v>
      </c>
      <c r="H4" s="3659"/>
      <c r="I4" s="3659">
        <v>144000</v>
      </c>
      <c r="J4" s="3660">
        <v>39.450000000000003</v>
      </c>
      <c r="K4" s="3661">
        <v>42917</v>
      </c>
      <c r="L4" s="3662">
        <v>43738</v>
      </c>
      <c r="M4" s="3663" t="s">
        <v>3812</v>
      </c>
      <c r="N4" s="3664" t="s">
        <v>3929</v>
      </c>
      <c r="O4" s="3661" t="s">
        <v>3930</v>
      </c>
      <c r="P4" s="3653">
        <v>44164</v>
      </c>
      <c r="Q4" s="3665" t="s">
        <v>3935</v>
      </c>
      <c r="R4" s="3666" t="s">
        <v>3936</v>
      </c>
      <c r="S4" s="3667" t="s">
        <v>3932</v>
      </c>
      <c r="T4" s="3656" t="s">
        <v>3933</v>
      </c>
      <c r="U4" s="3656" t="s">
        <v>3933</v>
      </c>
    </row>
    <row r="5" spans="1:22" ht="18.75" customHeight="1">
      <c r="A5" s="3652">
        <v>3</v>
      </c>
      <c r="B5" s="3655" t="s">
        <v>3927</v>
      </c>
      <c r="C5" s="3657" t="s">
        <v>3937</v>
      </c>
      <c r="D5" s="3658">
        <v>26</v>
      </c>
      <c r="E5" s="3773">
        <v>6</v>
      </c>
      <c r="F5" s="3659"/>
      <c r="G5" s="3659">
        <v>56940</v>
      </c>
      <c r="H5" s="3659"/>
      <c r="I5" s="3659">
        <v>56940</v>
      </c>
      <c r="J5" s="3660">
        <v>26</v>
      </c>
      <c r="K5" s="3661">
        <v>42917</v>
      </c>
      <c r="L5" s="3662">
        <v>43738</v>
      </c>
      <c r="M5" s="3663" t="s">
        <v>3812</v>
      </c>
      <c r="N5" s="3664" t="s">
        <v>3929</v>
      </c>
      <c r="O5" s="3661" t="s">
        <v>3930</v>
      </c>
      <c r="P5" s="3653">
        <v>43936</v>
      </c>
      <c r="Q5" s="3665" t="s">
        <v>3938</v>
      </c>
      <c r="R5" s="3666">
        <v>0.04</v>
      </c>
      <c r="S5" s="3667" t="s">
        <v>3932</v>
      </c>
      <c r="T5" s="3656" t="s">
        <v>3933</v>
      </c>
      <c r="U5" s="3656" t="s">
        <v>3933</v>
      </c>
    </row>
    <row r="6" spans="1:22" ht="18.75" customHeight="1">
      <c r="A6" s="3652">
        <v>4</v>
      </c>
      <c r="B6" s="3655" t="s">
        <v>3939</v>
      </c>
      <c r="C6" s="3657" t="s">
        <v>3940</v>
      </c>
      <c r="D6" s="3658">
        <v>598</v>
      </c>
      <c r="E6" s="3773">
        <v>6.9994520547945198</v>
      </c>
      <c r="F6" s="3659">
        <v>0.98630136986301398</v>
      </c>
      <c r="G6" s="3659">
        <v>1527770.4</v>
      </c>
      <c r="H6" s="3659">
        <v>215280</v>
      </c>
      <c r="I6" s="3659">
        <v>1743050.4</v>
      </c>
      <c r="J6" s="3660">
        <f t="shared" si="0"/>
        <v>7.9857534246575339</v>
      </c>
      <c r="K6" s="3661">
        <v>42977</v>
      </c>
      <c r="L6" s="3668">
        <v>43555</v>
      </c>
      <c r="M6" s="3663" t="s">
        <v>3831</v>
      </c>
      <c r="N6" s="3664" t="s">
        <v>3941</v>
      </c>
      <c r="O6" s="3661" t="s">
        <v>3942</v>
      </c>
      <c r="P6" s="3653">
        <v>43678</v>
      </c>
      <c r="Q6" s="3665" t="s">
        <v>3943</v>
      </c>
      <c r="R6" s="3666">
        <v>0.05</v>
      </c>
      <c r="S6" s="3667" t="s">
        <v>3932</v>
      </c>
      <c r="T6" s="3656" t="s">
        <v>3944</v>
      </c>
      <c r="U6" s="3656" t="s">
        <v>3944</v>
      </c>
      <c r="V6" s="3651">
        <f>ROUND(E6*(1+R6)^5,1)</f>
        <v>8.9</v>
      </c>
    </row>
    <row r="7" spans="1:22" s="3684" customFormat="1" ht="18.75" customHeight="1">
      <c r="A7" s="3669">
        <v>5</v>
      </c>
      <c r="B7" s="3670" t="s">
        <v>3945</v>
      </c>
      <c r="C7" s="3671" t="s">
        <v>3946</v>
      </c>
      <c r="D7" s="3672">
        <v>110</v>
      </c>
      <c r="E7" s="3774">
        <v>12.0328767123288</v>
      </c>
      <c r="F7" s="3673">
        <v>2.4657534246575299</v>
      </c>
      <c r="G7" s="3673">
        <v>724680</v>
      </c>
      <c r="H7" s="3673">
        <v>99000</v>
      </c>
      <c r="I7" s="3673">
        <v>823680</v>
      </c>
      <c r="J7" s="3674">
        <f t="shared" si="0"/>
        <v>14.49863013698633</v>
      </c>
      <c r="K7" s="3675">
        <v>43586</v>
      </c>
      <c r="L7" s="3676">
        <v>43830</v>
      </c>
      <c r="M7" s="3677" t="s">
        <v>3947</v>
      </c>
      <c r="N7" s="3678" t="s">
        <v>3948</v>
      </c>
      <c r="O7" s="3675" t="s">
        <v>3949</v>
      </c>
      <c r="P7" s="3679">
        <v>43862</v>
      </c>
      <c r="Q7" s="3680" t="s">
        <v>3950</v>
      </c>
      <c r="R7" s="3681">
        <v>0.04</v>
      </c>
      <c r="S7" s="3682" t="s">
        <v>3932</v>
      </c>
      <c r="T7" s="3683" t="s">
        <v>3944</v>
      </c>
      <c r="U7" s="3683" t="s">
        <v>3944</v>
      </c>
      <c r="V7" s="3651">
        <f>ROUND(E7*(1+R7)^5,1)</f>
        <v>14.6</v>
      </c>
    </row>
    <row r="8" spans="1:22" ht="18.75" customHeight="1">
      <c r="A8" s="3652">
        <v>6</v>
      </c>
      <c r="B8" s="3655" t="s">
        <v>3951</v>
      </c>
      <c r="C8" s="3685" t="s">
        <v>3952</v>
      </c>
      <c r="D8" s="3658">
        <v>103</v>
      </c>
      <c r="E8" s="3773">
        <v>10.5001196967682</v>
      </c>
      <c r="F8" s="3659">
        <v>3.0016757547546198</v>
      </c>
      <c r="G8" s="3659">
        <v>394752</v>
      </c>
      <c r="H8" s="3659">
        <v>112848</v>
      </c>
      <c r="I8" s="3659">
        <v>507600</v>
      </c>
      <c r="J8" s="3660">
        <f t="shared" si="0"/>
        <v>13.50179545152282</v>
      </c>
      <c r="K8" s="3661">
        <v>43564</v>
      </c>
      <c r="L8" s="3686">
        <v>43830</v>
      </c>
      <c r="M8" s="3687" t="s">
        <v>3947</v>
      </c>
      <c r="N8" s="3664" t="s">
        <v>3953</v>
      </c>
      <c r="O8" s="3661" t="s">
        <v>3942</v>
      </c>
      <c r="P8" s="3653">
        <v>43678</v>
      </c>
      <c r="Q8" s="3665" t="s">
        <v>3943</v>
      </c>
      <c r="R8" s="3666">
        <v>0.05</v>
      </c>
      <c r="S8" s="3688" t="s">
        <v>3932</v>
      </c>
      <c r="T8" s="3656" t="s">
        <v>3944</v>
      </c>
      <c r="U8" s="3656" t="s">
        <v>3944</v>
      </c>
    </row>
    <row r="9" spans="1:22" s="3684" customFormat="1" ht="18.75" customHeight="1">
      <c r="A9" s="3669">
        <v>7</v>
      </c>
      <c r="B9" s="3689" t="s">
        <v>3954</v>
      </c>
      <c r="C9" s="3690" t="s">
        <v>3955</v>
      </c>
      <c r="D9" s="3691">
        <v>298</v>
      </c>
      <c r="E9" s="3774">
        <v>12</v>
      </c>
      <c r="F9" s="3673">
        <v>3.0016438356164401</v>
      </c>
      <c r="G9" s="3673">
        <v>1957860</v>
      </c>
      <c r="H9" s="3673">
        <v>326488.8</v>
      </c>
      <c r="I9" s="3673">
        <v>2284348.7999999998</v>
      </c>
      <c r="J9" s="3674">
        <f t="shared" si="0"/>
        <v>15.00164383561644</v>
      </c>
      <c r="K9" s="3679">
        <v>43709</v>
      </c>
      <c r="L9" s="3676">
        <v>43830</v>
      </c>
      <c r="M9" s="3677" t="s">
        <v>3947</v>
      </c>
      <c r="N9" s="3678" t="s">
        <v>3953</v>
      </c>
      <c r="O9" s="3675" t="s">
        <v>3956</v>
      </c>
      <c r="P9" s="3679">
        <v>43891</v>
      </c>
      <c r="Q9" s="3680" t="s">
        <v>3950</v>
      </c>
      <c r="R9" s="3681">
        <v>0.04</v>
      </c>
      <c r="S9" s="3692" t="s">
        <v>3932</v>
      </c>
      <c r="T9" s="3683" t="s">
        <v>3944</v>
      </c>
      <c r="U9" s="3683" t="s">
        <v>3944</v>
      </c>
      <c r="V9" s="3651">
        <f>ROUND(E9*(1+R9)^5,1)</f>
        <v>14.6</v>
      </c>
    </row>
    <row r="10" spans="1:22" ht="18.75" customHeight="1">
      <c r="A10" s="3652">
        <v>8</v>
      </c>
      <c r="B10" s="3655" t="s">
        <v>3957</v>
      </c>
      <c r="C10" s="3657" t="s">
        <v>3958</v>
      </c>
      <c r="D10" s="3658">
        <v>2100</v>
      </c>
      <c r="E10" s="3773">
        <v>1.5655577299412899</v>
      </c>
      <c r="F10" s="3659">
        <v>0</v>
      </c>
      <c r="G10" s="3659">
        <v>3600000</v>
      </c>
      <c r="H10" s="3659"/>
      <c r="I10" s="3659">
        <v>3600000</v>
      </c>
      <c r="J10" s="3660">
        <f t="shared" si="0"/>
        <v>1.5655577299412899</v>
      </c>
      <c r="K10" s="3661"/>
      <c r="L10" s="3686">
        <v>43830</v>
      </c>
      <c r="M10" s="3687" t="s">
        <v>3947</v>
      </c>
      <c r="N10" s="3664" t="s">
        <v>3959</v>
      </c>
      <c r="O10" s="3693" t="s">
        <v>3960</v>
      </c>
      <c r="P10" s="3653">
        <v>44166</v>
      </c>
      <c r="Q10" s="3665" t="s">
        <v>3961</v>
      </c>
      <c r="R10" s="3666">
        <v>0.03</v>
      </c>
      <c r="S10" s="3667" t="s">
        <v>3962</v>
      </c>
      <c r="T10" s="3656" t="s">
        <v>3944</v>
      </c>
      <c r="U10" s="3656" t="s">
        <v>3944</v>
      </c>
    </row>
    <row r="11" spans="1:22" ht="18.75" customHeight="1">
      <c r="A11" s="3652">
        <v>9</v>
      </c>
      <c r="B11" s="3655" t="s">
        <v>3963</v>
      </c>
      <c r="C11" s="3657" t="s">
        <v>3964</v>
      </c>
      <c r="D11" s="3658">
        <v>44</v>
      </c>
      <c r="E11" s="3773">
        <v>17.7534246575342</v>
      </c>
      <c r="F11" s="3659">
        <v>2.4657534246575299</v>
      </c>
      <c r="G11" s="3659">
        <v>427680</v>
      </c>
      <c r="H11" s="3659">
        <v>39600</v>
      </c>
      <c r="I11" s="3659">
        <v>467280</v>
      </c>
      <c r="J11" s="3660">
        <f t="shared" si="0"/>
        <v>20.219178082191732</v>
      </c>
      <c r="K11" s="3653"/>
      <c r="L11" s="3686">
        <v>43830</v>
      </c>
      <c r="M11" s="3687" t="s">
        <v>3947</v>
      </c>
      <c r="N11" s="3664" t="s">
        <v>3953</v>
      </c>
      <c r="O11" s="3693" t="s">
        <v>3949</v>
      </c>
      <c r="P11" s="3653">
        <v>43862</v>
      </c>
      <c r="Q11" s="3665" t="s">
        <v>3965</v>
      </c>
      <c r="R11" s="3666">
        <v>0.05</v>
      </c>
      <c r="S11" s="3667" t="s">
        <v>3962</v>
      </c>
      <c r="T11" s="3656" t="s">
        <v>3944</v>
      </c>
      <c r="U11" s="3656" t="s">
        <v>3944</v>
      </c>
    </row>
    <row r="12" spans="1:22" ht="18.75" customHeight="1">
      <c r="A12" s="3652">
        <v>10</v>
      </c>
      <c r="B12" s="3655" t="s">
        <v>3966</v>
      </c>
      <c r="C12" s="3694" t="s">
        <v>3967</v>
      </c>
      <c r="D12" s="3658">
        <v>141</v>
      </c>
      <c r="E12" s="3773">
        <v>9.8630136986301409</v>
      </c>
      <c r="F12" s="3659">
        <v>3.0016438356164401</v>
      </c>
      <c r="G12" s="3659">
        <v>761400</v>
      </c>
      <c r="H12" s="3659">
        <v>154479.6</v>
      </c>
      <c r="I12" s="3659">
        <v>915879.6</v>
      </c>
      <c r="J12" s="3660">
        <f t="shared" si="0"/>
        <v>12.864657534246581</v>
      </c>
      <c r="K12" s="3653"/>
      <c r="L12" s="3686">
        <v>43830</v>
      </c>
      <c r="M12" s="3687" t="s">
        <v>3947</v>
      </c>
      <c r="N12" s="3664" t="s">
        <v>3953</v>
      </c>
      <c r="O12" s="3693" t="s">
        <v>3949</v>
      </c>
      <c r="P12" s="3653">
        <v>43862</v>
      </c>
      <c r="Q12" s="3665" t="s">
        <v>3968</v>
      </c>
      <c r="R12" s="3666">
        <v>0.08</v>
      </c>
      <c r="S12" s="3652" t="s">
        <v>3962</v>
      </c>
      <c r="T12" s="3656" t="s">
        <v>3944</v>
      </c>
      <c r="U12" s="3656" t="s">
        <v>3944</v>
      </c>
    </row>
    <row r="13" spans="1:22" ht="24">
      <c r="A13" s="3652">
        <v>11</v>
      </c>
      <c r="B13" s="3655" t="s">
        <v>3969</v>
      </c>
      <c r="C13" s="3685" t="s">
        <v>3970</v>
      </c>
      <c r="D13" s="3658">
        <v>47</v>
      </c>
      <c r="E13" s="3773">
        <v>15</v>
      </c>
      <c r="F13" s="3659">
        <v>3.0016438356164401</v>
      </c>
      <c r="G13" s="3659">
        <v>385987.5</v>
      </c>
      <c r="H13" s="3659">
        <v>51493.2</v>
      </c>
      <c r="I13" s="3659">
        <v>437480.7</v>
      </c>
      <c r="J13" s="3660">
        <f t="shared" si="0"/>
        <v>18.001643835616441</v>
      </c>
      <c r="K13" s="3661"/>
      <c r="L13" s="3686">
        <v>43830</v>
      </c>
      <c r="M13" s="3687" t="s">
        <v>3947</v>
      </c>
      <c r="N13" s="3664" t="s">
        <v>3953</v>
      </c>
      <c r="O13" s="3661" t="s">
        <v>3971</v>
      </c>
      <c r="P13" s="3653">
        <v>43831</v>
      </c>
      <c r="Q13" s="3665" t="s">
        <v>3943</v>
      </c>
      <c r="R13" s="3666">
        <v>0.05</v>
      </c>
      <c r="S13" s="3688" t="s">
        <v>3962</v>
      </c>
      <c r="T13" s="3656" t="s">
        <v>3944</v>
      </c>
      <c r="U13" s="3656" t="s">
        <v>3944</v>
      </c>
    </row>
    <row r="14" spans="1:22" ht="24">
      <c r="A14" s="3652">
        <v>12</v>
      </c>
      <c r="B14" s="3655" t="s">
        <v>3972</v>
      </c>
      <c r="C14" s="3685" t="s">
        <v>3973</v>
      </c>
      <c r="D14" s="3658">
        <v>42</v>
      </c>
      <c r="E14" s="3773">
        <v>15.057534246575299</v>
      </c>
      <c r="F14" s="3659">
        <v>3.0016438356164401</v>
      </c>
      <c r="G14" s="3659">
        <v>346248</v>
      </c>
      <c r="H14" s="3659">
        <v>46015.199999999997</v>
      </c>
      <c r="I14" s="3659">
        <v>392263.2</v>
      </c>
      <c r="J14" s="3660">
        <f t="shared" si="0"/>
        <v>18.059178082191739</v>
      </c>
      <c r="K14" s="3661"/>
      <c r="L14" s="3686">
        <v>43830</v>
      </c>
      <c r="M14" s="3687" t="s">
        <v>3947</v>
      </c>
      <c r="N14" s="3664" t="s">
        <v>3953</v>
      </c>
      <c r="O14" s="3661" t="s">
        <v>3971</v>
      </c>
      <c r="P14" s="3653">
        <v>43831</v>
      </c>
      <c r="Q14" s="3665" t="s">
        <v>3968</v>
      </c>
      <c r="R14" s="3666">
        <v>0.08</v>
      </c>
      <c r="S14" s="3688" t="s">
        <v>3962</v>
      </c>
      <c r="T14" s="3656" t="s">
        <v>3944</v>
      </c>
      <c r="U14" s="3656" t="s">
        <v>3944</v>
      </c>
    </row>
    <row r="15" spans="1:22" ht="24">
      <c r="A15" s="3652">
        <v>13</v>
      </c>
      <c r="B15" s="3655" t="s">
        <v>3974</v>
      </c>
      <c r="C15" s="3685" t="s">
        <v>3975</v>
      </c>
      <c r="D15" s="3658">
        <v>260</v>
      </c>
      <c r="E15" s="3773">
        <v>4.5041095890411</v>
      </c>
      <c r="F15" s="3659">
        <v>3.0016438356164401</v>
      </c>
      <c r="G15" s="3659">
        <v>641160</v>
      </c>
      <c r="H15" s="3659">
        <v>284856</v>
      </c>
      <c r="I15" s="3659">
        <v>926016</v>
      </c>
      <c r="J15" s="3660">
        <f t="shared" si="0"/>
        <v>7.5057534246575397</v>
      </c>
      <c r="K15" s="3661"/>
      <c r="L15" s="3686">
        <v>43830</v>
      </c>
      <c r="M15" s="3663" t="s">
        <v>3976</v>
      </c>
      <c r="N15" s="3664" t="s">
        <v>3948</v>
      </c>
      <c r="O15" s="3693" t="s">
        <v>3949</v>
      </c>
      <c r="P15" s="3653">
        <v>43862</v>
      </c>
      <c r="Q15" s="3665" t="s">
        <v>3977</v>
      </c>
      <c r="R15" s="3666">
        <v>7.0000000000000007E-2</v>
      </c>
      <c r="S15" s="3688" t="s">
        <v>3962</v>
      </c>
      <c r="T15" s="3656" t="s">
        <v>3944</v>
      </c>
      <c r="U15" s="3656" t="s">
        <v>3944</v>
      </c>
    </row>
    <row r="16" spans="1:22" s="3700" customFormat="1" ht="30" customHeight="1">
      <c r="A16" s="3652">
        <v>14</v>
      </c>
      <c r="B16" s="3655" t="s">
        <v>3978</v>
      </c>
      <c r="C16" s="3665" t="s">
        <v>3979</v>
      </c>
      <c r="D16" s="3695">
        <v>214.8</v>
      </c>
      <c r="E16" s="3773"/>
      <c r="F16" s="3696"/>
      <c r="G16" s="3659"/>
      <c r="H16" s="3659"/>
      <c r="I16" s="3697">
        <f t="shared" ref="I16:I79" si="1">G16+H16</f>
        <v>0</v>
      </c>
      <c r="J16" s="3660">
        <f t="shared" si="0"/>
        <v>0</v>
      </c>
      <c r="K16" s="3661">
        <v>44257</v>
      </c>
      <c r="L16" s="3668">
        <v>44323</v>
      </c>
      <c r="M16" s="3663" t="s">
        <v>3980</v>
      </c>
      <c r="N16" s="3698" t="s">
        <v>3981</v>
      </c>
      <c r="O16" s="3699" t="s">
        <v>3982</v>
      </c>
      <c r="P16" s="3661">
        <v>44682</v>
      </c>
      <c r="Q16" s="3655" t="s">
        <v>3983</v>
      </c>
      <c r="R16" s="3652"/>
      <c r="S16" s="3652" t="s">
        <v>3984</v>
      </c>
      <c r="T16" s="3656" t="s">
        <v>3985</v>
      </c>
      <c r="U16" s="3656" t="s">
        <v>3986</v>
      </c>
    </row>
    <row r="17" spans="1:21" s="3700" customFormat="1" ht="30" customHeight="1">
      <c r="A17" s="3652">
        <v>15</v>
      </c>
      <c r="B17" s="3655" t="s">
        <v>3987</v>
      </c>
      <c r="C17" s="3655" t="s">
        <v>3988</v>
      </c>
      <c r="D17" s="3695">
        <v>56</v>
      </c>
      <c r="E17" s="3773">
        <v>12</v>
      </c>
      <c r="F17" s="3696">
        <v>3</v>
      </c>
      <c r="G17" s="3659">
        <v>245280</v>
      </c>
      <c r="H17" s="3659">
        <v>61320</v>
      </c>
      <c r="I17" s="3697">
        <f t="shared" si="1"/>
        <v>306600</v>
      </c>
      <c r="J17" s="3660">
        <f t="shared" si="0"/>
        <v>15</v>
      </c>
      <c r="K17" s="3653">
        <v>44270</v>
      </c>
      <c r="L17" s="3668">
        <v>44317</v>
      </c>
      <c r="M17" s="3663" t="s">
        <v>3812</v>
      </c>
      <c r="N17" s="3698" t="s">
        <v>3989</v>
      </c>
      <c r="O17" s="3699" t="s">
        <v>3982</v>
      </c>
      <c r="P17" s="3653">
        <v>44470</v>
      </c>
      <c r="Q17" s="3655" t="s">
        <v>3990</v>
      </c>
      <c r="R17" s="3652" t="s">
        <v>3991</v>
      </c>
      <c r="S17" s="3652" t="s">
        <v>3984</v>
      </c>
      <c r="T17" s="3656" t="s">
        <v>3985</v>
      </c>
      <c r="U17" s="3656" t="s">
        <v>3985</v>
      </c>
    </row>
    <row r="18" spans="1:21" s="3700" customFormat="1" ht="30" customHeight="1">
      <c r="A18" s="3652">
        <v>16</v>
      </c>
      <c r="B18" s="3701" t="s">
        <v>3992</v>
      </c>
      <c r="C18" s="3701" t="s">
        <v>3993</v>
      </c>
      <c r="D18" s="3695">
        <v>338</v>
      </c>
      <c r="E18" s="3773">
        <v>5.5</v>
      </c>
      <c r="F18" s="3696">
        <v>3</v>
      </c>
      <c r="G18" s="3702">
        <v>678535</v>
      </c>
      <c r="H18" s="3702">
        <v>370110</v>
      </c>
      <c r="I18" s="3697">
        <f t="shared" si="1"/>
        <v>1048645</v>
      </c>
      <c r="J18" s="3660">
        <f t="shared" si="0"/>
        <v>8.5</v>
      </c>
      <c r="K18" s="3653">
        <v>44266</v>
      </c>
      <c r="L18" s="3668">
        <v>44287</v>
      </c>
      <c r="M18" s="3663" t="s">
        <v>3812</v>
      </c>
      <c r="N18" s="3698" t="s">
        <v>3994</v>
      </c>
      <c r="O18" s="3699" t="s">
        <v>3995</v>
      </c>
      <c r="P18" s="3653">
        <v>44440</v>
      </c>
      <c r="Q18" s="3665" t="s">
        <v>3996</v>
      </c>
      <c r="R18" s="3703">
        <v>2.5000000000000001E-2</v>
      </c>
      <c r="S18" s="3652" t="s">
        <v>3984</v>
      </c>
      <c r="T18" s="3656" t="s">
        <v>3985</v>
      </c>
      <c r="U18" s="3656" t="s">
        <v>3986</v>
      </c>
    </row>
    <row r="19" spans="1:21" s="3700" customFormat="1" ht="30" customHeight="1">
      <c r="A19" s="3652">
        <v>17</v>
      </c>
      <c r="B19" s="3704" t="s">
        <v>3997</v>
      </c>
      <c r="C19" s="3701" t="s">
        <v>3998</v>
      </c>
      <c r="D19" s="3705">
        <v>827</v>
      </c>
      <c r="E19" s="3773"/>
      <c r="F19" s="3702">
        <v>4.5</v>
      </c>
      <c r="G19" s="3702"/>
      <c r="H19" s="3702">
        <v>1358347.5</v>
      </c>
      <c r="I19" s="3697">
        <f t="shared" si="1"/>
        <v>1358347.5</v>
      </c>
      <c r="J19" s="3660">
        <f t="shared" si="0"/>
        <v>4.5</v>
      </c>
      <c r="K19" s="3706">
        <v>44282</v>
      </c>
      <c r="L19" s="3707">
        <v>44323</v>
      </c>
      <c r="M19" s="3708" t="s">
        <v>3999</v>
      </c>
      <c r="N19" s="3698" t="s">
        <v>3994</v>
      </c>
      <c r="O19" s="3699" t="s">
        <v>4000</v>
      </c>
      <c r="P19" s="3707">
        <v>44501</v>
      </c>
      <c r="Q19" s="3665" t="s">
        <v>3996</v>
      </c>
      <c r="R19" s="3703">
        <v>2.5000000000000001E-2</v>
      </c>
      <c r="S19" s="3652" t="s">
        <v>3984</v>
      </c>
      <c r="T19" s="3656" t="s">
        <v>3986</v>
      </c>
      <c r="U19" s="3656" t="s">
        <v>3986</v>
      </c>
    </row>
    <row r="20" spans="1:21" s="3700" customFormat="1" ht="30" customHeight="1">
      <c r="A20" s="3652">
        <v>18</v>
      </c>
      <c r="B20" s="3709" t="s">
        <v>4001</v>
      </c>
      <c r="C20" s="3701" t="s">
        <v>4002</v>
      </c>
      <c r="D20" s="3705">
        <v>133</v>
      </c>
      <c r="E20" s="3773"/>
      <c r="F20" s="3702">
        <v>4.5</v>
      </c>
      <c r="G20" s="3702"/>
      <c r="H20" s="3702">
        <v>218452.5</v>
      </c>
      <c r="I20" s="3697">
        <f t="shared" si="1"/>
        <v>218452.5</v>
      </c>
      <c r="J20" s="3660">
        <f t="shared" si="0"/>
        <v>4.5</v>
      </c>
      <c r="K20" s="3706">
        <v>44282</v>
      </c>
      <c r="L20" s="3707">
        <v>44313</v>
      </c>
      <c r="M20" s="3708" t="s">
        <v>3999</v>
      </c>
      <c r="N20" s="3698" t="s">
        <v>4003</v>
      </c>
      <c r="O20" s="3699" t="s">
        <v>3982</v>
      </c>
      <c r="P20" s="3707">
        <v>44470</v>
      </c>
      <c r="Q20" s="3655" t="s">
        <v>3990</v>
      </c>
      <c r="R20" s="3652" t="s">
        <v>3991</v>
      </c>
      <c r="S20" s="3652" t="s">
        <v>3984</v>
      </c>
      <c r="T20" s="3656" t="s">
        <v>3986</v>
      </c>
      <c r="U20" s="3656" t="s">
        <v>3986</v>
      </c>
    </row>
    <row r="21" spans="1:21" s="3700" customFormat="1" ht="30" customHeight="1">
      <c r="A21" s="3652">
        <v>19</v>
      </c>
      <c r="B21" s="3701" t="s">
        <v>4004</v>
      </c>
      <c r="C21" s="3701" t="s">
        <v>4005</v>
      </c>
      <c r="D21" s="3705">
        <v>530</v>
      </c>
      <c r="E21" s="3773"/>
      <c r="F21" s="3702">
        <v>4.34</v>
      </c>
      <c r="G21" s="3702"/>
      <c r="H21" s="3702">
        <v>840000</v>
      </c>
      <c r="I21" s="3697">
        <f t="shared" si="1"/>
        <v>840000</v>
      </c>
      <c r="J21" s="3660">
        <f t="shared" si="0"/>
        <v>4.34</v>
      </c>
      <c r="K21" s="3706">
        <v>44281</v>
      </c>
      <c r="L21" s="3707">
        <v>44303</v>
      </c>
      <c r="M21" s="3708" t="s">
        <v>3999</v>
      </c>
      <c r="N21" s="3664" t="s">
        <v>3953</v>
      </c>
      <c r="O21" s="3699" t="s">
        <v>3982</v>
      </c>
      <c r="P21" s="3707">
        <v>44470</v>
      </c>
      <c r="Q21" s="3655" t="s">
        <v>3990</v>
      </c>
      <c r="R21" s="3652" t="s">
        <v>3991</v>
      </c>
      <c r="S21" s="3652" t="s">
        <v>3984</v>
      </c>
      <c r="T21" s="3656" t="s">
        <v>3986</v>
      </c>
      <c r="U21" s="3656" t="s">
        <v>3986</v>
      </c>
    </row>
    <row r="22" spans="1:21" s="3700" customFormat="1" ht="30" customHeight="1">
      <c r="A22" s="3652">
        <v>20</v>
      </c>
      <c r="B22" s="3701" t="s">
        <v>4006</v>
      </c>
      <c r="C22" s="3701" t="s">
        <v>4007</v>
      </c>
      <c r="D22" s="3705">
        <v>509</v>
      </c>
      <c r="E22" s="3773"/>
      <c r="F22" s="3702">
        <v>4.3</v>
      </c>
      <c r="G22" s="3702"/>
      <c r="H22" s="3702">
        <v>798875.5</v>
      </c>
      <c r="I22" s="3697">
        <f t="shared" si="1"/>
        <v>798875.5</v>
      </c>
      <c r="J22" s="3660">
        <f t="shared" si="0"/>
        <v>4.3</v>
      </c>
      <c r="K22" s="3706">
        <v>44281</v>
      </c>
      <c r="L22" s="3707">
        <v>44315</v>
      </c>
      <c r="M22" s="3708" t="s">
        <v>3999</v>
      </c>
      <c r="N22" s="3664" t="s">
        <v>3953</v>
      </c>
      <c r="O22" s="3699" t="s">
        <v>3995</v>
      </c>
      <c r="P22" s="3710">
        <v>44470</v>
      </c>
      <c r="Q22" s="3665" t="s">
        <v>4008</v>
      </c>
      <c r="R22" s="3703">
        <v>1.6E-2</v>
      </c>
      <c r="S22" s="3652" t="s">
        <v>3984</v>
      </c>
      <c r="T22" s="3656" t="s">
        <v>3986</v>
      </c>
      <c r="U22" s="3656" t="s">
        <v>3986</v>
      </c>
    </row>
    <row r="23" spans="1:21" s="3700" customFormat="1" ht="30" customHeight="1">
      <c r="A23" s="3652">
        <v>21</v>
      </c>
      <c r="B23" s="3704" t="s">
        <v>4009</v>
      </c>
      <c r="C23" s="3701" t="s">
        <v>4010</v>
      </c>
      <c r="D23" s="3711">
        <v>290</v>
      </c>
      <c r="E23" s="3773"/>
      <c r="F23" s="3702">
        <v>4.5</v>
      </c>
      <c r="G23" s="3702"/>
      <c r="H23" s="3702">
        <v>476325</v>
      </c>
      <c r="I23" s="3697">
        <f t="shared" si="1"/>
        <v>476325</v>
      </c>
      <c r="J23" s="3660">
        <f t="shared" si="0"/>
        <v>4.5</v>
      </c>
      <c r="K23" s="3706">
        <v>44292</v>
      </c>
      <c r="L23" s="3707">
        <v>44393</v>
      </c>
      <c r="M23" s="3708" t="s">
        <v>3999</v>
      </c>
      <c r="N23" s="3664" t="s">
        <v>3953</v>
      </c>
      <c r="O23" s="3699" t="s">
        <v>3982</v>
      </c>
      <c r="P23" s="3707">
        <v>44378</v>
      </c>
      <c r="Q23" s="3665" t="s">
        <v>4008</v>
      </c>
      <c r="R23" s="3703">
        <v>1.6E-2</v>
      </c>
      <c r="S23" s="3652" t="s">
        <v>3984</v>
      </c>
      <c r="T23" s="3656" t="s">
        <v>3986</v>
      </c>
      <c r="U23" s="3656" t="s">
        <v>3986</v>
      </c>
    </row>
    <row r="24" spans="1:21" s="3700" customFormat="1" ht="30" customHeight="1">
      <c r="A24" s="3652">
        <v>22</v>
      </c>
      <c r="B24" s="3704" t="s">
        <v>4011</v>
      </c>
      <c r="C24" s="3712" t="s">
        <v>4012</v>
      </c>
      <c r="D24" s="3711">
        <f>255-9</f>
        <v>246</v>
      </c>
      <c r="E24" s="3773"/>
      <c r="F24" s="3702">
        <v>5</v>
      </c>
      <c r="G24" s="3702"/>
      <c r="H24" s="3702">
        <v>448950</v>
      </c>
      <c r="I24" s="3697">
        <f t="shared" si="1"/>
        <v>448950</v>
      </c>
      <c r="J24" s="3660">
        <f t="shared" si="0"/>
        <v>5</v>
      </c>
      <c r="K24" s="3706">
        <v>44292</v>
      </c>
      <c r="L24" s="3707">
        <v>44394</v>
      </c>
      <c r="M24" s="3708" t="s">
        <v>4013</v>
      </c>
      <c r="N24" s="3713" t="s">
        <v>4014</v>
      </c>
      <c r="O24" s="3699" t="s">
        <v>4015</v>
      </c>
      <c r="P24" s="3707">
        <v>44378</v>
      </c>
      <c r="Q24" s="3665" t="s">
        <v>3943</v>
      </c>
      <c r="R24" s="3703">
        <v>0.05</v>
      </c>
      <c r="S24" s="3652" t="s">
        <v>4016</v>
      </c>
      <c r="T24" s="3656" t="s">
        <v>4017</v>
      </c>
      <c r="U24" s="3656" t="s">
        <v>4017</v>
      </c>
    </row>
    <row r="25" spans="1:21" s="3700" customFormat="1" ht="30" customHeight="1">
      <c r="A25" s="3652">
        <v>23</v>
      </c>
      <c r="B25" s="3655" t="s">
        <v>4018</v>
      </c>
      <c r="C25" s="3665" t="s">
        <v>4019</v>
      </c>
      <c r="D25" s="3695">
        <v>73</v>
      </c>
      <c r="E25" s="3773">
        <v>17</v>
      </c>
      <c r="F25" s="3696">
        <v>3</v>
      </c>
      <c r="G25" s="3702">
        <v>452965</v>
      </c>
      <c r="H25" s="3702">
        <v>79935</v>
      </c>
      <c r="I25" s="3697">
        <f t="shared" si="1"/>
        <v>532900</v>
      </c>
      <c r="J25" s="3660">
        <f t="shared" si="0"/>
        <v>20</v>
      </c>
      <c r="K25" s="3653">
        <v>44293</v>
      </c>
      <c r="L25" s="3668">
        <v>44409</v>
      </c>
      <c r="M25" s="3663" t="s">
        <v>3980</v>
      </c>
      <c r="N25" s="3698" t="s">
        <v>4020</v>
      </c>
      <c r="O25" s="3699" t="s">
        <v>4021</v>
      </c>
      <c r="P25" s="3653">
        <v>44470</v>
      </c>
      <c r="Q25" s="3665" t="s">
        <v>4022</v>
      </c>
      <c r="R25" s="3666">
        <v>0.05</v>
      </c>
      <c r="S25" s="3652" t="s">
        <v>4016</v>
      </c>
      <c r="T25" s="3656" t="s">
        <v>3944</v>
      </c>
      <c r="U25" s="3656" t="s">
        <v>3944</v>
      </c>
    </row>
    <row r="26" spans="1:21" s="3700" customFormat="1" ht="30" customHeight="1">
      <c r="A26" s="3652">
        <v>24</v>
      </c>
      <c r="B26" s="3704" t="s">
        <v>4023</v>
      </c>
      <c r="C26" s="3701" t="s">
        <v>4024</v>
      </c>
      <c r="D26" s="3695">
        <v>26</v>
      </c>
      <c r="E26" s="3773"/>
      <c r="F26" s="3696">
        <v>7.59</v>
      </c>
      <c r="G26" s="3702"/>
      <c r="H26" s="3702">
        <v>72000</v>
      </c>
      <c r="I26" s="3697">
        <f t="shared" si="1"/>
        <v>72000</v>
      </c>
      <c r="J26" s="3660">
        <f t="shared" si="0"/>
        <v>7.59</v>
      </c>
      <c r="K26" s="3706">
        <v>44300</v>
      </c>
      <c r="L26" s="3668">
        <v>44409</v>
      </c>
      <c r="M26" s="3663" t="s">
        <v>3980</v>
      </c>
      <c r="N26" s="3698" t="s">
        <v>4020</v>
      </c>
      <c r="O26" s="3699" t="s">
        <v>4025</v>
      </c>
      <c r="P26" s="3653">
        <v>44470</v>
      </c>
      <c r="Q26" s="3655" t="s">
        <v>4026</v>
      </c>
      <c r="R26" s="3666">
        <v>0.17</v>
      </c>
      <c r="S26" s="3652" t="s">
        <v>4016</v>
      </c>
      <c r="T26" s="3656" t="s">
        <v>4017</v>
      </c>
      <c r="U26" s="3656" t="s">
        <v>4017</v>
      </c>
    </row>
    <row r="27" spans="1:21" s="3700" customFormat="1" ht="30" customHeight="1">
      <c r="A27" s="3652">
        <v>25</v>
      </c>
      <c r="B27" s="3704" t="s">
        <v>4027</v>
      </c>
      <c r="C27" s="3701" t="s">
        <v>4028</v>
      </c>
      <c r="D27" s="3695">
        <v>368</v>
      </c>
      <c r="E27" s="3773"/>
      <c r="F27" s="3696">
        <v>5</v>
      </c>
      <c r="G27" s="3702"/>
      <c r="H27" s="3702">
        <v>671600</v>
      </c>
      <c r="I27" s="3697">
        <f t="shared" si="1"/>
        <v>671600</v>
      </c>
      <c r="J27" s="3660">
        <f t="shared" si="0"/>
        <v>5</v>
      </c>
      <c r="K27" s="3653">
        <v>44309</v>
      </c>
      <c r="L27" s="3668">
        <v>44348</v>
      </c>
      <c r="M27" s="3663" t="s">
        <v>3812</v>
      </c>
      <c r="N27" s="3698" t="s">
        <v>4029</v>
      </c>
      <c r="O27" s="3699" t="s">
        <v>4015</v>
      </c>
      <c r="P27" s="3653">
        <v>44470</v>
      </c>
      <c r="Q27" s="3665" t="s">
        <v>4030</v>
      </c>
      <c r="R27" s="3666">
        <v>1.4999999999999999E-2</v>
      </c>
      <c r="S27" s="3652" t="s">
        <v>4016</v>
      </c>
      <c r="T27" s="3656" t="s">
        <v>4017</v>
      </c>
      <c r="U27" s="3656" t="s">
        <v>4017</v>
      </c>
    </row>
    <row r="28" spans="1:21" s="3700" customFormat="1" ht="30" customHeight="1">
      <c r="A28" s="3652">
        <v>26</v>
      </c>
      <c r="B28" s="3655" t="s">
        <v>4031</v>
      </c>
      <c r="C28" s="3665" t="s">
        <v>4032</v>
      </c>
      <c r="D28" s="3695">
        <v>174</v>
      </c>
      <c r="E28" s="3773">
        <v>14</v>
      </c>
      <c r="F28" s="3696">
        <v>3</v>
      </c>
      <c r="G28" s="3702">
        <v>889140</v>
      </c>
      <c r="H28" s="3702">
        <v>190530</v>
      </c>
      <c r="I28" s="3697">
        <f t="shared" si="1"/>
        <v>1079670</v>
      </c>
      <c r="J28" s="3660">
        <f t="shared" si="0"/>
        <v>17</v>
      </c>
      <c r="K28" s="3653">
        <v>44308</v>
      </c>
      <c r="L28" s="3668">
        <v>44378</v>
      </c>
      <c r="M28" s="3663" t="s">
        <v>3976</v>
      </c>
      <c r="N28" s="3698" t="s">
        <v>3989</v>
      </c>
      <c r="O28" s="3699" t="s">
        <v>4033</v>
      </c>
      <c r="P28" s="3693">
        <v>44470</v>
      </c>
      <c r="Q28" s="3665" t="s">
        <v>4034</v>
      </c>
      <c r="R28" s="3666">
        <v>0.06</v>
      </c>
      <c r="S28" s="3652" t="s">
        <v>3984</v>
      </c>
      <c r="T28" s="3656" t="s">
        <v>3985</v>
      </c>
      <c r="U28" s="3656" t="s">
        <v>3985</v>
      </c>
    </row>
    <row r="29" spans="1:21" s="3700" customFormat="1" ht="30" customHeight="1">
      <c r="A29" s="3652">
        <v>27</v>
      </c>
      <c r="B29" s="3657" t="s">
        <v>4035</v>
      </c>
      <c r="C29" s="3665" t="s">
        <v>4036</v>
      </c>
      <c r="D29" s="3695">
        <v>119</v>
      </c>
      <c r="E29" s="3773">
        <v>17</v>
      </c>
      <c r="F29" s="3696">
        <v>3</v>
      </c>
      <c r="G29" s="3659">
        <v>738395</v>
      </c>
      <c r="H29" s="3659">
        <v>130305</v>
      </c>
      <c r="I29" s="3697">
        <f t="shared" si="1"/>
        <v>868700</v>
      </c>
      <c r="J29" s="3660">
        <f t="shared" si="0"/>
        <v>20</v>
      </c>
      <c r="K29" s="3653">
        <v>44315</v>
      </c>
      <c r="L29" s="3668">
        <v>44331</v>
      </c>
      <c r="M29" s="3663" t="s">
        <v>3812</v>
      </c>
      <c r="N29" s="3698" t="s">
        <v>4037</v>
      </c>
      <c r="O29" s="3699" t="s">
        <v>4038</v>
      </c>
      <c r="P29" s="3693">
        <v>44470</v>
      </c>
      <c r="Q29" s="3665" t="s">
        <v>4039</v>
      </c>
      <c r="R29" s="3666">
        <v>2.5000000000000001E-2</v>
      </c>
      <c r="S29" s="3652" t="s">
        <v>3984</v>
      </c>
      <c r="T29" s="3656" t="s">
        <v>3985</v>
      </c>
      <c r="U29" s="3656" t="s">
        <v>3986</v>
      </c>
    </row>
    <row r="30" spans="1:21" s="3700" customFormat="1" ht="30" customHeight="1">
      <c r="A30" s="3652">
        <v>28</v>
      </c>
      <c r="B30" s="3657" t="s">
        <v>4035</v>
      </c>
      <c r="C30" s="3665" t="s">
        <v>4036</v>
      </c>
      <c r="D30" s="3695">
        <v>95</v>
      </c>
      <c r="E30" s="3773">
        <v>7</v>
      </c>
      <c r="F30" s="3696">
        <v>3</v>
      </c>
      <c r="G30" s="3659">
        <v>242725</v>
      </c>
      <c r="H30" s="3659">
        <v>104025</v>
      </c>
      <c r="I30" s="3697">
        <f t="shared" si="1"/>
        <v>346750</v>
      </c>
      <c r="J30" s="3660">
        <f t="shared" si="0"/>
        <v>10</v>
      </c>
      <c r="K30" s="3653">
        <v>44315</v>
      </c>
      <c r="L30" s="3668">
        <v>44331</v>
      </c>
      <c r="M30" s="3663" t="s">
        <v>3812</v>
      </c>
      <c r="N30" s="3698" t="s">
        <v>4037</v>
      </c>
      <c r="O30" s="3699" t="s">
        <v>4040</v>
      </c>
      <c r="P30" s="3693">
        <v>44470</v>
      </c>
      <c r="Q30" s="3665" t="s">
        <v>4039</v>
      </c>
      <c r="R30" s="3666">
        <v>2.5000000000000001E-2</v>
      </c>
      <c r="S30" s="3652" t="s">
        <v>3984</v>
      </c>
      <c r="T30" s="3656" t="s">
        <v>3985</v>
      </c>
      <c r="U30" s="3656" t="s">
        <v>3986</v>
      </c>
    </row>
    <row r="31" spans="1:21" s="3700" customFormat="1" ht="30" customHeight="1">
      <c r="A31" s="3652">
        <v>29</v>
      </c>
      <c r="B31" s="3657" t="s">
        <v>4035</v>
      </c>
      <c r="C31" s="3665" t="s">
        <v>4036</v>
      </c>
      <c r="D31" s="3695">
        <v>98</v>
      </c>
      <c r="E31" s="3773">
        <v>10.98</v>
      </c>
      <c r="F31" s="3696">
        <v>3</v>
      </c>
      <c r="G31" s="3659">
        <v>392740</v>
      </c>
      <c r="H31" s="3659">
        <v>107310</v>
      </c>
      <c r="I31" s="3697">
        <f t="shared" si="1"/>
        <v>500050</v>
      </c>
      <c r="J31" s="3660">
        <f t="shared" si="0"/>
        <v>13.98</v>
      </c>
      <c r="K31" s="3653">
        <v>44315</v>
      </c>
      <c r="L31" s="3668">
        <v>44331</v>
      </c>
      <c r="M31" s="3663" t="s">
        <v>3812</v>
      </c>
      <c r="N31" s="3698" t="s">
        <v>4037</v>
      </c>
      <c r="O31" s="3699" t="s">
        <v>4040</v>
      </c>
      <c r="P31" s="3693">
        <v>44470</v>
      </c>
      <c r="Q31" s="3665" t="s">
        <v>4039</v>
      </c>
      <c r="R31" s="3666">
        <v>2.5000000000000001E-2</v>
      </c>
      <c r="S31" s="3652" t="s">
        <v>3984</v>
      </c>
      <c r="T31" s="3656" t="s">
        <v>3985</v>
      </c>
      <c r="U31" s="3656" t="s">
        <v>3986</v>
      </c>
    </row>
    <row r="32" spans="1:21" s="3700" customFormat="1" ht="30" customHeight="1">
      <c r="A32" s="3652">
        <v>30</v>
      </c>
      <c r="B32" s="3657" t="s">
        <v>4041</v>
      </c>
      <c r="C32" s="3665" t="s">
        <v>4042</v>
      </c>
      <c r="D32" s="3695">
        <v>343</v>
      </c>
      <c r="E32" s="3773">
        <v>8</v>
      </c>
      <c r="F32" s="3696">
        <v>2</v>
      </c>
      <c r="G32" s="3659">
        <v>1001560</v>
      </c>
      <c r="H32" s="3659">
        <v>250389.96000000002</v>
      </c>
      <c r="I32" s="3697">
        <f t="shared" si="1"/>
        <v>1251949.96</v>
      </c>
      <c r="J32" s="3660">
        <f t="shared" si="0"/>
        <v>10</v>
      </c>
      <c r="K32" s="3653">
        <v>44289</v>
      </c>
      <c r="L32" s="3668">
        <v>44296</v>
      </c>
      <c r="M32" s="3663" t="s">
        <v>3976</v>
      </c>
      <c r="N32" s="3698" t="s">
        <v>3994</v>
      </c>
      <c r="O32" s="3699" t="s">
        <v>3995</v>
      </c>
      <c r="P32" s="3693">
        <v>44440</v>
      </c>
      <c r="Q32" s="3665" t="s">
        <v>4039</v>
      </c>
      <c r="R32" s="3666">
        <v>2.5000000000000001E-2</v>
      </c>
      <c r="S32" s="3652" t="s">
        <v>3984</v>
      </c>
      <c r="T32" s="3656" t="s">
        <v>3985</v>
      </c>
      <c r="U32" s="3656" t="s">
        <v>3986</v>
      </c>
    </row>
    <row r="33" spans="1:21" s="3700" customFormat="1" ht="30" customHeight="1">
      <c r="A33" s="3652">
        <v>31</v>
      </c>
      <c r="B33" s="3655" t="s">
        <v>4043</v>
      </c>
      <c r="C33" s="3665"/>
      <c r="D33" s="3695">
        <v>335</v>
      </c>
      <c r="E33" s="3773">
        <v>7</v>
      </c>
      <c r="F33" s="3696">
        <v>3</v>
      </c>
      <c r="G33" s="3659">
        <v>855925</v>
      </c>
      <c r="H33" s="3659">
        <v>366825</v>
      </c>
      <c r="I33" s="3697">
        <f t="shared" si="1"/>
        <v>1222750</v>
      </c>
      <c r="J33" s="3660">
        <f t="shared" si="0"/>
        <v>10</v>
      </c>
      <c r="K33" s="3653">
        <v>44323</v>
      </c>
      <c r="L33" s="3668">
        <v>44378</v>
      </c>
      <c r="M33" s="3663" t="s">
        <v>3980</v>
      </c>
      <c r="N33" s="3698" t="s">
        <v>3989</v>
      </c>
      <c r="O33" s="3699" t="s">
        <v>4044</v>
      </c>
      <c r="P33" s="3661">
        <v>44470</v>
      </c>
      <c r="Q33" s="3665" t="s">
        <v>4045</v>
      </c>
      <c r="R33" s="3666">
        <v>0.05</v>
      </c>
      <c r="S33" s="3652" t="s">
        <v>3984</v>
      </c>
      <c r="T33" s="3656" t="s">
        <v>3985</v>
      </c>
      <c r="U33" s="3656" t="s">
        <v>3986</v>
      </c>
    </row>
    <row r="34" spans="1:21" s="3700" customFormat="1" ht="30" customHeight="1">
      <c r="A34" s="3652">
        <v>32</v>
      </c>
      <c r="B34" s="3704" t="s">
        <v>4046</v>
      </c>
      <c r="C34" s="3665" t="s">
        <v>4047</v>
      </c>
      <c r="D34" s="3695">
        <v>2852.38</v>
      </c>
      <c r="E34" s="3773">
        <v>4.5</v>
      </c>
      <c r="F34" s="3696">
        <v>0</v>
      </c>
      <c r="G34" s="3659">
        <v>4685034.1500000004</v>
      </c>
      <c r="H34" s="3659">
        <v>0</v>
      </c>
      <c r="I34" s="3697">
        <f t="shared" si="1"/>
        <v>4685034.1500000004</v>
      </c>
      <c r="J34" s="3660">
        <f t="shared" si="0"/>
        <v>4.5</v>
      </c>
      <c r="K34" s="3653">
        <v>44324</v>
      </c>
      <c r="L34" s="3668">
        <v>44324</v>
      </c>
      <c r="M34" s="3663" t="s">
        <v>3812</v>
      </c>
      <c r="N34" s="3698" t="s">
        <v>4037</v>
      </c>
      <c r="O34" s="3699" t="s">
        <v>4048</v>
      </c>
      <c r="P34" s="3661">
        <v>44562</v>
      </c>
      <c r="Q34" s="3665" t="s">
        <v>4039</v>
      </c>
      <c r="R34" s="3666">
        <v>2.5000000000000001E-2</v>
      </c>
      <c r="S34" s="3652" t="s">
        <v>3984</v>
      </c>
      <c r="T34" s="3656" t="s">
        <v>3985</v>
      </c>
      <c r="U34" s="3656" t="s">
        <v>3985</v>
      </c>
    </row>
    <row r="35" spans="1:21" s="3700" customFormat="1" ht="30" customHeight="1">
      <c r="A35" s="3652">
        <v>33</v>
      </c>
      <c r="B35" s="3704" t="s">
        <v>4046</v>
      </c>
      <c r="C35" s="3665" t="s">
        <v>4047</v>
      </c>
      <c r="D35" s="3695">
        <v>207.61999999999989</v>
      </c>
      <c r="E35" s="3773">
        <v>4.5</v>
      </c>
      <c r="F35" s="3696">
        <v>0</v>
      </c>
      <c r="G35" s="3659">
        <v>341015.8499999998</v>
      </c>
      <c r="H35" s="3659">
        <v>0</v>
      </c>
      <c r="I35" s="3697">
        <f t="shared" si="1"/>
        <v>341015.8499999998</v>
      </c>
      <c r="J35" s="3660">
        <f t="shared" si="0"/>
        <v>4.5</v>
      </c>
      <c r="K35" s="3653">
        <v>44324</v>
      </c>
      <c r="L35" s="3668">
        <v>44324</v>
      </c>
      <c r="M35" s="3663" t="s">
        <v>3812</v>
      </c>
      <c r="N35" s="3698" t="s">
        <v>4037</v>
      </c>
      <c r="O35" s="3699" t="s">
        <v>4048</v>
      </c>
      <c r="P35" s="3661">
        <v>44562</v>
      </c>
      <c r="Q35" s="3665" t="s">
        <v>4039</v>
      </c>
      <c r="R35" s="3666">
        <v>2.5000000000000001E-2</v>
      </c>
      <c r="S35" s="3652" t="s">
        <v>3984</v>
      </c>
      <c r="T35" s="3656" t="s">
        <v>3985</v>
      </c>
      <c r="U35" s="3656" t="s">
        <v>3985</v>
      </c>
    </row>
    <row r="36" spans="1:21" s="3700" customFormat="1" ht="30" customHeight="1">
      <c r="A36" s="3652">
        <v>34</v>
      </c>
      <c r="B36" s="3655" t="s">
        <v>4049</v>
      </c>
      <c r="C36" s="3665" t="s">
        <v>4050</v>
      </c>
      <c r="D36" s="3695">
        <v>413</v>
      </c>
      <c r="E36" s="3773">
        <v>3</v>
      </c>
      <c r="F36" s="3696">
        <v>3</v>
      </c>
      <c r="G36" s="3659">
        <v>452235</v>
      </c>
      <c r="H36" s="3659">
        <v>452235</v>
      </c>
      <c r="I36" s="3697">
        <f t="shared" si="1"/>
        <v>904470</v>
      </c>
      <c r="J36" s="3660">
        <f t="shared" si="0"/>
        <v>6</v>
      </c>
      <c r="K36" s="3653">
        <v>44326</v>
      </c>
      <c r="L36" s="3668">
        <v>44326</v>
      </c>
      <c r="M36" s="3663" t="s">
        <v>3976</v>
      </c>
      <c r="N36" s="3698" t="s">
        <v>3994</v>
      </c>
      <c r="O36" s="3699" t="s">
        <v>4033</v>
      </c>
      <c r="P36" s="3661">
        <v>44470</v>
      </c>
      <c r="Q36" s="3665" t="s">
        <v>4051</v>
      </c>
      <c r="R36" s="3666">
        <v>5.2999999999999999E-2</v>
      </c>
      <c r="S36" s="3652" t="s">
        <v>3984</v>
      </c>
      <c r="T36" s="3656" t="s">
        <v>3985</v>
      </c>
      <c r="U36" s="3656" t="s">
        <v>3986</v>
      </c>
    </row>
    <row r="37" spans="1:21" s="3700" customFormat="1" ht="30" customHeight="1">
      <c r="A37" s="3652">
        <v>35</v>
      </c>
      <c r="B37" s="3655" t="s">
        <v>4052</v>
      </c>
      <c r="C37" s="3665" t="s">
        <v>4050</v>
      </c>
      <c r="D37" s="3695"/>
      <c r="E37" s="3773"/>
      <c r="F37" s="3696"/>
      <c r="G37" s="3659">
        <v>30000</v>
      </c>
      <c r="H37" s="3659"/>
      <c r="I37" s="3697">
        <f t="shared" si="1"/>
        <v>30000</v>
      </c>
      <c r="J37" s="3660">
        <f t="shared" si="0"/>
        <v>0</v>
      </c>
      <c r="K37" s="3653">
        <v>44326</v>
      </c>
      <c r="L37" s="3668">
        <v>44326</v>
      </c>
      <c r="M37" s="3663"/>
      <c r="N37" s="3698" t="s">
        <v>3994</v>
      </c>
      <c r="O37" s="3699" t="s">
        <v>4048</v>
      </c>
      <c r="P37" s="3661"/>
      <c r="Q37" s="3655" t="s">
        <v>3990</v>
      </c>
      <c r="R37" s="3652" t="s">
        <v>3991</v>
      </c>
      <c r="S37" s="3652" t="s">
        <v>3984</v>
      </c>
      <c r="T37" s="3656" t="s">
        <v>3985</v>
      </c>
      <c r="U37" s="3656" t="s">
        <v>3986</v>
      </c>
    </row>
    <row r="38" spans="1:21" s="3700" customFormat="1" ht="30" customHeight="1">
      <c r="A38" s="3652">
        <v>36</v>
      </c>
      <c r="B38" s="3704" t="s">
        <v>4053</v>
      </c>
      <c r="C38" s="3665" t="s">
        <v>4054</v>
      </c>
      <c r="D38" s="3695">
        <v>718</v>
      </c>
      <c r="E38" s="3773">
        <v>4</v>
      </c>
      <c r="F38" s="3696">
        <v>3</v>
      </c>
      <c r="G38" s="3659">
        <v>1048280</v>
      </c>
      <c r="H38" s="3659">
        <v>786210</v>
      </c>
      <c r="I38" s="3697">
        <f t="shared" si="1"/>
        <v>1834490</v>
      </c>
      <c r="J38" s="3660">
        <f t="shared" si="0"/>
        <v>7</v>
      </c>
      <c r="K38" s="3653">
        <v>44326</v>
      </c>
      <c r="L38" s="3668">
        <v>44326</v>
      </c>
      <c r="M38" s="3663" t="s">
        <v>3976</v>
      </c>
      <c r="N38" s="3698" t="s">
        <v>4037</v>
      </c>
      <c r="O38" s="3699" t="s">
        <v>4055</v>
      </c>
      <c r="P38" s="3661">
        <v>44531</v>
      </c>
      <c r="Q38" s="3665" t="s">
        <v>4039</v>
      </c>
      <c r="R38" s="3714">
        <v>2.5000000000000001E-2</v>
      </c>
      <c r="S38" s="3652" t="s">
        <v>3984</v>
      </c>
      <c r="T38" s="3656" t="s">
        <v>3985</v>
      </c>
      <c r="U38" s="3656" t="s">
        <v>3986</v>
      </c>
    </row>
    <row r="39" spans="1:21" s="3700" customFormat="1" ht="30" customHeight="1">
      <c r="A39" s="3652">
        <v>37</v>
      </c>
      <c r="B39" s="3704" t="s">
        <v>4056</v>
      </c>
      <c r="C39" s="3701" t="s">
        <v>4057</v>
      </c>
      <c r="D39" s="3695">
        <v>56</v>
      </c>
      <c r="E39" s="3773"/>
      <c r="F39" s="3696">
        <v>6</v>
      </c>
      <c r="G39" s="3659"/>
      <c r="H39" s="3659">
        <v>122640</v>
      </c>
      <c r="I39" s="3697">
        <f t="shared" si="1"/>
        <v>122640</v>
      </c>
      <c r="J39" s="3660">
        <f t="shared" si="0"/>
        <v>6</v>
      </c>
      <c r="K39" s="3706">
        <v>44328</v>
      </c>
      <c r="L39" s="3668">
        <v>44348</v>
      </c>
      <c r="M39" s="3663" t="s">
        <v>3812</v>
      </c>
      <c r="N39" s="3698" t="s">
        <v>4003</v>
      </c>
      <c r="O39" s="3699" t="s">
        <v>4033</v>
      </c>
      <c r="P39" s="3661">
        <v>44470</v>
      </c>
      <c r="Q39" s="3655" t="s">
        <v>4058</v>
      </c>
      <c r="R39" s="3714">
        <v>0.17</v>
      </c>
      <c r="S39" s="3652" t="s">
        <v>3984</v>
      </c>
      <c r="T39" s="3656" t="s">
        <v>3986</v>
      </c>
      <c r="U39" s="3656" t="s">
        <v>3986</v>
      </c>
    </row>
    <row r="40" spans="1:21" s="3700" customFormat="1" ht="30" customHeight="1">
      <c r="A40" s="3652">
        <v>38</v>
      </c>
      <c r="B40" s="3655" t="s">
        <v>4059</v>
      </c>
      <c r="C40" s="3665" t="s">
        <v>4060</v>
      </c>
      <c r="D40" s="3695">
        <v>377</v>
      </c>
      <c r="E40" s="3773">
        <v>5.5</v>
      </c>
      <c r="F40" s="3696">
        <v>3</v>
      </c>
      <c r="G40" s="3659">
        <v>756827.5</v>
      </c>
      <c r="H40" s="3659">
        <v>412815</v>
      </c>
      <c r="I40" s="3697">
        <f t="shared" si="1"/>
        <v>1169642.5</v>
      </c>
      <c r="J40" s="3660">
        <f t="shared" si="0"/>
        <v>8.5</v>
      </c>
      <c r="K40" s="3653">
        <v>44337</v>
      </c>
      <c r="L40" s="3668">
        <v>44348</v>
      </c>
      <c r="M40" s="3663" t="s">
        <v>3976</v>
      </c>
      <c r="N40" s="3698" t="s">
        <v>3994</v>
      </c>
      <c r="O40" s="3699" t="s">
        <v>4055</v>
      </c>
      <c r="P40" s="3661">
        <v>44531</v>
      </c>
      <c r="Q40" s="3665" t="s">
        <v>4039</v>
      </c>
      <c r="R40" s="3703">
        <v>2.5000000000000001E-2</v>
      </c>
      <c r="S40" s="3652" t="s">
        <v>3984</v>
      </c>
      <c r="T40" s="3656" t="s">
        <v>3985</v>
      </c>
      <c r="U40" s="3656" t="s">
        <v>3985</v>
      </c>
    </row>
    <row r="41" spans="1:21" s="3700" customFormat="1" ht="30" customHeight="1">
      <c r="A41" s="3652">
        <v>39</v>
      </c>
      <c r="B41" s="3655" t="s">
        <v>4061</v>
      </c>
      <c r="C41" s="3665" t="s">
        <v>4062</v>
      </c>
      <c r="D41" s="3695">
        <v>175</v>
      </c>
      <c r="E41" s="3773">
        <v>8</v>
      </c>
      <c r="F41" s="3696">
        <v>2</v>
      </c>
      <c r="G41" s="3659">
        <v>511000</v>
      </c>
      <c r="H41" s="3659">
        <v>127749.96</v>
      </c>
      <c r="I41" s="3697">
        <f t="shared" si="1"/>
        <v>638749.96</v>
      </c>
      <c r="J41" s="3660">
        <f t="shared" si="0"/>
        <v>10</v>
      </c>
      <c r="K41" s="3653">
        <v>44344</v>
      </c>
      <c r="L41" s="3668">
        <v>44378</v>
      </c>
      <c r="M41" s="3663" t="s">
        <v>3976</v>
      </c>
      <c r="N41" s="3698" t="s">
        <v>4029</v>
      </c>
      <c r="O41" s="3699" t="s">
        <v>3982</v>
      </c>
      <c r="P41" s="3661">
        <v>44470</v>
      </c>
      <c r="Q41" s="3665" t="s">
        <v>4022</v>
      </c>
      <c r="R41" s="3666">
        <v>0.05</v>
      </c>
      <c r="S41" s="3652" t="s">
        <v>4016</v>
      </c>
      <c r="T41" s="3656" t="s">
        <v>3944</v>
      </c>
      <c r="U41" s="3656" t="s">
        <v>4017</v>
      </c>
    </row>
    <row r="42" spans="1:21" s="3700" customFormat="1" ht="30" customHeight="1">
      <c r="A42" s="3652">
        <v>40</v>
      </c>
      <c r="B42" s="3655" t="s">
        <v>4063</v>
      </c>
      <c r="C42" s="3665" t="s">
        <v>4064</v>
      </c>
      <c r="D42" s="3695">
        <v>84</v>
      </c>
      <c r="E42" s="3773">
        <v>12</v>
      </c>
      <c r="F42" s="3696">
        <v>3</v>
      </c>
      <c r="G42" s="3659">
        <v>367920</v>
      </c>
      <c r="H42" s="3659">
        <v>91980</v>
      </c>
      <c r="I42" s="3697">
        <f t="shared" si="1"/>
        <v>459900</v>
      </c>
      <c r="J42" s="3660">
        <f t="shared" si="0"/>
        <v>15</v>
      </c>
      <c r="K42" s="3653">
        <v>44349</v>
      </c>
      <c r="L42" s="3668">
        <v>44362</v>
      </c>
      <c r="M42" s="3663" t="s">
        <v>3812</v>
      </c>
      <c r="N42" s="3698" t="s">
        <v>4065</v>
      </c>
      <c r="O42" s="3699" t="s">
        <v>3976</v>
      </c>
      <c r="P42" s="3661">
        <v>44440</v>
      </c>
      <c r="Q42" s="3665" t="s">
        <v>4066</v>
      </c>
      <c r="R42" s="3703">
        <v>0.02</v>
      </c>
      <c r="S42" s="3652" t="s">
        <v>4016</v>
      </c>
      <c r="T42" s="3656" t="s">
        <v>3944</v>
      </c>
      <c r="U42" s="3656" t="s">
        <v>4017</v>
      </c>
    </row>
    <row r="43" spans="1:21" s="3700" customFormat="1" ht="30" customHeight="1">
      <c r="A43" s="3652">
        <v>41</v>
      </c>
      <c r="B43" s="3704" t="s">
        <v>4067</v>
      </c>
      <c r="C43" s="3701" t="s">
        <v>4068</v>
      </c>
      <c r="D43" s="3695">
        <v>486</v>
      </c>
      <c r="E43" s="3773"/>
      <c r="F43" s="3696">
        <v>5</v>
      </c>
      <c r="G43" s="3659"/>
      <c r="H43" s="3659">
        <v>886950</v>
      </c>
      <c r="I43" s="3697">
        <f t="shared" si="1"/>
        <v>886950</v>
      </c>
      <c r="J43" s="3660">
        <f t="shared" si="0"/>
        <v>5</v>
      </c>
      <c r="K43" s="3706">
        <v>44356</v>
      </c>
      <c r="L43" s="3668">
        <v>44378</v>
      </c>
      <c r="M43" s="3663" t="s">
        <v>3976</v>
      </c>
      <c r="N43" s="3698" t="s">
        <v>4065</v>
      </c>
      <c r="O43" s="3699" t="s">
        <v>4044</v>
      </c>
      <c r="P43" s="3661">
        <v>44470</v>
      </c>
      <c r="Q43" s="3655" t="s">
        <v>4069</v>
      </c>
      <c r="R43" s="3703">
        <v>0.1</v>
      </c>
      <c r="S43" s="3652" t="s">
        <v>4016</v>
      </c>
      <c r="T43" s="3656" t="s">
        <v>4017</v>
      </c>
      <c r="U43" s="3656" t="s">
        <v>4017</v>
      </c>
    </row>
    <row r="44" spans="1:21" s="3700" customFormat="1" ht="30" customHeight="1">
      <c r="A44" s="3652">
        <v>42</v>
      </c>
      <c r="B44" s="3655" t="s">
        <v>4070</v>
      </c>
      <c r="C44" s="3665" t="s">
        <v>4071</v>
      </c>
      <c r="D44" s="3695">
        <v>66</v>
      </c>
      <c r="E44" s="3773">
        <v>12</v>
      </c>
      <c r="F44" s="3696">
        <v>3</v>
      </c>
      <c r="G44" s="3659">
        <v>289080</v>
      </c>
      <c r="H44" s="3659">
        <v>72270</v>
      </c>
      <c r="I44" s="3697">
        <f t="shared" si="1"/>
        <v>361350</v>
      </c>
      <c r="J44" s="3660">
        <f t="shared" si="0"/>
        <v>15</v>
      </c>
      <c r="K44" s="3653">
        <v>44359</v>
      </c>
      <c r="L44" s="3668">
        <v>44378</v>
      </c>
      <c r="M44" s="3663" t="s">
        <v>3976</v>
      </c>
      <c r="N44" s="3698" t="s">
        <v>4072</v>
      </c>
      <c r="O44" s="3699" t="s">
        <v>3982</v>
      </c>
      <c r="P44" s="3661">
        <v>44470</v>
      </c>
      <c r="Q44" s="3665" t="s">
        <v>4073</v>
      </c>
      <c r="R44" s="3703">
        <v>3.2000000000000001E-2</v>
      </c>
      <c r="S44" s="3652" t="s">
        <v>4074</v>
      </c>
      <c r="T44" s="3656" t="s">
        <v>4075</v>
      </c>
      <c r="U44" s="3656" t="s">
        <v>4075</v>
      </c>
    </row>
    <row r="45" spans="1:21" s="3700" customFormat="1" ht="30" customHeight="1">
      <c r="A45" s="3652">
        <v>43</v>
      </c>
      <c r="B45" s="3704" t="s">
        <v>4076</v>
      </c>
      <c r="C45" s="3715" t="s">
        <v>4077</v>
      </c>
      <c r="D45" s="3695">
        <v>97</v>
      </c>
      <c r="E45" s="3773">
        <v>12</v>
      </c>
      <c r="F45" s="3696">
        <v>3</v>
      </c>
      <c r="G45" s="3659">
        <v>424860</v>
      </c>
      <c r="H45" s="3659">
        <v>106215</v>
      </c>
      <c r="I45" s="3697">
        <f t="shared" si="1"/>
        <v>531075</v>
      </c>
      <c r="J45" s="3660">
        <f t="shared" si="0"/>
        <v>15</v>
      </c>
      <c r="K45" s="3653">
        <v>44375</v>
      </c>
      <c r="L45" s="3668">
        <v>44409</v>
      </c>
      <c r="M45" s="3663" t="s">
        <v>3980</v>
      </c>
      <c r="N45" s="3698" t="s">
        <v>4065</v>
      </c>
      <c r="O45" s="3699" t="s">
        <v>4033</v>
      </c>
      <c r="P45" s="3661">
        <v>44531</v>
      </c>
      <c r="Q45" s="3665" t="s">
        <v>4078</v>
      </c>
      <c r="R45" s="3703">
        <v>0.03</v>
      </c>
      <c r="S45" s="3652" t="s">
        <v>4074</v>
      </c>
      <c r="T45" s="3656" t="s">
        <v>4075</v>
      </c>
      <c r="U45" s="3656" t="s">
        <v>4079</v>
      </c>
    </row>
    <row r="46" spans="1:21" s="3700" customFormat="1" ht="30" customHeight="1">
      <c r="A46" s="3652">
        <v>44</v>
      </c>
      <c r="B46" s="3655" t="s">
        <v>4080</v>
      </c>
      <c r="C46" s="3665" t="s">
        <v>4081</v>
      </c>
      <c r="D46" s="3695">
        <v>1538</v>
      </c>
      <c r="E46" s="3773">
        <v>2.6</v>
      </c>
      <c r="F46" s="3696">
        <v>2</v>
      </c>
      <c r="G46" s="3659">
        <v>1459562</v>
      </c>
      <c r="H46" s="3659">
        <v>1122740</v>
      </c>
      <c r="I46" s="3697">
        <f t="shared" si="1"/>
        <v>2582302</v>
      </c>
      <c r="J46" s="3660">
        <f t="shared" si="0"/>
        <v>4.5999999999999996</v>
      </c>
      <c r="K46" s="3653">
        <v>44375</v>
      </c>
      <c r="L46" s="3668">
        <v>44378</v>
      </c>
      <c r="M46" s="3663" t="s">
        <v>3976</v>
      </c>
      <c r="N46" s="3698" t="s">
        <v>4082</v>
      </c>
      <c r="O46" s="3699" t="s">
        <v>3982</v>
      </c>
      <c r="P46" s="3661"/>
      <c r="Q46" s="3665" t="s">
        <v>4083</v>
      </c>
      <c r="R46" s="3703">
        <v>0.03</v>
      </c>
      <c r="S46" s="3652" t="s">
        <v>4074</v>
      </c>
      <c r="T46" s="3656" t="s">
        <v>4075</v>
      </c>
      <c r="U46" s="3656" t="s">
        <v>4075</v>
      </c>
    </row>
    <row r="47" spans="1:21" s="3700" customFormat="1" ht="30" customHeight="1">
      <c r="A47" s="3652">
        <v>45</v>
      </c>
      <c r="B47" s="3655" t="s">
        <v>4084</v>
      </c>
      <c r="C47" s="3665" t="s">
        <v>4085</v>
      </c>
      <c r="D47" s="3695">
        <v>106</v>
      </c>
      <c r="E47" s="3773">
        <v>12</v>
      </c>
      <c r="F47" s="3696">
        <v>3</v>
      </c>
      <c r="G47" s="3659">
        <v>464280</v>
      </c>
      <c r="H47" s="3659">
        <v>116070</v>
      </c>
      <c r="I47" s="3697">
        <f t="shared" si="1"/>
        <v>580350</v>
      </c>
      <c r="J47" s="3660">
        <f t="shared" si="0"/>
        <v>15</v>
      </c>
      <c r="K47" s="3653">
        <v>44380</v>
      </c>
      <c r="L47" s="3668">
        <v>44409</v>
      </c>
      <c r="M47" s="3663" t="s">
        <v>3976</v>
      </c>
      <c r="N47" s="3698" t="s">
        <v>4065</v>
      </c>
      <c r="O47" s="3699" t="s">
        <v>3982</v>
      </c>
      <c r="P47" s="3661">
        <v>44562</v>
      </c>
      <c r="Q47" s="3665" t="s">
        <v>4086</v>
      </c>
      <c r="R47" s="3703">
        <v>2.5000000000000001E-2</v>
      </c>
      <c r="S47" s="3652" t="s">
        <v>4074</v>
      </c>
      <c r="T47" s="3656" t="s">
        <v>4075</v>
      </c>
      <c r="U47" s="3656" t="s">
        <v>4075</v>
      </c>
    </row>
    <row r="48" spans="1:21" s="3700" customFormat="1" ht="30" customHeight="1">
      <c r="A48" s="3652">
        <v>46</v>
      </c>
      <c r="B48" s="3655" t="s">
        <v>4087</v>
      </c>
      <c r="C48" s="3665" t="s">
        <v>4088</v>
      </c>
      <c r="D48" s="3695">
        <v>17</v>
      </c>
      <c r="E48" s="3773">
        <v>12</v>
      </c>
      <c r="F48" s="3696">
        <v>3</v>
      </c>
      <c r="G48" s="3659">
        <v>74460</v>
      </c>
      <c r="H48" s="3659">
        <v>18615</v>
      </c>
      <c r="I48" s="3697">
        <f t="shared" si="1"/>
        <v>93075</v>
      </c>
      <c r="J48" s="3660">
        <f t="shared" si="0"/>
        <v>15</v>
      </c>
      <c r="K48" s="3653">
        <v>44382</v>
      </c>
      <c r="L48" s="3668">
        <v>44387</v>
      </c>
      <c r="M48" s="3663" t="s">
        <v>3812</v>
      </c>
      <c r="N48" s="3698" t="s">
        <v>4089</v>
      </c>
      <c r="O48" s="3699" t="s">
        <v>4090</v>
      </c>
      <c r="P48" s="3661">
        <v>44440</v>
      </c>
      <c r="Q48" s="3655" t="s">
        <v>4091</v>
      </c>
      <c r="R48" s="3652" t="s">
        <v>4092</v>
      </c>
      <c r="S48" s="3652" t="s">
        <v>4074</v>
      </c>
      <c r="T48" s="3656" t="s">
        <v>4075</v>
      </c>
      <c r="U48" s="3656" t="s">
        <v>4079</v>
      </c>
    </row>
    <row r="49" spans="1:21" s="3700" customFormat="1" ht="30" customHeight="1">
      <c r="A49" s="3652">
        <v>47</v>
      </c>
      <c r="B49" s="3704" t="s">
        <v>4093</v>
      </c>
      <c r="C49" s="3665" t="s">
        <v>4094</v>
      </c>
      <c r="D49" s="3695">
        <v>1396</v>
      </c>
      <c r="E49" s="3773">
        <v>5</v>
      </c>
      <c r="F49" s="3696">
        <v>3</v>
      </c>
      <c r="G49" s="3659">
        <v>2547700</v>
      </c>
      <c r="H49" s="3659">
        <v>1528620</v>
      </c>
      <c r="I49" s="3697">
        <f t="shared" si="1"/>
        <v>4076320</v>
      </c>
      <c r="J49" s="3660">
        <f t="shared" si="0"/>
        <v>8</v>
      </c>
      <c r="K49" s="3653">
        <v>44382</v>
      </c>
      <c r="L49" s="3668">
        <v>44397</v>
      </c>
      <c r="M49" s="3663" t="s">
        <v>3976</v>
      </c>
      <c r="N49" s="3698" t="s">
        <v>4082</v>
      </c>
      <c r="O49" s="3699" t="s">
        <v>4040</v>
      </c>
      <c r="P49" s="3661">
        <v>44540</v>
      </c>
      <c r="Q49" s="3665" t="s">
        <v>4083</v>
      </c>
      <c r="R49" s="3666">
        <v>2.5000000000000001E-2</v>
      </c>
      <c r="S49" s="3652" t="s">
        <v>4074</v>
      </c>
      <c r="T49" s="3656" t="s">
        <v>4075</v>
      </c>
      <c r="U49" s="3656" t="s">
        <v>4079</v>
      </c>
    </row>
    <row r="50" spans="1:21" s="3700" customFormat="1" ht="30" customHeight="1">
      <c r="A50" s="3652">
        <v>48</v>
      </c>
      <c r="B50" s="3704" t="s">
        <v>4093</v>
      </c>
      <c r="C50" s="3665" t="s">
        <v>4095</v>
      </c>
      <c r="D50" s="3695">
        <v>0</v>
      </c>
      <c r="E50" s="3773"/>
      <c r="F50" s="3696"/>
      <c r="G50" s="3659">
        <v>60000</v>
      </c>
      <c r="H50" s="3659">
        <v>0</v>
      </c>
      <c r="I50" s="3697">
        <f t="shared" si="1"/>
        <v>60000</v>
      </c>
      <c r="J50" s="3660">
        <f t="shared" si="0"/>
        <v>0</v>
      </c>
      <c r="K50" s="3653">
        <v>44382</v>
      </c>
      <c r="L50" s="3668"/>
      <c r="M50" s="3663">
        <v>12</v>
      </c>
      <c r="N50" s="3698" t="s">
        <v>4082</v>
      </c>
      <c r="O50" s="3699" t="s">
        <v>4040</v>
      </c>
      <c r="P50" s="3661">
        <v>44540</v>
      </c>
      <c r="Q50" s="3655" t="s">
        <v>4091</v>
      </c>
      <c r="R50" s="3652" t="s">
        <v>4092</v>
      </c>
      <c r="S50" s="3652" t="s">
        <v>4074</v>
      </c>
      <c r="T50" s="3656" t="s">
        <v>4075</v>
      </c>
      <c r="U50" s="3656" t="s">
        <v>4079</v>
      </c>
    </row>
    <row r="51" spans="1:21" s="3700" customFormat="1" ht="30" customHeight="1">
      <c r="A51" s="3652">
        <v>49</v>
      </c>
      <c r="B51" s="3655" t="s">
        <v>4096</v>
      </c>
      <c r="C51" s="3665" t="s">
        <v>4097</v>
      </c>
      <c r="D51" s="3695">
        <v>178</v>
      </c>
      <c r="E51" s="3773"/>
      <c r="F51" s="3696">
        <v>3</v>
      </c>
      <c r="G51" s="3659"/>
      <c r="H51" s="3659">
        <v>192240</v>
      </c>
      <c r="I51" s="3697">
        <f t="shared" si="1"/>
        <v>192240</v>
      </c>
      <c r="J51" s="3660">
        <f t="shared" si="0"/>
        <v>3</v>
      </c>
      <c r="K51" s="3653">
        <v>44384</v>
      </c>
      <c r="L51" s="3668">
        <v>44501</v>
      </c>
      <c r="M51" s="3663"/>
      <c r="N51" s="3698" t="s">
        <v>4098</v>
      </c>
      <c r="O51" s="3699" t="s">
        <v>4099</v>
      </c>
      <c r="P51" s="3661"/>
      <c r="Q51" s="3716" t="s">
        <v>4100</v>
      </c>
      <c r="R51" s="3666"/>
      <c r="S51" s="3652" t="s">
        <v>4016</v>
      </c>
      <c r="T51" s="3656" t="s">
        <v>3944</v>
      </c>
      <c r="U51" s="3656" t="s">
        <v>3944</v>
      </c>
    </row>
    <row r="52" spans="1:21" s="3700" customFormat="1" ht="30" customHeight="1">
      <c r="A52" s="3652">
        <v>50</v>
      </c>
      <c r="B52" s="3704" t="s">
        <v>4101</v>
      </c>
      <c r="C52" s="3701" t="s">
        <v>4102</v>
      </c>
      <c r="D52" s="3695">
        <v>265</v>
      </c>
      <c r="E52" s="3775">
        <v>7</v>
      </c>
      <c r="F52" s="3702">
        <v>3</v>
      </c>
      <c r="G52" s="3702">
        <v>677075</v>
      </c>
      <c r="H52" s="3702">
        <v>290175</v>
      </c>
      <c r="I52" s="3697">
        <f t="shared" si="1"/>
        <v>967250</v>
      </c>
      <c r="J52" s="3660">
        <f t="shared" si="0"/>
        <v>10</v>
      </c>
      <c r="K52" s="3653">
        <v>44383</v>
      </c>
      <c r="L52" s="3668">
        <v>44409</v>
      </c>
      <c r="M52" s="3663" t="s">
        <v>3976</v>
      </c>
      <c r="N52" s="3698" t="s">
        <v>4065</v>
      </c>
      <c r="O52" s="3699" t="s">
        <v>4103</v>
      </c>
      <c r="P52" s="3661">
        <v>44593</v>
      </c>
      <c r="Q52" s="3665" t="s">
        <v>4104</v>
      </c>
      <c r="R52" s="3666">
        <v>0.05</v>
      </c>
      <c r="S52" s="3652" t="s">
        <v>4016</v>
      </c>
      <c r="T52" s="3656" t="s">
        <v>3944</v>
      </c>
      <c r="U52" s="3656" t="s">
        <v>4017</v>
      </c>
    </row>
    <row r="53" spans="1:21" s="3700" customFormat="1" ht="30" customHeight="1">
      <c r="A53" s="3652">
        <v>51</v>
      </c>
      <c r="B53" s="3704" t="s">
        <v>4105</v>
      </c>
      <c r="C53" s="3665" t="s">
        <v>4106</v>
      </c>
      <c r="D53" s="3695">
        <v>230</v>
      </c>
      <c r="E53" s="3773">
        <v>5</v>
      </c>
      <c r="F53" s="3696">
        <v>3</v>
      </c>
      <c r="G53" s="3702">
        <v>419750</v>
      </c>
      <c r="H53" s="3702">
        <v>251850</v>
      </c>
      <c r="I53" s="3697">
        <f t="shared" si="1"/>
        <v>671600</v>
      </c>
      <c r="J53" s="3660">
        <f t="shared" si="0"/>
        <v>8</v>
      </c>
      <c r="K53" s="3653">
        <v>44391</v>
      </c>
      <c r="L53" s="3668">
        <v>44409</v>
      </c>
      <c r="M53" s="3663" t="s">
        <v>3976</v>
      </c>
      <c r="N53" s="3698" t="s">
        <v>4107</v>
      </c>
      <c r="O53" s="3699" t="s">
        <v>4055</v>
      </c>
      <c r="P53" s="3661">
        <v>44593</v>
      </c>
      <c r="Q53" s="3665" t="s">
        <v>4022</v>
      </c>
      <c r="R53" s="3666">
        <v>0.05</v>
      </c>
      <c r="S53" s="3652" t="s">
        <v>4016</v>
      </c>
      <c r="T53" s="3656" t="s">
        <v>3944</v>
      </c>
      <c r="U53" s="3656" t="s">
        <v>4017</v>
      </c>
    </row>
    <row r="54" spans="1:21" s="3700" customFormat="1" ht="30" customHeight="1">
      <c r="A54" s="3652">
        <v>52</v>
      </c>
      <c r="B54" s="3704" t="s">
        <v>4105</v>
      </c>
      <c r="C54" s="3665" t="s">
        <v>4108</v>
      </c>
      <c r="D54" s="3695"/>
      <c r="E54" s="3773"/>
      <c r="F54" s="3696"/>
      <c r="G54" s="3659">
        <v>30000</v>
      </c>
      <c r="H54" s="3659">
        <v>0</v>
      </c>
      <c r="I54" s="3697">
        <f t="shared" si="1"/>
        <v>30000</v>
      </c>
      <c r="J54" s="3660">
        <f t="shared" si="0"/>
        <v>0</v>
      </c>
      <c r="K54" s="3653">
        <v>44391</v>
      </c>
      <c r="L54" s="3668">
        <v>44409</v>
      </c>
      <c r="M54" s="3663" t="s">
        <v>3976</v>
      </c>
      <c r="N54" s="3698" t="s">
        <v>4107</v>
      </c>
      <c r="O54" s="3699" t="s">
        <v>4025</v>
      </c>
      <c r="P54" s="3661">
        <v>44783</v>
      </c>
      <c r="Q54" s="3655" t="s">
        <v>4109</v>
      </c>
      <c r="R54" s="3652" t="s">
        <v>4110</v>
      </c>
      <c r="S54" s="3652" t="s">
        <v>4016</v>
      </c>
      <c r="T54" s="3656" t="s">
        <v>3944</v>
      </c>
      <c r="U54" s="3656" t="s">
        <v>4017</v>
      </c>
    </row>
    <row r="55" spans="1:21" s="3700" customFormat="1" ht="30" customHeight="1">
      <c r="A55" s="3652">
        <v>53</v>
      </c>
      <c r="B55" s="3704" t="s">
        <v>4111</v>
      </c>
      <c r="C55" s="3659" t="s">
        <v>4112</v>
      </c>
      <c r="D55" s="3695">
        <v>16</v>
      </c>
      <c r="E55" s="3773">
        <v>17</v>
      </c>
      <c r="F55" s="3696">
        <v>3</v>
      </c>
      <c r="G55" s="3659">
        <v>99280</v>
      </c>
      <c r="H55" s="3659">
        <v>17520</v>
      </c>
      <c r="I55" s="3697">
        <f t="shared" si="1"/>
        <v>116800</v>
      </c>
      <c r="J55" s="3660">
        <f t="shared" si="0"/>
        <v>20</v>
      </c>
      <c r="K55" s="3653">
        <v>44393</v>
      </c>
      <c r="L55" s="3668">
        <v>44440</v>
      </c>
      <c r="M55" s="3663" t="s">
        <v>3976</v>
      </c>
      <c r="N55" s="3698" t="s">
        <v>4020</v>
      </c>
      <c r="O55" s="3699" t="s">
        <v>3976</v>
      </c>
      <c r="P55" s="3661">
        <v>44501</v>
      </c>
      <c r="Q55" s="3655" t="s">
        <v>4109</v>
      </c>
      <c r="R55" s="3652" t="s">
        <v>4110</v>
      </c>
      <c r="S55" s="3652" t="s">
        <v>4016</v>
      </c>
      <c r="T55" s="3656" t="s">
        <v>3944</v>
      </c>
      <c r="U55" s="3656" t="s">
        <v>4017</v>
      </c>
    </row>
    <row r="56" spans="1:21" s="3700" customFormat="1" ht="30" hidden="1" customHeight="1">
      <c r="A56" s="3652">
        <v>54</v>
      </c>
      <c r="B56" s="3704" t="s">
        <v>4111</v>
      </c>
      <c r="C56" s="3659" t="s">
        <v>4113</v>
      </c>
      <c r="D56" s="3695">
        <v>10</v>
      </c>
      <c r="E56" s="3773"/>
      <c r="F56" s="3696">
        <v>5</v>
      </c>
      <c r="G56" s="3659"/>
      <c r="H56" s="3702">
        <v>18250</v>
      </c>
      <c r="I56" s="3697">
        <f t="shared" si="1"/>
        <v>18250</v>
      </c>
      <c r="J56" s="3660">
        <f t="shared" si="0"/>
        <v>5</v>
      </c>
      <c r="K56" s="3653">
        <v>44393</v>
      </c>
      <c r="L56" s="3668">
        <v>44440</v>
      </c>
      <c r="M56" s="3663" t="s">
        <v>3976</v>
      </c>
      <c r="N56" s="3698" t="s">
        <v>4020</v>
      </c>
      <c r="O56" s="3699" t="s">
        <v>3976</v>
      </c>
      <c r="P56" s="3661">
        <v>44501</v>
      </c>
      <c r="Q56" s="3655" t="s">
        <v>4109</v>
      </c>
      <c r="R56" s="3652" t="s">
        <v>4110</v>
      </c>
      <c r="S56" s="3652" t="s">
        <v>4016</v>
      </c>
      <c r="T56" s="3656" t="s">
        <v>4017</v>
      </c>
      <c r="U56" s="3656" t="s">
        <v>4017</v>
      </c>
    </row>
    <row r="57" spans="1:21" s="3700" customFormat="1" ht="30" customHeight="1">
      <c r="A57" s="3652">
        <v>55</v>
      </c>
      <c r="B57" s="3704" t="s">
        <v>4114</v>
      </c>
      <c r="C57" s="3659" t="s">
        <v>4115</v>
      </c>
      <c r="D57" s="3695">
        <v>42</v>
      </c>
      <c r="E57" s="3773">
        <v>12</v>
      </c>
      <c r="F57" s="3696">
        <v>3</v>
      </c>
      <c r="G57" s="3659">
        <v>183960</v>
      </c>
      <c r="H57" s="3659">
        <v>45990</v>
      </c>
      <c r="I57" s="3697">
        <f t="shared" si="1"/>
        <v>229950</v>
      </c>
      <c r="J57" s="3660">
        <f t="shared" si="0"/>
        <v>15</v>
      </c>
      <c r="K57" s="3653">
        <v>44400</v>
      </c>
      <c r="L57" s="3668">
        <v>44409</v>
      </c>
      <c r="M57" s="3663" t="s">
        <v>3976</v>
      </c>
      <c r="N57" s="3698" t="s">
        <v>4072</v>
      </c>
      <c r="O57" s="3699" t="s">
        <v>3982</v>
      </c>
      <c r="P57" s="3661">
        <v>44562</v>
      </c>
      <c r="Q57" s="3665" t="s">
        <v>4116</v>
      </c>
      <c r="R57" s="3666">
        <v>0.06</v>
      </c>
      <c r="S57" s="3652" t="s">
        <v>4016</v>
      </c>
      <c r="T57" s="3656" t="s">
        <v>3944</v>
      </c>
      <c r="U57" s="3656" t="s">
        <v>4017</v>
      </c>
    </row>
    <row r="58" spans="1:21" s="3700" customFormat="1" ht="30" hidden="1" customHeight="1">
      <c r="A58" s="3652">
        <v>56</v>
      </c>
      <c r="B58" s="3655" t="s">
        <v>4117</v>
      </c>
      <c r="C58" s="3659" t="s">
        <v>4118</v>
      </c>
      <c r="D58" s="3695">
        <v>114</v>
      </c>
      <c r="E58" s="3773">
        <v>9</v>
      </c>
      <c r="F58" s="3696">
        <v>3</v>
      </c>
      <c r="G58" s="3659">
        <v>374490</v>
      </c>
      <c r="H58" s="3659">
        <v>124830</v>
      </c>
      <c r="I58" s="3697">
        <f t="shared" si="1"/>
        <v>499320</v>
      </c>
      <c r="J58" s="3660">
        <f t="shared" si="0"/>
        <v>12</v>
      </c>
      <c r="K58" s="3653">
        <v>44373</v>
      </c>
      <c r="L58" s="3668">
        <v>44409</v>
      </c>
      <c r="M58" s="3663" t="s">
        <v>3980</v>
      </c>
      <c r="N58" s="3698" t="s">
        <v>4119</v>
      </c>
      <c r="O58" s="3699" t="s">
        <v>4044</v>
      </c>
      <c r="P58" s="3661">
        <v>44593</v>
      </c>
      <c r="Q58" s="3665" t="s">
        <v>4120</v>
      </c>
      <c r="R58" s="3666">
        <v>0.04</v>
      </c>
      <c r="S58" s="3652" t="s">
        <v>4016</v>
      </c>
      <c r="T58" s="3656" t="s">
        <v>3944</v>
      </c>
      <c r="U58" s="3656" t="s">
        <v>3944</v>
      </c>
    </row>
    <row r="59" spans="1:21" s="3700" customFormat="1" ht="30" hidden="1" customHeight="1">
      <c r="A59" s="3652">
        <v>57</v>
      </c>
      <c r="B59" s="3704" t="s">
        <v>4121</v>
      </c>
      <c r="C59" s="3701" t="s">
        <v>4122</v>
      </c>
      <c r="D59" s="3695">
        <v>1436</v>
      </c>
      <c r="E59" s="3773"/>
      <c r="F59" s="3696">
        <v>4.5</v>
      </c>
      <c r="G59" s="3659"/>
      <c r="H59" s="3659">
        <v>2358630</v>
      </c>
      <c r="I59" s="3697">
        <f t="shared" si="1"/>
        <v>2358630</v>
      </c>
      <c r="J59" s="3660">
        <f t="shared" si="0"/>
        <v>4.5</v>
      </c>
      <c r="K59" s="3706">
        <v>44400</v>
      </c>
      <c r="L59" s="3654">
        <v>44440</v>
      </c>
      <c r="M59" s="3663" t="s">
        <v>3976</v>
      </c>
      <c r="N59" s="3698" t="s">
        <v>4082</v>
      </c>
      <c r="O59" s="3699" t="s">
        <v>4123</v>
      </c>
      <c r="P59" s="3707">
        <v>44652</v>
      </c>
      <c r="Q59" s="3717" t="s">
        <v>4124</v>
      </c>
      <c r="R59" s="3666">
        <v>5.5E-2</v>
      </c>
      <c r="S59" s="3652" t="s">
        <v>4074</v>
      </c>
      <c r="T59" s="3656" t="s">
        <v>4079</v>
      </c>
      <c r="U59" s="3656" t="s">
        <v>4079</v>
      </c>
    </row>
    <row r="60" spans="1:21" s="3700" customFormat="1" ht="30" customHeight="1">
      <c r="A60" s="3652">
        <v>58</v>
      </c>
      <c r="B60" s="3704" t="s">
        <v>4125</v>
      </c>
      <c r="C60" s="3659" t="s">
        <v>4126</v>
      </c>
      <c r="D60" s="3695">
        <v>45</v>
      </c>
      <c r="E60" s="3773">
        <v>20</v>
      </c>
      <c r="F60" s="3696">
        <v>3</v>
      </c>
      <c r="G60" s="3659">
        <v>328500</v>
      </c>
      <c r="H60" s="3659">
        <v>49275</v>
      </c>
      <c r="I60" s="3697">
        <f t="shared" si="1"/>
        <v>377775</v>
      </c>
      <c r="J60" s="3660">
        <f t="shared" si="0"/>
        <v>23</v>
      </c>
      <c r="K60" s="3653">
        <v>44407</v>
      </c>
      <c r="L60" s="3668">
        <v>44409</v>
      </c>
      <c r="M60" s="3663" t="s">
        <v>3976</v>
      </c>
      <c r="N60" s="3698" t="s">
        <v>4089</v>
      </c>
      <c r="O60" s="3699" t="s">
        <v>4044</v>
      </c>
      <c r="P60" s="3661">
        <v>44501</v>
      </c>
      <c r="Q60" s="3655" t="s">
        <v>4091</v>
      </c>
      <c r="R60" s="3652" t="s">
        <v>4092</v>
      </c>
      <c r="S60" s="3652" t="s">
        <v>4074</v>
      </c>
      <c r="T60" s="3656" t="s">
        <v>4075</v>
      </c>
      <c r="U60" s="3656" t="s">
        <v>4075</v>
      </c>
    </row>
    <row r="61" spans="1:21" s="3700" customFormat="1" ht="30" customHeight="1">
      <c r="A61" s="3652">
        <v>59</v>
      </c>
      <c r="B61" s="3704" t="s">
        <v>4127</v>
      </c>
      <c r="C61" s="3659" t="s">
        <v>4128</v>
      </c>
      <c r="D61" s="3695">
        <v>49</v>
      </c>
      <c r="E61" s="3773">
        <v>20.48</v>
      </c>
      <c r="F61" s="3696">
        <v>3</v>
      </c>
      <c r="G61" s="3659">
        <v>366345</v>
      </c>
      <c r="H61" s="3659">
        <v>53655</v>
      </c>
      <c r="I61" s="3697">
        <f t="shared" si="1"/>
        <v>420000</v>
      </c>
      <c r="J61" s="3660">
        <f t="shared" si="0"/>
        <v>23.48</v>
      </c>
      <c r="K61" s="3653">
        <v>44414</v>
      </c>
      <c r="L61" s="3668">
        <v>44440</v>
      </c>
      <c r="M61" s="3663" t="s">
        <v>3976</v>
      </c>
      <c r="N61" s="3698" t="s">
        <v>4089</v>
      </c>
      <c r="O61" s="3699" t="s">
        <v>4033</v>
      </c>
      <c r="P61" s="3661">
        <v>44562</v>
      </c>
      <c r="Q61" s="3655" t="s">
        <v>4091</v>
      </c>
      <c r="R61" s="3652" t="s">
        <v>4092</v>
      </c>
      <c r="S61" s="3652" t="s">
        <v>4074</v>
      </c>
      <c r="T61" s="3656" t="s">
        <v>4075</v>
      </c>
      <c r="U61" s="3656" t="s">
        <v>4079</v>
      </c>
    </row>
    <row r="62" spans="1:21" s="3700" customFormat="1" ht="30" hidden="1" customHeight="1">
      <c r="A62" s="3652">
        <v>60</v>
      </c>
      <c r="B62" s="3704" t="s">
        <v>4129</v>
      </c>
      <c r="C62" s="3701" t="s">
        <v>4130</v>
      </c>
      <c r="D62" s="3695">
        <v>192</v>
      </c>
      <c r="E62" s="3773"/>
      <c r="F62" s="3696">
        <v>5</v>
      </c>
      <c r="G62" s="3659"/>
      <c r="H62" s="3659">
        <v>350400</v>
      </c>
      <c r="I62" s="3697">
        <f t="shared" si="1"/>
        <v>350400</v>
      </c>
      <c r="J62" s="3660">
        <f t="shared" si="0"/>
        <v>5</v>
      </c>
      <c r="K62" s="3653">
        <v>44419</v>
      </c>
      <c r="L62" s="3668">
        <v>44418</v>
      </c>
      <c r="M62" s="3663" t="s">
        <v>3812</v>
      </c>
      <c r="N62" s="3698" t="s">
        <v>4072</v>
      </c>
      <c r="O62" s="3699" t="s">
        <v>4131</v>
      </c>
      <c r="P62" s="3661">
        <v>44479</v>
      </c>
      <c r="Q62" s="3655" t="s">
        <v>4132</v>
      </c>
      <c r="R62" s="3666">
        <v>0.1</v>
      </c>
      <c r="S62" s="3652" t="s">
        <v>4074</v>
      </c>
      <c r="T62" s="3656" t="s">
        <v>4079</v>
      </c>
      <c r="U62" s="3656" t="s">
        <v>4079</v>
      </c>
    </row>
    <row r="63" spans="1:21" s="3700" customFormat="1" ht="30" customHeight="1">
      <c r="A63" s="3652">
        <v>61</v>
      </c>
      <c r="B63" s="3704" t="s">
        <v>4133</v>
      </c>
      <c r="C63" s="3665" t="s">
        <v>4134</v>
      </c>
      <c r="D63" s="3695">
        <v>80</v>
      </c>
      <c r="E63" s="3773">
        <v>11</v>
      </c>
      <c r="F63" s="3696">
        <v>3</v>
      </c>
      <c r="G63" s="3659">
        <v>321200</v>
      </c>
      <c r="H63" s="3659">
        <v>87600</v>
      </c>
      <c r="I63" s="3697">
        <f t="shared" si="1"/>
        <v>408800</v>
      </c>
      <c r="J63" s="3660">
        <f t="shared" si="0"/>
        <v>14</v>
      </c>
      <c r="K63" s="3653">
        <v>44419</v>
      </c>
      <c r="L63" s="3668">
        <v>44423</v>
      </c>
      <c r="M63" s="3663" t="s">
        <v>3976</v>
      </c>
      <c r="N63" s="3698" t="s">
        <v>4065</v>
      </c>
      <c r="O63" s="3699" t="s">
        <v>4040</v>
      </c>
      <c r="P63" s="3661">
        <v>44562</v>
      </c>
      <c r="Q63" s="3665" t="s">
        <v>4135</v>
      </c>
      <c r="R63" s="3666">
        <v>3.5000000000000003E-2</v>
      </c>
      <c r="S63" s="3652" t="s">
        <v>4074</v>
      </c>
      <c r="T63" s="3656" t="s">
        <v>4075</v>
      </c>
      <c r="U63" s="3656" t="s">
        <v>4079</v>
      </c>
    </row>
    <row r="64" spans="1:21" s="3721" customFormat="1" ht="33.75" hidden="1" customHeight="1">
      <c r="A64" s="3652">
        <v>62</v>
      </c>
      <c r="B64" s="3704" t="s">
        <v>4136</v>
      </c>
      <c r="C64" s="3665" t="s">
        <v>4137</v>
      </c>
      <c r="D64" s="3695">
        <v>512</v>
      </c>
      <c r="E64" s="3773">
        <v>9</v>
      </c>
      <c r="F64" s="3659">
        <v>3</v>
      </c>
      <c r="G64" s="3659">
        <v>1681920</v>
      </c>
      <c r="H64" s="3659">
        <v>560640</v>
      </c>
      <c r="I64" s="3659">
        <f t="shared" si="1"/>
        <v>2242560</v>
      </c>
      <c r="J64" s="3659">
        <f>F64+E64</f>
        <v>12</v>
      </c>
      <c r="K64" s="3718">
        <v>44424</v>
      </c>
      <c r="L64" s="3718">
        <v>44440</v>
      </c>
      <c r="M64" s="3663" t="s">
        <v>3976</v>
      </c>
      <c r="N64" s="3698" t="s">
        <v>4138</v>
      </c>
      <c r="O64" s="3719" t="s">
        <v>3982</v>
      </c>
      <c r="P64" s="3688">
        <v>44696</v>
      </c>
      <c r="Q64" s="3665" t="s">
        <v>4083</v>
      </c>
      <c r="R64" s="3666">
        <v>2.5000000000000001E-2</v>
      </c>
      <c r="S64" s="3720" t="s">
        <v>4074</v>
      </c>
      <c r="T64" s="3656" t="s">
        <v>4075</v>
      </c>
      <c r="U64" s="3656" t="s">
        <v>4075</v>
      </c>
    </row>
    <row r="65" spans="1:21" s="3721" customFormat="1" ht="33.75" hidden="1" customHeight="1">
      <c r="A65" s="3652">
        <v>63</v>
      </c>
      <c r="B65" s="3704" t="s">
        <v>4139</v>
      </c>
      <c r="C65" s="3665" t="s">
        <v>4140</v>
      </c>
      <c r="D65" s="3722">
        <v>689</v>
      </c>
      <c r="E65" s="3773">
        <v>4</v>
      </c>
      <c r="F65" s="3659">
        <v>3</v>
      </c>
      <c r="G65" s="3659">
        <v>1005940</v>
      </c>
      <c r="H65" s="3659">
        <v>754455</v>
      </c>
      <c r="I65" s="3659">
        <f t="shared" si="1"/>
        <v>1760395</v>
      </c>
      <c r="J65" s="3659">
        <f t="shared" ref="J65:J72" si="2">F65+E65</f>
        <v>7</v>
      </c>
      <c r="K65" s="3718">
        <v>44434</v>
      </c>
      <c r="L65" s="3718">
        <v>44440</v>
      </c>
      <c r="M65" s="3663" t="s">
        <v>3976</v>
      </c>
      <c r="N65" s="3698" t="s">
        <v>4065</v>
      </c>
      <c r="O65" s="3719" t="s">
        <v>4055</v>
      </c>
      <c r="P65" s="3688">
        <v>44621</v>
      </c>
      <c r="Q65" s="3665" t="s">
        <v>4141</v>
      </c>
      <c r="R65" s="3666">
        <v>3.5000000000000003E-2</v>
      </c>
      <c r="S65" s="3720" t="s">
        <v>4016</v>
      </c>
      <c r="T65" s="3656" t="s">
        <v>3944</v>
      </c>
      <c r="U65" s="3656" t="s">
        <v>4017</v>
      </c>
    </row>
    <row r="66" spans="1:21" s="3721" customFormat="1" ht="33.75" hidden="1" customHeight="1">
      <c r="A66" s="3652">
        <v>64</v>
      </c>
      <c r="B66" s="3655" t="s">
        <v>4142</v>
      </c>
      <c r="C66" s="3665" t="s">
        <v>4143</v>
      </c>
      <c r="D66" s="3722">
        <v>152</v>
      </c>
      <c r="E66" s="3773">
        <v>5.5</v>
      </c>
      <c r="F66" s="3659">
        <v>3</v>
      </c>
      <c r="G66" s="3659">
        <v>305140</v>
      </c>
      <c r="H66" s="3659">
        <v>166440</v>
      </c>
      <c r="I66" s="3659">
        <f t="shared" si="1"/>
        <v>471580</v>
      </c>
      <c r="J66" s="3659">
        <f t="shared" si="2"/>
        <v>8.5</v>
      </c>
      <c r="K66" s="3718">
        <v>44434</v>
      </c>
      <c r="L66" s="3718">
        <v>44440</v>
      </c>
      <c r="M66" s="3663" t="s">
        <v>3976</v>
      </c>
      <c r="N66" s="3698" t="s">
        <v>4072</v>
      </c>
      <c r="O66" s="3719" t="s">
        <v>4044</v>
      </c>
      <c r="P66" s="3688">
        <v>44562</v>
      </c>
      <c r="Q66" s="3717" t="s">
        <v>4144</v>
      </c>
      <c r="R66" s="3666">
        <v>0.06</v>
      </c>
      <c r="S66" s="3720" t="s">
        <v>4016</v>
      </c>
      <c r="T66" s="3656" t="s">
        <v>3944</v>
      </c>
      <c r="U66" s="3656" t="s">
        <v>3944</v>
      </c>
    </row>
    <row r="67" spans="1:21" s="3721" customFormat="1" ht="33.75" hidden="1" customHeight="1">
      <c r="A67" s="3652">
        <v>65</v>
      </c>
      <c r="B67" s="3704" t="s">
        <v>4145</v>
      </c>
      <c r="C67" s="3665" t="s">
        <v>4146</v>
      </c>
      <c r="D67" s="3695">
        <v>403</v>
      </c>
      <c r="E67" s="3773">
        <v>4.5</v>
      </c>
      <c r="F67" s="3659">
        <v>3</v>
      </c>
      <c r="G67" s="3659">
        <v>661927.5</v>
      </c>
      <c r="H67" s="3659">
        <v>441285</v>
      </c>
      <c r="I67" s="3659">
        <f t="shared" si="1"/>
        <v>1103212.5</v>
      </c>
      <c r="J67" s="3659">
        <f t="shared" si="2"/>
        <v>7.5</v>
      </c>
      <c r="K67" s="3718">
        <v>44439</v>
      </c>
      <c r="L67" s="3718">
        <v>44449</v>
      </c>
      <c r="M67" s="3663" t="s">
        <v>3976</v>
      </c>
      <c r="N67" s="3698" t="s">
        <v>4147</v>
      </c>
      <c r="O67" s="3719" t="s">
        <v>4055</v>
      </c>
      <c r="P67" s="3688">
        <v>44630</v>
      </c>
      <c r="Q67" s="3717" t="s">
        <v>4148</v>
      </c>
      <c r="R67" s="3666">
        <v>0.04</v>
      </c>
      <c r="S67" s="3720" t="s">
        <v>4149</v>
      </c>
      <c r="T67" s="3656" t="s">
        <v>4150</v>
      </c>
      <c r="U67" s="3656" t="s">
        <v>4151</v>
      </c>
    </row>
    <row r="68" spans="1:21" s="3721" customFormat="1" ht="33.75" hidden="1" customHeight="1">
      <c r="A68" s="3652">
        <v>66</v>
      </c>
      <c r="B68" s="3704" t="s">
        <v>4152</v>
      </c>
      <c r="C68" s="3665" t="s">
        <v>4153</v>
      </c>
      <c r="D68" s="3695">
        <v>170</v>
      </c>
      <c r="E68" s="3773">
        <v>7</v>
      </c>
      <c r="F68" s="3659">
        <v>3</v>
      </c>
      <c r="G68" s="3659">
        <v>434350</v>
      </c>
      <c r="H68" s="3659">
        <v>186150</v>
      </c>
      <c r="I68" s="3659">
        <f t="shared" si="1"/>
        <v>620500</v>
      </c>
      <c r="J68" s="3659">
        <f t="shared" si="2"/>
        <v>10</v>
      </c>
      <c r="K68" s="3718">
        <v>44449</v>
      </c>
      <c r="L68" s="3654">
        <v>44501</v>
      </c>
      <c r="M68" s="3663" t="s">
        <v>3976</v>
      </c>
      <c r="N68" s="3698" t="s">
        <v>4147</v>
      </c>
      <c r="O68" s="3719" t="s">
        <v>4154</v>
      </c>
      <c r="P68" s="3688">
        <v>44593</v>
      </c>
      <c r="Q68" s="3717" t="s">
        <v>4155</v>
      </c>
      <c r="R68" s="3666">
        <v>7.0000000000000007E-2</v>
      </c>
      <c r="S68" s="3720" t="s">
        <v>4149</v>
      </c>
      <c r="T68" s="3656" t="s">
        <v>4150</v>
      </c>
      <c r="U68" s="3656" t="s">
        <v>4151</v>
      </c>
    </row>
    <row r="69" spans="1:21" s="3721" customFormat="1" ht="33.75" hidden="1" customHeight="1">
      <c r="A69" s="3652">
        <v>67</v>
      </c>
      <c r="B69" s="3657" t="s">
        <v>4156</v>
      </c>
      <c r="C69" s="3665" t="s">
        <v>4157</v>
      </c>
      <c r="D69" s="3695">
        <v>286</v>
      </c>
      <c r="E69" s="3773"/>
      <c r="F69" s="3659">
        <v>9.5</v>
      </c>
      <c r="G69" s="3659">
        <v>0</v>
      </c>
      <c r="H69" s="3659">
        <v>991705</v>
      </c>
      <c r="I69" s="3659">
        <f t="shared" si="1"/>
        <v>991705</v>
      </c>
      <c r="J69" s="3659">
        <f t="shared" si="2"/>
        <v>9.5</v>
      </c>
      <c r="K69" s="3718">
        <v>44455</v>
      </c>
      <c r="L69" s="3718">
        <v>44459</v>
      </c>
      <c r="M69" s="3663" t="s">
        <v>3976</v>
      </c>
      <c r="N69" s="3698" t="s">
        <v>4147</v>
      </c>
      <c r="O69" s="3719" t="s">
        <v>4158</v>
      </c>
      <c r="P69" s="3688">
        <v>44531</v>
      </c>
      <c r="Q69" s="3717" t="s">
        <v>4159</v>
      </c>
      <c r="R69" s="3666">
        <v>0.05</v>
      </c>
      <c r="S69" s="3720" t="s">
        <v>4149</v>
      </c>
      <c r="T69" s="3723" t="s">
        <v>4151</v>
      </c>
      <c r="U69" s="3723" t="s">
        <v>4151</v>
      </c>
    </row>
    <row r="70" spans="1:21" s="3721" customFormat="1" ht="33.75" customHeight="1">
      <c r="A70" s="3652">
        <v>68</v>
      </c>
      <c r="B70" s="3657" t="s">
        <v>4160</v>
      </c>
      <c r="C70" s="3665" t="s">
        <v>4161</v>
      </c>
      <c r="D70" s="3695">
        <v>153</v>
      </c>
      <c r="E70" s="3773">
        <v>10</v>
      </c>
      <c r="F70" s="3659">
        <v>3</v>
      </c>
      <c r="G70" s="3659">
        <v>558450</v>
      </c>
      <c r="H70" s="3659">
        <v>167535</v>
      </c>
      <c r="I70" s="3659">
        <f t="shared" si="1"/>
        <v>725985</v>
      </c>
      <c r="J70" s="3659">
        <f t="shared" si="2"/>
        <v>13</v>
      </c>
      <c r="K70" s="3718">
        <v>44452</v>
      </c>
      <c r="L70" s="3654">
        <v>44470</v>
      </c>
      <c r="M70" s="3663" t="s">
        <v>3976</v>
      </c>
      <c r="N70" s="3698" t="s">
        <v>4065</v>
      </c>
      <c r="O70" s="3719" t="s">
        <v>3976</v>
      </c>
      <c r="P70" s="3688">
        <v>44531</v>
      </c>
      <c r="Q70" s="3717" t="s">
        <v>4162</v>
      </c>
      <c r="R70" s="3666">
        <v>3.3000000000000002E-2</v>
      </c>
      <c r="S70" s="3720" t="s">
        <v>4149</v>
      </c>
      <c r="T70" s="3656" t="s">
        <v>4150</v>
      </c>
      <c r="U70" s="3656" t="s">
        <v>4151</v>
      </c>
    </row>
    <row r="71" spans="1:21" s="3721" customFormat="1" ht="33.75" customHeight="1">
      <c r="A71" s="3652">
        <v>69</v>
      </c>
      <c r="B71" s="3704" t="s">
        <v>4163</v>
      </c>
      <c r="C71" s="3665" t="s">
        <v>4164</v>
      </c>
      <c r="D71" s="3695">
        <v>71</v>
      </c>
      <c r="E71" s="3773">
        <v>10</v>
      </c>
      <c r="F71" s="3659">
        <v>3</v>
      </c>
      <c r="G71" s="3659">
        <v>259150</v>
      </c>
      <c r="H71" s="3659">
        <v>77745</v>
      </c>
      <c r="I71" s="3659">
        <f t="shared" si="1"/>
        <v>336895</v>
      </c>
      <c r="J71" s="3659">
        <f t="shared" si="2"/>
        <v>13</v>
      </c>
      <c r="K71" s="3718">
        <v>44484</v>
      </c>
      <c r="L71" s="3718">
        <v>44501</v>
      </c>
      <c r="M71" s="3663" t="s">
        <v>3976</v>
      </c>
      <c r="N71" s="3698" t="s">
        <v>4072</v>
      </c>
      <c r="O71" s="3719" t="s">
        <v>4165</v>
      </c>
      <c r="P71" s="3688">
        <v>44593</v>
      </c>
      <c r="Q71" s="3717" t="s">
        <v>4166</v>
      </c>
      <c r="R71" s="3666">
        <v>0.03</v>
      </c>
      <c r="S71" s="3720" t="s">
        <v>4149</v>
      </c>
      <c r="T71" s="3656" t="s">
        <v>4150</v>
      </c>
      <c r="U71" s="3656" t="s">
        <v>4151</v>
      </c>
    </row>
    <row r="72" spans="1:21" s="3721" customFormat="1" ht="33.75" hidden="1" customHeight="1">
      <c r="A72" s="3652">
        <v>70</v>
      </c>
      <c r="B72" s="3655" t="s">
        <v>4167</v>
      </c>
      <c r="C72" s="3665" t="s">
        <v>4168</v>
      </c>
      <c r="D72" s="3695">
        <v>809</v>
      </c>
      <c r="E72" s="3773">
        <v>3.8</v>
      </c>
      <c r="F72" s="3659">
        <v>3</v>
      </c>
      <c r="G72" s="3659">
        <v>1122083</v>
      </c>
      <c r="H72" s="3659">
        <v>885855</v>
      </c>
      <c r="I72" s="3659">
        <f t="shared" si="1"/>
        <v>2007938</v>
      </c>
      <c r="J72" s="3659">
        <f t="shared" si="2"/>
        <v>6.8</v>
      </c>
      <c r="K72" s="3718">
        <v>44484</v>
      </c>
      <c r="L72" s="3718">
        <v>44484</v>
      </c>
      <c r="M72" s="3663" t="s">
        <v>3976</v>
      </c>
      <c r="N72" s="3698" t="s">
        <v>4169</v>
      </c>
      <c r="O72" s="3719" t="s">
        <v>4165</v>
      </c>
      <c r="P72" s="3688">
        <v>44593</v>
      </c>
      <c r="Q72" s="3665" t="s">
        <v>4170</v>
      </c>
      <c r="R72" s="3666">
        <v>0.03</v>
      </c>
      <c r="S72" s="3720" t="s">
        <v>4149</v>
      </c>
      <c r="T72" s="3656" t="s">
        <v>4150</v>
      </c>
      <c r="U72" s="3656" t="s">
        <v>4151</v>
      </c>
    </row>
    <row r="73" spans="1:21" s="3721" customFormat="1" ht="33.75" customHeight="1">
      <c r="A73" s="3652">
        <v>71</v>
      </c>
      <c r="B73" s="3704" t="s">
        <v>4171</v>
      </c>
      <c r="C73" s="3665" t="s">
        <v>4172</v>
      </c>
      <c r="D73" s="3695">
        <v>39</v>
      </c>
      <c r="E73" s="3773">
        <v>17</v>
      </c>
      <c r="F73" s="3659">
        <v>3</v>
      </c>
      <c r="G73" s="3659">
        <v>241995</v>
      </c>
      <c r="H73" s="3659">
        <v>42705</v>
      </c>
      <c r="I73" s="3659">
        <f t="shared" si="1"/>
        <v>284700</v>
      </c>
      <c r="J73" s="3659">
        <f>F73+E73</f>
        <v>20</v>
      </c>
      <c r="K73" s="3718">
        <v>44490</v>
      </c>
      <c r="L73" s="3718">
        <v>44501</v>
      </c>
      <c r="M73" s="3663" t="s">
        <v>3976</v>
      </c>
      <c r="N73" s="3698" t="s">
        <v>4173</v>
      </c>
      <c r="O73" s="3719" t="s">
        <v>3976</v>
      </c>
      <c r="P73" s="3688">
        <v>44562</v>
      </c>
      <c r="Q73" s="3655" t="s">
        <v>4174</v>
      </c>
      <c r="R73" s="3652" t="s">
        <v>4175</v>
      </c>
      <c r="S73" s="3720" t="s">
        <v>4149</v>
      </c>
      <c r="T73" s="3656" t="s">
        <v>4150</v>
      </c>
      <c r="U73" s="3656" t="s">
        <v>4150</v>
      </c>
    </row>
    <row r="74" spans="1:21" s="4236" customFormat="1" ht="33.75" customHeight="1">
      <c r="A74" s="3669">
        <v>72</v>
      </c>
      <c r="B74" s="4237" t="s">
        <v>4176</v>
      </c>
      <c r="C74" s="3680" t="s">
        <v>4177</v>
      </c>
      <c r="D74" s="4238">
        <v>116</v>
      </c>
      <c r="E74" s="3774">
        <v>13</v>
      </c>
      <c r="F74" s="3673">
        <v>3</v>
      </c>
      <c r="G74" s="3673">
        <v>550420</v>
      </c>
      <c r="H74" s="3673">
        <v>127020</v>
      </c>
      <c r="I74" s="3673">
        <f t="shared" si="1"/>
        <v>677440</v>
      </c>
      <c r="J74" s="3673">
        <f>F74+E74</f>
        <v>16</v>
      </c>
      <c r="K74" s="4229">
        <v>44501</v>
      </c>
      <c r="L74" s="4229">
        <v>44531</v>
      </c>
      <c r="M74" s="4231" t="s">
        <v>3812</v>
      </c>
      <c r="N74" s="4232" t="s">
        <v>4072</v>
      </c>
      <c r="O74" s="4233" t="s">
        <v>4044</v>
      </c>
      <c r="P74" s="3692">
        <v>44621</v>
      </c>
      <c r="Q74" s="3689" t="s">
        <v>3990</v>
      </c>
      <c r="R74" s="3669" t="s">
        <v>3991</v>
      </c>
      <c r="S74" s="4235" t="s">
        <v>3984</v>
      </c>
      <c r="T74" s="3683" t="s">
        <v>3985</v>
      </c>
      <c r="U74" s="3683" t="s">
        <v>3986</v>
      </c>
    </row>
    <row r="75" spans="1:21" s="3721" customFormat="1" ht="33.75" hidden="1" customHeight="1">
      <c r="A75" s="3652">
        <v>73</v>
      </c>
      <c r="B75" s="3704" t="s">
        <v>4178</v>
      </c>
      <c r="C75" s="3724" t="s">
        <v>4179</v>
      </c>
      <c r="D75" s="3725">
        <v>235</v>
      </c>
      <c r="E75" s="3773">
        <v>5</v>
      </c>
      <c r="F75" s="3659">
        <v>3</v>
      </c>
      <c r="G75" s="3659">
        <v>428875</v>
      </c>
      <c r="H75" s="3659">
        <v>257325</v>
      </c>
      <c r="I75" s="3659">
        <f t="shared" si="1"/>
        <v>686200</v>
      </c>
      <c r="J75" s="3659">
        <f t="shared" ref="J75:J132" si="3">F75+E75</f>
        <v>8</v>
      </c>
      <c r="K75" s="3718">
        <v>44516</v>
      </c>
      <c r="L75" s="3707">
        <v>44531</v>
      </c>
      <c r="M75" s="3663" t="s">
        <v>3976</v>
      </c>
      <c r="N75" s="3698" t="s">
        <v>4065</v>
      </c>
      <c r="O75" s="3719" t="s">
        <v>4180</v>
      </c>
      <c r="P75" s="3654">
        <v>44652</v>
      </c>
      <c r="Q75" s="3665" t="s">
        <v>4181</v>
      </c>
      <c r="R75" s="3666">
        <v>0.03</v>
      </c>
      <c r="S75" s="3720" t="s">
        <v>3984</v>
      </c>
      <c r="T75" s="3656" t="s">
        <v>3985</v>
      </c>
      <c r="U75" s="3656" t="s">
        <v>3985</v>
      </c>
    </row>
    <row r="76" spans="1:21" s="3721" customFormat="1" ht="33.75" hidden="1" customHeight="1">
      <c r="A76" s="3652">
        <v>74</v>
      </c>
      <c r="B76" s="3704" t="s">
        <v>4182</v>
      </c>
      <c r="C76" s="3724" t="s">
        <v>4183</v>
      </c>
      <c r="D76" s="3725">
        <v>106</v>
      </c>
      <c r="E76" s="3773">
        <v>7</v>
      </c>
      <c r="F76" s="3659">
        <v>3</v>
      </c>
      <c r="G76" s="3659">
        <v>270830</v>
      </c>
      <c r="H76" s="3659">
        <v>116070</v>
      </c>
      <c r="I76" s="3659">
        <f t="shared" si="1"/>
        <v>386900</v>
      </c>
      <c r="J76" s="3659">
        <f t="shared" si="3"/>
        <v>10</v>
      </c>
      <c r="K76" s="3718">
        <v>44517</v>
      </c>
      <c r="L76" s="3707">
        <v>44531</v>
      </c>
      <c r="M76" s="3663" t="s">
        <v>3976</v>
      </c>
      <c r="N76" s="3698" t="s">
        <v>4072</v>
      </c>
      <c r="O76" s="3719" t="s">
        <v>4180</v>
      </c>
      <c r="P76" s="3654">
        <v>44652</v>
      </c>
      <c r="Q76" s="3717" t="s">
        <v>4184</v>
      </c>
      <c r="R76" s="3666">
        <v>0.03</v>
      </c>
      <c r="S76" s="3720" t="s">
        <v>3984</v>
      </c>
      <c r="T76" s="3656" t="s">
        <v>3985</v>
      </c>
      <c r="U76" s="3656" t="s">
        <v>3986</v>
      </c>
    </row>
    <row r="77" spans="1:21" s="3721" customFormat="1" ht="33.75" hidden="1" customHeight="1">
      <c r="A77" s="3652">
        <v>75</v>
      </c>
      <c r="B77" s="3704" t="s">
        <v>4185</v>
      </c>
      <c r="C77" s="3724" t="s">
        <v>4186</v>
      </c>
      <c r="D77" s="3725">
        <v>460</v>
      </c>
      <c r="E77" s="3773">
        <v>5</v>
      </c>
      <c r="F77" s="3659">
        <v>3</v>
      </c>
      <c r="G77" s="3659">
        <v>839500</v>
      </c>
      <c r="H77" s="3659">
        <v>503700</v>
      </c>
      <c r="I77" s="3659">
        <f t="shared" si="1"/>
        <v>1343200</v>
      </c>
      <c r="J77" s="3659">
        <f t="shared" si="3"/>
        <v>8</v>
      </c>
      <c r="K77" s="3706">
        <v>44521</v>
      </c>
      <c r="L77" s="3654">
        <v>44531</v>
      </c>
      <c r="M77" s="3663" t="s">
        <v>3976</v>
      </c>
      <c r="N77" s="3698" t="s">
        <v>4187</v>
      </c>
      <c r="O77" s="3652" t="s">
        <v>4188</v>
      </c>
      <c r="P77" s="3654">
        <v>44774</v>
      </c>
      <c r="Q77" s="3655" t="s">
        <v>4189</v>
      </c>
      <c r="R77" s="3666">
        <v>0.1</v>
      </c>
      <c r="S77" s="3720" t="s">
        <v>4074</v>
      </c>
      <c r="T77" s="3656" t="s">
        <v>4075</v>
      </c>
      <c r="U77" s="3656" t="s">
        <v>4079</v>
      </c>
    </row>
    <row r="78" spans="1:21" s="3721" customFormat="1" ht="33.75" hidden="1" customHeight="1">
      <c r="A78" s="3652">
        <v>76</v>
      </c>
      <c r="B78" s="3704" t="s">
        <v>4185</v>
      </c>
      <c r="C78" s="3724" t="s">
        <v>4190</v>
      </c>
      <c r="D78" s="3725">
        <v>179</v>
      </c>
      <c r="E78" s="3773"/>
      <c r="F78" s="3659">
        <v>2.29</v>
      </c>
      <c r="G78" s="3659"/>
      <c r="H78" s="3659">
        <v>150000</v>
      </c>
      <c r="I78" s="3659">
        <f t="shared" si="1"/>
        <v>150000</v>
      </c>
      <c r="J78" s="3659">
        <f t="shared" si="3"/>
        <v>2.29</v>
      </c>
      <c r="K78" s="3706">
        <v>44522</v>
      </c>
      <c r="L78" s="3654">
        <v>44531</v>
      </c>
      <c r="M78" s="3663" t="s">
        <v>3976</v>
      </c>
      <c r="N78" s="3698" t="s">
        <v>4187</v>
      </c>
      <c r="O78" s="3652" t="s">
        <v>4188</v>
      </c>
      <c r="P78" s="3654">
        <v>44774</v>
      </c>
      <c r="Q78" s="3655" t="s">
        <v>4091</v>
      </c>
      <c r="R78" s="3652" t="s">
        <v>4092</v>
      </c>
      <c r="S78" s="3720" t="s">
        <v>4074</v>
      </c>
      <c r="T78" s="3723" t="s">
        <v>4079</v>
      </c>
      <c r="U78" s="3723" t="s">
        <v>4079</v>
      </c>
    </row>
    <row r="79" spans="1:21" s="3721" customFormat="1" ht="33.75" hidden="1" customHeight="1">
      <c r="A79" s="3652">
        <v>77</v>
      </c>
      <c r="B79" s="3726" t="s">
        <v>4191</v>
      </c>
      <c r="C79" s="3724" t="s">
        <v>4192</v>
      </c>
      <c r="D79" s="3725">
        <v>166</v>
      </c>
      <c r="E79" s="3773"/>
      <c r="F79" s="3659">
        <v>2.96</v>
      </c>
      <c r="G79" s="3659"/>
      <c r="H79" s="3659">
        <v>179280</v>
      </c>
      <c r="I79" s="3659">
        <f t="shared" si="1"/>
        <v>179280</v>
      </c>
      <c r="J79" s="3659">
        <f t="shared" si="3"/>
        <v>2.96</v>
      </c>
      <c r="K79" s="3718">
        <v>44501</v>
      </c>
      <c r="L79" s="3654">
        <v>44501</v>
      </c>
      <c r="M79" s="3663" t="s">
        <v>3980</v>
      </c>
      <c r="N79" s="3698" t="s">
        <v>4138</v>
      </c>
      <c r="O79" s="3719" t="s">
        <v>4044</v>
      </c>
      <c r="P79" s="3654">
        <v>44591</v>
      </c>
      <c r="Q79" s="3655" t="s">
        <v>4193</v>
      </c>
      <c r="R79" s="3723"/>
      <c r="S79" s="3720" t="s">
        <v>4074</v>
      </c>
      <c r="T79" s="3656" t="s">
        <v>4075</v>
      </c>
      <c r="U79" s="3656" t="s">
        <v>4075</v>
      </c>
    </row>
    <row r="80" spans="1:21" s="3721" customFormat="1" ht="33.75" hidden="1" customHeight="1">
      <c r="A80" s="3652">
        <v>78</v>
      </c>
      <c r="B80" s="3726" t="s">
        <v>4194</v>
      </c>
      <c r="C80" s="3724" t="s">
        <v>4195</v>
      </c>
      <c r="D80" s="3725">
        <v>118</v>
      </c>
      <c r="E80" s="3773">
        <v>7</v>
      </c>
      <c r="F80" s="3659">
        <v>3</v>
      </c>
      <c r="G80" s="3659">
        <v>301490</v>
      </c>
      <c r="H80" s="3659">
        <v>127440</v>
      </c>
      <c r="I80" s="3659">
        <f t="shared" ref="I80:I94" si="4">G80+H80</f>
        <v>428930</v>
      </c>
      <c r="J80" s="3659">
        <f t="shared" si="3"/>
        <v>10</v>
      </c>
      <c r="K80" s="3718">
        <v>44501</v>
      </c>
      <c r="L80" s="3654">
        <v>44561</v>
      </c>
      <c r="M80" s="3663" t="s">
        <v>3980</v>
      </c>
      <c r="N80" s="3698" t="s">
        <v>4138</v>
      </c>
      <c r="O80" s="3719" t="s">
        <v>4044</v>
      </c>
      <c r="P80" s="3654">
        <v>44651</v>
      </c>
      <c r="Q80" s="3655" t="s">
        <v>4196</v>
      </c>
      <c r="R80" s="3723"/>
      <c r="S80" s="3720" t="s">
        <v>3984</v>
      </c>
      <c r="T80" s="3656" t="s">
        <v>3985</v>
      </c>
      <c r="U80" s="3656" t="s">
        <v>3985</v>
      </c>
    </row>
    <row r="81" spans="1:21" s="3721" customFormat="1" ht="33.75" hidden="1" customHeight="1">
      <c r="A81" s="3652">
        <v>79</v>
      </c>
      <c r="B81" s="3726" t="s">
        <v>4197</v>
      </c>
      <c r="C81" s="3724" t="s">
        <v>4198</v>
      </c>
      <c r="D81" s="3725">
        <v>240</v>
      </c>
      <c r="E81" s="3773"/>
      <c r="F81" s="3659">
        <v>3</v>
      </c>
      <c r="G81" s="3659"/>
      <c r="H81" s="3659">
        <v>259200</v>
      </c>
      <c r="I81" s="3659">
        <f t="shared" si="4"/>
        <v>259200</v>
      </c>
      <c r="J81" s="3659">
        <f t="shared" si="3"/>
        <v>3</v>
      </c>
      <c r="K81" s="3718">
        <v>44501</v>
      </c>
      <c r="L81" s="3654">
        <v>44561</v>
      </c>
      <c r="M81" s="3663" t="s">
        <v>3980</v>
      </c>
      <c r="N81" s="3698" t="s">
        <v>4199</v>
      </c>
      <c r="O81" s="3719" t="s">
        <v>4044</v>
      </c>
      <c r="P81" s="3654">
        <v>44651</v>
      </c>
      <c r="Q81" s="3655" t="s">
        <v>4200</v>
      </c>
      <c r="R81" s="3723"/>
      <c r="S81" s="3720" t="s">
        <v>3984</v>
      </c>
      <c r="T81" s="3656" t="s">
        <v>3985</v>
      </c>
      <c r="U81" s="3656" t="s">
        <v>3985</v>
      </c>
    </row>
    <row r="82" spans="1:21" s="3721" customFormat="1" ht="33.75" hidden="1" customHeight="1">
      <c r="A82" s="3652">
        <v>80</v>
      </c>
      <c r="B82" s="3726" t="s">
        <v>4201</v>
      </c>
      <c r="C82" s="3724" t="s">
        <v>4202</v>
      </c>
      <c r="D82" s="3725">
        <v>321</v>
      </c>
      <c r="E82" s="3773">
        <v>5.5</v>
      </c>
      <c r="F82" s="3659">
        <v>3</v>
      </c>
      <c r="G82" s="3659">
        <v>644407.5</v>
      </c>
      <c r="H82" s="3659">
        <v>351495</v>
      </c>
      <c r="I82" s="3659">
        <f t="shared" si="4"/>
        <v>995902.5</v>
      </c>
      <c r="J82" s="3659">
        <f t="shared" si="3"/>
        <v>8.5</v>
      </c>
      <c r="K82" s="3718">
        <v>44547</v>
      </c>
      <c r="L82" s="3654">
        <v>44545</v>
      </c>
      <c r="M82" s="3663" t="s">
        <v>4055</v>
      </c>
      <c r="N82" s="3698" t="s">
        <v>4065</v>
      </c>
      <c r="O82" s="3719" t="s">
        <v>4048</v>
      </c>
      <c r="P82" s="3707">
        <v>44743</v>
      </c>
      <c r="Q82" s="3665" t="s">
        <v>4203</v>
      </c>
      <c r="R82" s="3666">
        <v>0.03</v>
      </c>
      <c r="S82" s="3720" t="s">
        <v>3984</v>
      </c>
      <c r="T82" s="3656" t="s">
        <v>3985</v>
      </c>
      <c r="U82" s="3656" t="s">
        <v>3986</v>
      </c>
    </row>
    <row r="83" spans="1:21" s="3721" customFormat="1" ht="42.75" hidden="1" customHeight="1">
      <c r="A83" s="3652">
        <v>81</v>
      </c>
      <c r="B83" s="3708" t="s">
        <v>4204</v>
      </c>
      <c r="C83" s="3724" t="s">
        <v>4205</v>
      </c>
      <c r="D83" s="3725">
        <v>171</v>
      </c>
      <c r="E83" s="3773">
        <v>9</v>
      </c>
      <c r="F83" s="3659">
        <v>3</v>
      </c>
      <c r="G83" s="3659">
        <v>561735</v>
      </c>
      <c r="H83" s="3659">
        <v>187245</v>
      </c>
      <c r="I83" s="3659">
        <f t="shared" si="4"/>
        <v>748980</v>
      </c>
      <c r="J83" s="3659">
        <f t="shared" si="3"/>
        <v>12</v>
      </c>
      <c r="K83" s="3718">
        <v>44560</v>
      </c>
      <c r="L83" s="3654">
        <v>44562</v>
      </c>
      <c r="M83" s="3663" t="s">
        <v>3976</v>
      </c>
      <c r="N83" s="3698" t="s">
        <v>4065</v>
      </c>
      <c r="O83" s="3719" t="s">
        <v>4180</v>
      </c>
      <c r="P83" s="3707">
        <v>44682</v>
      </c>
      <c r="Q83" s="3655" t="s">
        <v>4206</v>
      </c>
      <c r="R83" s="3666">
        <v>0.03</v>
      </c>
      <c r="S83" s="3720" t="s">
        <v>3984</v>
      </c>
      <c r="T83" s="3656" t="s">
        <v>3985</v>
      </c>
      <c r="U83" s="3656" t="s">
        <v>3986</v>
      </c>
    </row>
    <row r="84" spans="1:21" s="3721" customFormat="1" ht="33.75" hidden="1" customHeight="1">
      <c r="A84" s="3652">
        <v>82</v>
      </c>
      <c r="B84" s="3726" t="s">
        <v>4207</v>
      </c>
      <c r="C84" s="3724"/>
      <c r="D84" s="3725">
        <v>166</v>
      </c>
      <c r="E84" s="3773"/>
      <c r="F84" s="3659">
        <v>5</v>
      </c>
      <c r="G84" s="3659"/>
      <c r="H84" s="3659">
        <v>302950</v>
      </c>
      <c r="I84" s="3659">
        <f t="shared" si="4"/>
        <v>302950</v>
      </c>
      <c r="J84" s="3659">
        <f t="shared" si="3"/>
        <v>5</v>
      </c>
      <c r="K84" s="3718">
        <v>44560</v>
      </c>
      <c r="L84" s="3654">
        <v>44562</v>
      </c>
      <c r="M84" s="3663" t="s">
        <v>3976</v>
      </c>
      <c r="N84" s="3698" t="s">
        <v>4072</v>
      </c>
      <c r="O84" s="3719" t="s">
        <v>4208</v>
      </c>
      <c r="P84" s="3707">
        <v>44652</v>
      </c>
      <c r="Q84" s="3655" t="s">
        <v>4209</v>
      </c>
      <c r="R84" s="3666">
        <v>0.1</v>
      </c>
      <c r="S84" s="3720" t="s">
        <v>3984</v>
      </c>
      <c r="T84" s="3723" t="s">
        <v>3986</v>
      </c>
      <c r="U84" s="3723" t="s">
        <v>3986</v>
      </c>
    </row>
    <row r="85" spans="1:21" s="3721" customFormat="1" ht="33.75" customHeight="1">
      <c r="A85" s="3652">
        <v>83</v>
      </c>
      <c r="B85" s="3704" t="s">
        <v>4210</v>
      </c>
      <c r="C85" s="3701" t="s">
        <v>4211</v>
      </c>
      <c r="D85" s="3725">
        <v>23</v>
      </c>
      <c r="E85" s="3775">
        <v>19</v>
      </c>
      <c r="F85" s="3702">
        <v>3</v>
      </c>
      <c r="G85" s="3702">
        <v>159505</v>
      </c>
      <c r="H85" s="3702">
        <v>25185</v>
      </c>
      <c r="I85" s="3659">
        <f t="shared" si="4"/>
        <v>184690</v>
      </c>
      <c r="J85" s="3659">
        <f t="shared" si="3"/>
        <v>22</v>
      </c>
      <c r="K85" s="3718">
        <v>44558</v>
      </c>
      <c r="L85" s="3654">
        <v>44562</v>
      </c>
      <c r="M85" s="3663" t="s">
        <v>3976</v>
      </c>
      <c r="N85" s="3698" t="s">
        <v>4072</v>
      </c>
      <c r="O85" s="3719" t="s">
        <v>4208</v>
      </c>
      <c r="P85" s="3707">
        <v>44652</v>
      </c>
      <c r="Q85" s="3655" t="s">
        <v>3990</v>
      </c>
      <c r="R85" s="3652" t="s">
        <v>3991</v>
      </c>
      <c r="S85" s="3720" t="s">
        <v>3984</v>
      </c>
      <c r="T85" s="3656" t="s">
        <v>3985</v>
      </c>
      <c r="U85" s="3656" t="s">
        <v>3985</v>
      </c>
    </row>
    <row r="86" spans="1:21" s="4236" customFormat="1" ht="33.75" customHeight="1">
      <c r="A86" s="3669">
        <v>84</v>
      </c>
      <c r="B86" s="4225" t="s">
        <v>4212</v>
      </c>
      <c r="C86" s="4226" t="s">
        <v>4213</v>
      </c>
      <c r="D86" s="4227">
        <v>97</v>
      </c>
      <c r="E86" s="3774">
        <v>14</v>
      </c>
      <c r="F86" s="3673">
        <v>3</v>
      </c>
      <c r="G86" s="4228">
        <v>495670</v>
      </c>
      <c r="H86" s="4228">
        <v>106215</v>
      </c>
      <c r="I86" s="3673">
        <f t="shared" si="4"/>
        <v>601885</v>
      </c>
      <c r="J86" s="3673">
        <f t="shared" si="3"/>
        <v>17</v>
      </c>
      <c r="K86" s="4229">
        <v>44664</v>
      </c>
      <c r="L86" s="4230">
        <v>44682</v>
      </c>
      <c r="M86" s="4231" t="s">
        <v>4055</v>
      </c>
      <c r="N86" s="4232" t="s">
        <v>4214</v>
      </c>
      <c r="O86" s="4233" t="s">
        <v>4033</v>
      </c>
      <c r="P86" s="4234">
        <v>44688</v>
      </c>
      <c r="Q86" s="3680" t="s">
        <v>4215</v>
      </c>
      <c r="R86" s="3681">
        <v>0.03</v>
      </c>
      <c r="S86" s="4235" t="s">
        <v>3984</v>
      </c>
      <c r="T86" s="3683" t="s">
        <v>3985</v>
      </c>
      <c r="U86" s="3683" t="s">
        <v>3985</v>
      </c>
    </row>
    <row r="87" spans="1:21" s="3721" customFormat="1" ht="33.75" hidden="1" customHeight="1">
      <c r="A87" s="3652">
        <v>85</v>
      </c>
      <c r="B87" s="3726" t="s">
        <v>4216</v>
      </c>
      <c r="C87" s="3724" t="s">
        <v>4217</v>
      </c>
      <c r="D87" s="3725">
        <v>4</v>
      </c>
      <c r="E87" s="3773"/>
      <c r="F87" s="3659"/>
      <c r="G87" s="3659"/>
      <c r="H87" s="3659">
        <v>15600</v>
      </c>
      <c r="I87" s="3659">
        <f t="shared" si="4"/>
        <v>15600</v>
      </c>
      <c r="J87" s="3659">
        <f t="shared" si="3"/>
        <v>0</v>
      </c>
      <c r="K87" s="3718">
        <v>44567</v>
      </c>
      <c r="L87" s="3654">
        <v>44571</v>
      </c>
      <c r="M87" s="3663">
        <v>6</v>
      </c>
      <c r="N87" s="3652">
        <v>1</v>
      </c>
      <c r="O87" s="3719" t="s">
        <v>4218</v>
      </c>
      <c r="P87" s="3707">
        <v>44571</v>
      </c>
      <c r="Q87" s="3655"/>
      <c r="R87" s="3723"/>
      <c r="S87" s="3720" t="s">
        <v>3984</v>
      </c>
      <c r="T87" s="3723" t="s">
        <v>3986</v>
      </c>
      <c r="U87" s="3723" t="s">
        <v>3986</v>
      </c>
    </row>
    <row r="88" spans="1:21" s="3721" customFormat="1" ht="33.75" customHeight="1">
      <c r="A88" s="3652">
        <v>86</v>
      </c>
      <c r="B88" s="3704" t="s">
        <v>4219</v>
      </c>
      <c r="C88" s="3724" t="s">
        <v>4220</v>
      </c>
      <c r="D88" s="3725">
        <v>60</v>
      </c>
      <c r="E88" s="3773">
        <v>17</v>
      </c>
      <c r="F88" s="3659">
        <v>3</v>
      </c>
      <c r="G88" s="3659">
        <v>372300</v>
      </c>
      <c r="H88" s="3659">
        <v>65700</v>
      </c>
      <c r="I88" s="3659">
        <f t="shared" si="4"/>
        <v>438000</v>
      </c>
      <c r="J88" s="3659">
        <f t="shared" si="3"/>
        <v>20</v>
      </c>
      <c r="K88" s="3718">
        <v>44575</v>
      </c>
      <c r="L88" s="3654">
        <v>44579</v>
      </c>
      <c r="M88" s="3663" t="s">
        <v>3976</v>
      </c>
      <c r="N88" s="3698" t="s">
        <v>4065</v>
      </c>
      <c r="O88" s="3719" t="s">
        <v>3995</v>
      </c>
      <c r="P88" s="3707">
        <v>44730</v>
      </c>
      <c r="Q88" s="3655" t="s">
        <v>4221</v>
      </c>
      <c r="R88" s="3666">
        <v>0.03</v>
      </c>
      <c r="S88" s="3720" t="s">
        <v>3984</v>
      </c>
      <c r="T88" s="3656" t="s">
        <v>3985</v>
      </c>
      <c r="U88" s="3656" t="s">
        <v>3986</v>
      </c>
    </row>
    <row r="89" spans="1:21" s="3721" customFormat="1" ht="33.75" hidden="1" customHeight="1">
      <c r="A89" s="3652">
        <v>87</v>
      </c>
      <c r="B89" s="3726" t="s">
        <v>4222</v>
      </c>
      <c r="C89" s="3724" t="s">
        <v>4223</v>
      </c>
      <c r="D89" s="3725">
        <v>132</v>
      </c>
      <c r="E89" s="3773"/>
      <c r="F89" s="3659">
        <v>5</v>
      </c>
      <c r="G89" s="3659"/>
      <c r="H89" s="3659">
        <v>240900</v>
      </c>
      <c r="I89" s="3659">
        <f t="shared" si="4"/>
        <v>240900</v>
      </c>
      <c r="J89" s="3659">
        <f t="shared" si="3"/>
        <v>5</v>
      </c>
      <c r="K89" s="3718">
        <v>44575</v>
      </c>
      <c r="L89" s="3654">
        <v>44592</v>
      </c>
      <c r="M89" s="3663" t="s">
        <v>3976</v>
      </c>
      <c r="N89" s="3698" t="s">
        <v>4072</v>
      </c>
      <c r="O89" s="3719" t="s">
        <v>4180</v>
      </c>
      <c r="P89" s="3707">
        <v>44743</v>
      </c>
      <c r="Q89" s="3655" t="s">
        <v>4224</v>
      </c>
      <c r="R89" s="3666">
        <v>0.1</v>
      </c>
      <c r="S89" s="3720" t="s">
        <v>3984</v>
      </c>
      <c r="T89" s="3723" t="s">
        <v>3986</v>
      </c>
      <c r="U89" s="3723" t="s">
        <v>3986</v>
      </c>
    </row>
    <row r="90" spans="1:21" s="3721" customFormat="1" ht="33.75" hidden="1" customHeight="1">
      <c r="A90" s="3652">
        <v>88</v>
      </c>
      <c r="B90" s="3704" t="s">
        <v>4225</v>
      </c>
      <c r="C90" s="3724" t="s">
        <v>4226</v>
      </c>
      <c r="D90" s="3725">
        <v>365</v>
      </c>
      <c r="E90" s="3773">
        <v>6</v>
      </c>
      <c r="F90" s="3659">
        <v>3</v>
      </c>
      <c r="G90" s="3659">
        <v>799350</v>
      </c>
      <c r="H90" s="3659">
        <v>399675</v>
      </c>
      <c r="I90" s="3659">
        <f t="shared" si="4"/>
        <v>1199025</v>
      </c>
      <c r="J90" s="3659">
        <f t="shared" si="3"/>
        <v>9</v>
      </c>
      <c r="K90" s="3718">
        <v>44577</v>
      </c>
      <c r="L90" s="3654">
        <v>44581</v>
      </c>
      <c r="M90" s="3663" t="s">
        <v>3976</v>
      </c>
      <c r="N90" s="3698" t="s">
        <v>3994</v>
      </c>
      <c r="O90" s="3719" t="s">
        <v>3995</v>
      </c>
      <c r="P90" s="3707">
        <v>44774</v>
      </c>
      <c r="Q90" s="3655" t="s">
        <v>4227</v>
      </c>
      <c r="R90" s="3666">
        <v>0.03</v>
      </c>
      <c r="S90" s="3720" t="s">
        <v>3984</v>
      </c>
      <c r="T90" s="3656" t="s">
        <v>3985</v>
      </c>
      <c r="U90" s="3656" t="s">
        <v>3986</v>
      </c>
    </row>
    <row r="91" spans="1:21" s="3721" customFormat="1" ht="33.75" hidden="1" customHeight="1">
      <c r="A91" s="3652">
        <v>89</v>
      </c>
      <c r="B91" s="3704" t="s">
        <v>4228</v>
      </c>
      <c r="C91" s="3701" t="s">
        <v>4229</v>
      </c>
      <c r="D91" s="3711">
        <v>130</v>
      </c>
      <c r="E91" s="3775"/>
      <c r="F91" s="3702">
        <v>5</v>
      </c>
      <c r="G91" s="3702"/>
      <c r="H91" s="3702">
        <v>237250</v>
      </c>
      <c r="I91" s="3659">
        <f t="shared" si="4"/>
        <v>237250</v>
      </c>
      <c r="J91" s="3659">
        <f t="shared" si="3"/>
        <v>5</v>
      </c>
      <c r="K91" s="3706">
        <v>44589</v>
      </c>
      <c r="L91" s="3707">
        <v>44593</v>
      </c>
      <c r="M91" s="3663" t="s">
        <v>3976</v>
      </c>
      <c r="N91" s="3698" t="s">
        <v>4072</v>
      </c>
      <c r="O91" s="3719" t="s">
        <v>4180</v>
      </c>
      <c r="P91" s="3707">
        <v>44713</v>
      </c>
      <c r="Q91" s="3655" t="s">
        <v>4230</v>
      </c>
      <c r="R91" s="3666">
        <v>0.03</v>
      </c>
      <c r="S91" s="3720" t="s">
        <v>3984</v>
      </c>
      <c r="T91" s="3723" t="s">
        <v>3986</v>
      </c>
      <c r="U91" s="3723" t="s">
        <v>3986</v>
      </c>
    </row>
    <row r="92" spans="1:21" s="3721" customFormat="1" ht="33.75" customHeight="1">
      <c r="A92" s="3652">
        <v>90</v>
      </c>
      <c r="B92" s="3704" t="s">
        <v>4231</v>
      </c>
      <c r="C92" s="3701" t="s">
        <v>4232</v>
      </c>
      <c r="D92" s="3711">
        <v>75</v>
      </c>
      <c r="E92" s="3775">
        <v>10.15</v>
      </c>
      <c r="F92" s="3702">
        <v>3</v>
      </c>
      <c r="G92" s="3702">
        <v>277875</v>
      </c>
      <c r="H92" s="3702">
        <v>82125</v>
      </c>
      <c r="I92" s="3659">
        <f t="shared" si="4"/>
        <v>360000</v>
      </c>
      <c r="J92" s="3659">
        <f t="shared" si="3"/>
        <v>13.15</v>
      </c>
      <c r="K92" s="3706">
        <v>44586</v>
      </c>
      <c r="L92" s="3707">
        <v>44593</v>
      </c>
      <c r="M92" s="3663" t="s">
        <v>3976</v>
      </c>
      <c r="N92" s="3698" t="s">
        <v>4072</v>
      </c>
      <c r="O92" s="3719" t="s">
        <v>4208</v>
      </c>
      <c r="P92" s="3707">
        <v>44682</v>
      </c>
      <c r="Q92" s="3655" t="s">
        <v>3990</v>
      </c>
      <c r="R92" s="3652" t="s">
        <v>3991</v>
      </c>
      <c r="S92" s="3720" t="s">
        <v>3984</v>
      </c>
      <c r="T92" s="3656" t="s">
        <v>3985</v>
      </c>
      <c r="U92" s="3656" t="s">
        <v>3986</v>
      </c>
    </row>
    <row r="93" spans="1:21" s="3721" customFormat="1" ht="33.75" hidden="1" customHeight="1">
      <c r="A93" s="3652">
        <v>91</v>
      </c>
      <c r="B93" s="3704" t="s">
        <v>4233</v>
      </c>
      <c r="C93" s="3701" t="s">
        <v>4234</v>
      </c>
      <c r="D93" s="3711">
        <v>187</v>
      </c>
      <c r="E93" s="3775">
        <v>9</v>
      </c>
      <c r="F93" s="3702">
        <v>3</v>
      </c>
      <c r="G93" s="3702">
        <v>614295</v>
      </c>
      <c r="H93" s="3702">
        <v>204765</v>
      </c>
      <c r="I93" s="3659">
        <f t="shared" si="4"/>
        <v>819060</v>
      </c>
      <c r="J93" s="3659">
        <f t="shared" si="3"/>
        <v>12</v>
      </c>
      <c r="K93" s="3706">
        <v>44587</v>
      </c>
      <c r="L93" s="3707">
        <v>44602</v>
      </c>
      <c r="M93" s="3663" t="s">
        <v>3976</v>
      </c>
      <c r="N93" s="3698" t="s">
        <v>4072</v>
      </c>
      <c r="O93" s="3719" t="s">
        <v>4033</v>
      </c>
      <c r="P93" s="3707">
        <v>44713</v>
      </c>
      <c r="Q93" s="3665" t="s">
        <v>4235</v>
      </c>
      <c r="R93" s="3666">
        <v>0.08</v>
      </c>
      <c r="S93" s="3720" t="s">
        <v>3984</v>
      </c>
      <c r="T93" s="3656" t="s">
        <v>3985</v>
      </c>
      <c r="U93" s="3656" t="s">
        <v>3986</v>
      </c>
    </row>
    <row r="94" spans="1:21" s="3721" customFormat="1" ht="33.75" hidden="1" customHeight="1">
      <c r="A94" s="3652">
        <v>92</v>
      </c>
      <c r="B94" s="3704" t="s">
        <v>4006</v>
      </c>
      <c r="C94" s="3701" t="s">
        <v>4236</v>
      </c>
      <c r="D94" s="3711">
        <v>192</v>
      </c>
      <c r="E94" s="3775"/>
      <c r="F94" s="3702">
        <v>5</v>
      </c>
      <c r="G94" s="3702"/>
      <c r="H94" s="3702">
        <v>350400</v>
      </c>
      <c r="I94" s="3659">
        <f t="shared" si="4"/>
        <v>350400</v>
      </c>
      <c r="J94" s="3659">
        <f t="shared" si="3"/>
        <v>5</v>
      </c>
      <c r="K94" s="3706">
        <v>44587</v>
      </c>
      <c r="L94" s="3706">
        <v>44587</v>
      </c>
      <c r="M94" s="3663" t="s">
        <v>3976</v>
      </c>
      <c r="N94" s="3698" t="s">
        <v>4072</v>
      </c>
      <c r="O94" s="3719" t="s">
        <v>4208</v>
      </c>
      <c r="P94" s="3707">
        <v>44682</v>
      </c>
      <c r="Q94" s="3655" t="s">
        <v>4209</v>
      </c>
      <c r="R94" s="3666">
        <v>0.1</v>
      </c>
      <c r="S94" s="3720" t="s">
        <v>3984</v>
      </c>
      <c r="T94" s="3723" t="s">
        <v>3986</v>
      </c>
      <c r="U94" s="3723" t="s">
        <v>3986</v>
      </c>
    </row>
    <row r="95" spans="1:21" s="3721" customFormat="1" ht="33.75" hidden="1" customHeight="1">
      <c r="A95" s="3652">
        <v>93</v>
      </c>
      <c r="B95" s="3704" t="s">
        <v>4237</v>
      </c>
      <c r="C95" s="3727" t="s">
        <v>4238</v>
      </c>
      <c r="D95" s="3711">
        <v>129</v>
      </c>
      <c r="E95" s="3773"/>
      <c r="F95" s="3702">
        <v>5</v>
      </c>
      <c r="G95" s="3659"/>
      <c r="H95" s="3702">
        <v>235425</v>
      </c>
      <c r="I95" s="3659">
        <f>G95+H95</f>
        <v>235425</v>
      </c>
      <c r="J95" s="3659">
        <f t="shared" si="3"/>
        <v>5</v>
      </c>
      <c r="K95" s="3706">
        <v>44617</v>
      </c>
      <c r="L95" s="3654">
        <v>44621</v>
      </c>
      <c r="M95" s="3663" t="s">
        <v>3976</v>
      </c>
      <c r="N95" s="3698" t="s">
        <v>4072</v>
      </c>
      <c r="O95" s="3719" t="s">
        <v>4208</v>
      </c>
      <c r="P95" s="3707">
        <v>44713</v>
      </c>
      <c r="Q95" s="3655" t="s">
        <v>4230</v>
      </c>
      <c r="R95" s="3666">
        <v>0.03</v>
      </c>
      <c r="S95" s="3720" t="s">
        <v>3984</v>
      </c>
      <c r="T95" s="3723" t="s">
        <v>3986</v>
      </c>
      <c r="U95" s="3723" t="s">
        <v>3986</v>
      </c>
    </row>
    <row r="96" spans="1:21" s="3721" customFormat="1" ht="33.75" hidden="1" customHeight="1">
      <c r="A96" s="3652">
        <v>94</v>
      </c>
      <c r="B96" s="3704" t="s">
        <v>4239</v>
      </c>
      <c r="C96" s="3727" t="s">
        <v>4240</v>
      </c>
      <c r="D96" s="3711">
        <v>152</v>
      </c>
      <c r="E96" s="3773">
        <v>5.5</v>
      </c>
      <c r="F96" s="3702">
        <v>3</v>
      </c>
      <c r="G96" s="3702">
        <v>305140</v>
      </c>
      <c r="H96" s="3702">
        <v>166440</v>
      </c>
      <c r="I96" s="3659">
        <f>G96+H96</f>
        <v>471580</v>
      </c>
      <c r="J96" s="3659">
        <f t="shared" si="3"/>
        <v>8.5</v>
      </c>
      <c r="K96" s="3706">
        <v>44620</v>
      </c>
      <c r="L96" s="3654">
        <v>44621</v>
      </c>
      <c r="M96" s="3663" t="s">
        <v>3976</v>
      </c>
      <c r="N96" s="3698" t="s">
        <v>4119</v>
      </c>
      <c r="O96" s="3719" t="s">
        <v>4015</v>
      </c>
      <c r="P96" s="3707">
        <v>44743</v>
      </c>
      <c r="Q96" s="3655" t="s">
        <v>4241</v>
      </c>
      <c r="R96" s="3666">
        <v>0.03</v>
      </c>
      <c r="S96" s="3720" t="s">
        <v>4016</v>
      </c>
      <c r="T96" s="3656" t="s">
        <v>3944</v>
      </c>
      <c r="U96" s="3656" t="s">
        <v>4017</v>
      </c>
    </row>
    <row r="97" spans="1:21" s="3721" customFormat="1" ht="33.75" hidden="1" customHeight="1">
      <c r="A97" s="3652">
        <v>95</v>
      </c>
      <c r="B97" s="3704" t="s">
        <v>4242</v>
      </c>
      <c r="C97" s="3705" t="s">
        <v>4243</v>
      </c>
      <c r="D97" s="3711">
        <v>62</v>
      </c>
      <c r="E97" s="3773"/>
      <c r="F97" s="3702">
        <f>17.3+5</f>
        <v>22.3</v>
      </c>
      <c r="G97" s="3659"/>
      <c r="H97" s="3702">
        <f>360000+9120</f>
        <v>369120</v>
      </c>
      <c r="I97" s="3659">
        <f>G97+H97</f>
        <v>369120</v>
      </c>
      <c r="J97" s="3659">
        <f t="shared" si="3"/>
        <v>22.3</v>
      </c>
      <c r="K97" s="3706">
        <v>44624</v>
      </c>
      <c r="L97" s="3654">
        <v>44635</v>
      </c>
      <c r="M97" s="3663" t="s">
        <v>3976</v>
      </c>
      <c r="N97" s="3698" t="s">
        <v>4214</v>
      </c>
      <c r="O97" s="3728" t="s">
        <v>4244</v>
      </c>
      <c r="P97" s="3707">
        <v>44713</v>
      </c>
      <c r="Q97" s="3655" t="s">
        <v>4245</v>
      </c>
      <c r="R97" s="3666">
        <v>0.02</v>
      </c>
      <c r="S97" s="3720" t="s">
        <v>3984</v>
      </c>
      <c r="T97" s="3723" t="s">
        <v>3986</v>
      </c>
      <c r="U97" s="3723" t="s">
        <v>3986</v>
      </c>
    </row>
    <row r="98" spans="1:21" s="3721" customFormat="1" ht="33.75" hidden="1" customHeight="1">
      <c r="A98" s="3652">
        <v>96</v>
      </c>
      <c r="B98" s="3704" t="s">
        <v>4246</v>
      </c>
      <c r="C98" s="3705" t="s">
        <v>4247</v>
      </c>
      <c r="D98" s="3711">
        <v>53</v>
      </c>
      <c r="E98" s="3773"/>
      <c r="F98" s="3659">
        <v>12.41</v>
      </c>
      <c r="G98" s="3659"/>
      <c r="H98" s="3659">
        <v>240000</v>
      </c>
      <c r="I98" s="3659">
        <f>G98+H98</f>
        <v>240000</v>
      </c>
      <c r="J98" s="3659">
        <f t="shared" si="3"/>
        <v>12.41</v>
      </c>
      <c r="K98" s="3706">
        <v>44628</v>
      </c>
      <c r="L98" s="3654">
        <v>44635</v>
      </c>
      <c r="M98" s="3663" t="s">
        <v>3976</v>
      </c>
      <c r="N98" s="3698" t="s">
        <v>4072</v>
      </c>
      <c r="O98" s="3728" t="s">
        <v>4038</v>
      </c>
      <c r="P98" s="3707">
        <v>44774</v>
      </c>
      <c r="Q98" s="3655" t="s">
        <v>4248</v>
      </c>
      <c r="R98" s="3666">
        <v>0.1</v>
      </c>
      <c r="S98" s="3720" t="s">
        <v>3984</v>
      </c>
      <c r="T98" s="3723" t="s">
        <v>3986</v>
      </c>
      <c r="U98" s="3723" t="s">
        <v>3986</v>
      </c>
    </row>
    <row r="99" spans="1:21" s="3721" customFormat="1" ht="33.75" hidden="1" customHeight="1">
      <c r="A99" s="3652">
        <v>97</v>
      </c>
      <c r="B99" s="3704" t="s">
        <v>4249</v>
      </c>
      <c r="C99" s="3727" t="s">
        <v>4250</v>
      </c>
      <c r="D99" s="3725">
        <v>25</v>
      </c>
      <c r="E99" s="3773"/>
      <c r="F99" s="3659"/>
      <c r="G99" s="3659"/>
      <c r="H99" s="3659"/>
      <c r="I99" s="3659" t="s">
        <v>4251</v>
      </c>
      <c r="J99" s="3659">
        <f t="shared" si="3"/>
        <v>0</v>
      </c>
      <c r="K99" s="3706">
        <v>44631</v>
      </c>
      <c r="L99" s="3729">
        <v>44635</v>
      </c>
      <c r="M99" s="3663" t="s">
        <v>3980</v>
      </c>
      <c r="N99" s="3652" t="s">
        <v>4252</v>
      </c>
      <c r="O99" s="3719"/>
      <c r="P99" s="3707">
        <v>44743</v>
      </c>
      <c r="Q99" s="3655" t="s">
        <v>4253</v>
      </c>
      <c r="R99" s="3652"/>
      <c r="S99" s="3720" t="s">
        <v>3984</v>
      </c>
      <c r="T99" s="3723" t="s">
        <v>3986</v>
      </c>
      <c r="U99" s="3723" t="s">
        <v>3986</v>
      </c>
    </row>
    <row r="100" spans="1:21" s="3721" customFormat="1" ht="33.75" hidden="1" customHeight="1">
      <c r="A100" s="3652">
        <v>98</v>
      </c>
      <c r="B100" s="3704" t="s">
        <v>4254</v>
      </c>
      <c r="C100" s="3727" t="s">
        <v>4255</v>
      </c>
      <c r="D100" s="3711">
        <v>34</v>
      </c>
      <c r="E100" s="3773"/>
      <c r="F100" s="3702">
        <v>13</v>
      </c>
      <c r="G100" s="3659"/>
      <c r="H100" s="3702">
        <v>161330</v>
      </c>
      <c r="I100" s="3659">
        <f t="shared" ref="I100:I135" si="5">G100+H100</f>
        <v>161330</v>
      </c>
      <c r="J100" s="3659">
        <f t="shared" si="3"/>
        <v>13</v>
      </c>
      <c r="K100" s="3706">
        <v>44634</v>
      </c>
      <c r="L100" s="3729">
        <v>44652</v>
      </c>
      <c r="M100" s="3663" t="s">
        <v>3976</v>
      </c>
      <c r="N100" s="3698" t="s">
        <v>4072</v>
      </c>
      <c r="O100" s="3719" t="s">
        <v>4180</v>
      </c>
      <c r="P100" s="3707">
        <v>44774</v>
      </c>
      <c r="Q100" s="3655" t="s">
        <v>4256</v>
      </c>
      <c r="R100" s="3730">
        <v>7.0000000000000007E-2</v>
      </c>
      <c r="S100" s="3720" t="s">
        <v>3984</v>
      </c>
      <c r="T100" s="3723" t="s">
        <v>3986</v>
      </c>
      <c r="U100" s="3723" t="s">
        <v>3986</v>
      </c>
    </row>
    <row r="101" spans="1:21" s="3721" customFormat="1" ht="33.75" hidden="1" customHeight="1">
      <c r="A101" s="3652">
        <v>99</v>
      </c>
      <c r="B101" s="3704" t="s">
        <v>4257</v>
      </c>
      <c r="C101" s="3727" t="s">
        <v>4258</v>
      </c>
      <c r="D101" s="3711">
        <v>10</v>
      </c>
      <c r="E101" s="3773"/>
      <c r="F101" s="3702"/>
      <c r="G101" s="3659"/>
      <c r="H101" s="3702">
        <v>9000</v>
      </c>
      <c r="I101" s="3659">
        <f t="shared" si="5"/>
        <v>9000</v>
      </c>
      <c r="J101" s="3659">
        <f t="shared" si="3"/>
        <v>0</v>
      </c>
      <c r="K101" s="3706">
        <v>44631</v>
      </c>
      <c r="L101" s="3729">
        <v>44635</v>
      </c>
      <c r="M101" s="3663" t="s">
        <v>3980</v>
      </c>
      <c r="N101" s="3698" t="s">
        <v>4259</v>
      </c>
      <c r="O101" s="3719" t="s">
        <v>4208</v>
      </c>
      <c r="P101" s="3707">
        <v>44743</v>
      </c>
      <c r="Q101" s="3655" t="s">
        <v>3990</v>
      </c>
      <c r="R101" s="3652" t="s">
        <v>3991</v>
      </c>
      <c r="S101" s="3720" t="s">
        <v>3984</v>
      </c>
      <c r="T101" s="3723" t="s">
        <v>3986</v>
      </c>
      <c r="U101" s="3723" t="s">
        <v>3986</v>
      </c>
    </row>
    <row r="102" spans="1:21" s="3721" customFormat="1" ht="33.75" hidden="1" customHeight="1">
      <c r="A102" s="3652">
        <v>100</v>
      </c>
      <c r="B102" s="3704" t="s">
        <v>4260</v>
      </c>
      <c r="C102" s="3727" t="s">
        <v>4261</v>
      </c>
      <c r="D102" s="3711">
        <v>138</v>
      </c>
      <c r="E102" s="3773"/>
      <c r="F102" s="3702">
        <v>4</v>
      </c>
      <c r="G102" s="3659"/>
      <c r="H102" s="3702">
        <v>201480</v>
      </c>
      <c r="I102" s="3659">
        <f t="shared" si="5"/>
        <v>201480</v>
      </c>
      <c r="J102" s="3659">
        <f t="shared" si="3"/>
        <v>4</v>
      </c>
      <c r="K102" s="3706">
        <v>44635</v>
      </c>
      <c r="L102" s="3729">
        <v>44656</v>
      </c>
      <c r="M102" s="3663" t="s">
        <v>3976</v>
      </c>
      <c r="N102" s="3698" t="s">
        <v>4262</v>
      </c>
      <c r="O102" s="3719" t="s">
        <v>3995</v>
      </c>
      <c r="P102" s="3707">
        <v>44805</v>
      </c>
      <c r="Q102" s="3655" t="s">
        <v>4263</v>
      </c>
      <c r="R102" s="3730">
        <v>7.0000000000000007E-2</v>
      </c>
      <c r="S102" s="3720" t="s">
        <v>3984</v>
      </c>
      <c r="T102" s="3723" t="s">
        <v>3986</v>
      </c>
      <c r="U102" s="3723" t="s">
        <v>3986</v>
      </c>
    </row>
    <row r="103" spans="1:21" s="3721" customFormat="1" ht="33.75" hidden="1" customHeight="1">
      <c r="A103" s="3652">
        <v>101</v>
      </c>
      <c r="B103" s="3704" t="s">
        <v>4264</v>
      </c>
      <c r="C103" s="3727" t="s">
        <v>4265</v>
      </c>
      <c r="D103" s="3711">
        <v>120</v>
      </c>
      <c r="E103" s="3775">
        <v>8</v>
      </c>
      <c r="F103" s="3702">
        <v>3</v>
      </c>
      <c r="G103" s="3702">
        <v>350400</v>
      </c>
      <c r="H103" s="3702">
        <v>131400</v>
      </c>
      <c r="I103" s="3659">
        <f t="shared" si="5"/>
        <v>481800</v>
      </c>
      <c r="J103" s="3659">
        <f t="shared" si="3"/>
        <v>11</v>
      </c>
      <c r="K103" s="3706">
        <v>44642</v>
      </c>
      <c r="L103" s="3729">
        <v>44652</v>
      </c>
      <c r="M103" s="3663" t="s">
        <v>3976</v>
      </c>
      <c r="N103" s="3698" t="s">
        <v>4072</v>
      </c>
      <c r="O103" s="3719" t="s">
        <v>4055</v>
      </c>
      <c r="P103" s="3707">
        <v>44866</v>
      </c>
      <c r="Q103" s="3655" t="s">
        <v>4266</v>
      </c>
      <c r="R103" s="3730">
        <v>0.09</v>
      </c>
      <c r="S103" s="3720" t="s">
        <v>3984</v>
      </c>
      <c r="T103" s="3656" t="s">
        <v>3985</v>
      </c>
      <c r="U103" s="3656" t="s">
        <v>3986</v>
      </c>
    </row>
    <row r="104" spans="1:21" s="3721" customFormat="1" ht="33.75" hidden="1" customHeight="1">
      <c r="A104" s="3652">
        <v>102</v>
      </c>
      <c r="B104" s="3704" t="s">
        <v>4267</v>
      </c>
      <c r="C104" s="3727" t="s">
        <v>4268</v>
      </c>
      <c r="D104" s="3711">
        <v>68</v>
      </c>
      <c r="E104" s="3775">
        <v>7</v>
      </c>
      <c r="F104" s="3702">
        <v>3</v>
      </c>
      <c r="G104" s="3702">
        <v>173740</v>
      </c>
      <c r="H104" s="3702">
        <v>74460</v>
      </c>
      <c r="I104" s="3659">
        <f t="shared" si="5"/>
        <v>248200</v>
      </c>
      <c r="J104" s="3659">
        <f t="shared" si="3"/>
        <v>10</v>
      </c>
      <c r="K104" s="3706">
        <v>44642</v>
      </c>
      <c r="L104" s="3729">
        <v>44652</v>
      </c>
      <c r="M104" s="3663" t="s">
        <v>3976</v>
      </c>
      <c r="N104" s="3698" t="s">
        <v>4072</v>
      </c>
      <c r="O104" s="3719" t="s">
        <v>4208</v>
      </c>
      <c r="P104" s="3707">
        <v>44743</v>
      </c>
      <c r="Q104" s="3655" t="s">
        <v>4269</v>
      </c>
      <c r="R104" s="3730">
        <v>0.1</v>
      </c>
      <c r="S104" s="3720" t="s">
        <v>3984</v>
      </c>
      <c r="T104" s="3656" t="s">
        <v>3985</v>
      </c>
      <c r="U104" s="3656" t="s">
        <v>3986</v>
      </c>
    </row>
    <row r="105" spans="1:21" s="3721" customFormat="1" ht="33.75" hidden="1" customHeight="1">
      <c r="A105" s="3652">
        <v>103</v>
      </c>
      <c r="B105" s="3704" t="s">
        <v>4270</v>
      </c>
      <c r="C105" s="3727" t="s">
        <v>4271</v>
      </c>
      <c r="D105" s="3711">
        <v>40</v>
      </c>
      <c r="E105" s="3775"/>
      <c r="F105" s="3702">
        <v>14.79</v>
      </c>
      <c r="G105" s="3702"/>
      <c r="H105" s="3702">
        <f>60000+108000</f>
        <v>168000</v>
      </c>
      <c r="I105" s="3659">
        <f t="shared" si="5"/>
        <v>168000</v>
      </c>
      <c r="J105" s="3659">
        <f t="shared" si="3"/>
        <v>14.79</v>
      </c>
      <c r="K105" s="3706">
        <v>44645</v>
      </c>
      <c r="L105" s="3729">
        <v>44652</v>
      </c>
      <c r="M105" s="3663" t="s">
        <v>4055</v>
      </c>
      <c r="N105" s="3698" t="s">
        <v>4272</v>
      </c>
      <c r="O105" s="3719"/>
      <c r="P105" s="3707">
        <v>44682</v>
      </c>
      <c r="Q105" s="3655" t="s">
        <v>3990</v>
      </c>
      <c r="R105" s="3652" t="s">
        <v>3991</v>
      </c>
      <c r="S105" s="3720" t="s">
        <v>3984</v>
      </c>
      <c r="T105" s="3723" t="s">
        <v>3986</v>
      </c>
      <c r="U105" s="3723" t="s">
        <v>3986</v>
      </c>
    </row>
    <row r="106" spans="1:21" s="3721" customFormat="1" ht="33.75" customHeight="1">
      <c r="A106" s="3652">
        <v>104</v>
      </c>
      <c r="B106" s="3704" t="s">
        <v>4273</v>
      </c>
      <c r="C106" s="3727" t="s">
        <v>4274</v>
      </c>
      <c r="D106" s="3711">
        <v>79</v>
      </c>
      <c r="E106" s="3775">
        <v>12</v>
      </c>
      <c r="F106" s="3702">
        <v>3</v>
      </c>
      <c r="G106" s="3702">
        <v>259515</v>
      </c>
      <c r="H106" s="3702">
        <v>86505</v>
      </c>
      <c r="I106" s="3659">
        <f t="shared" si="5"/>
        <v>346020</v>
      </c>
      <c r="J106" s="3659">
        <f t="shared" si="3"/>
        <v>15</v>
      </c>
      <c r="K106" s="3706">
        <v>44701</v>
      </c>
      <c r="L106" s="3729">
        <v>44713</v>
      </c>
      <c r="M106" s="3663" t="s">
        <v>3976</v>
      </c>
      <c r="N106" s="3698" t="s">
        <v>4072</v>
      </c>
      <c r="O106" s="3719" t="s">
        <v>4180</v>
      </c>
      <c r="P106" s="3707">
        <v>44835</v>
      </c>
      <c r="Q106" s="3655" t="s">
        <v>3990</v>
      </c>
      <c r="R106" s="3652" t="s">
        <v>3991</v>
      </c>
      <c r="S106" s="3720" t="s">
        <v>3984</v>
      </c>
      <c r="T106" s="3656" t="s">
        <v>3985</v>
      </c>
      <c r="U106" s="3656" t="s">
        <v>3986</v>
      </c>
    </row>
    <row r="107" spans="1:21" s="3721" customFormat="1" ht="33.75" hidden="1" customHeight="1">
      <c r="A107" s="3652">
        <v>105</v>
      </c>
      <c r="B107" s="3731" t="s">
        <v>4275</v>
      </c>
      <c r="C107" s="3727" t="s">
        <v>4276</v>
      </c>
      <c r="D107" s="3711">
        <v>298</v>
      </c>
      <c r="E107" s="3775">
        <v>5</v>
      </c>
      <c r="F107" s="3702">
        <v>3</v>
      </c>
      <c r="G107" s="3702">
        <v>543850</v>
      </c>
      <c r="H107" s="3702">
        <v>326310</v>
      </c>
      <c r="I107" s="3659">
        <f t="shared" si="5"/>
        <v>870160</v>
      </c>
      <c r="J107" s="3659">
        <f t="shared" si="3"/>
        <v>8</v>
      </c>
      <c r="K107" s="3706">
        <v>44649</v>
      </c>
      <c r="L107" s="3729">
        <v>44682</v>
      </c>
      <c r="M107" s="3663" t="s">
        <v>3976</v>
      </c>
      <c r="N107" s="3698" t="s">
        <v>4262</v>
      </c>
      <c r="O107" s="3719" t="s">
        <v>4208</v>
      </c>
      <c r="P107" s="3707">
        <v>44774</v>
      </c>
      <c r="Q107" s="3655" t="s">
        <v>4277</v>
      </c>
      <c r="R107" s="3730">
        <v>0.02</v>
      </c>
      <c r="S107" s="3720" t="s">
        <v>3984</v>
      </c>
      <c r="T107" s="3656" t="s">
        <v>3985</v>
      </c>
      <c r="U107" s="3656" t="s">
        <v>3986</v>
      </c>
    </row>
    <row r="108" spans="1:21" s="3721" customFormat="1" ht="33.75" hidden="1" customHeight="1">
      <c r="A108" s="3652">
        <v>106</v>
      </c>
      <c r="B108" s="3731" t="s">
        <v>4278</v>
      </c>
      <c r="C108" s="3724" t="s">
        <v>4279</v>
      </c>
      <c r="D108" s="3725">
        <v>126</v>
      </c>
      <c r="E108" s="3773">
        <v>9</v>
      </c>
      <c r="F108" s="3659">
        <v>3</v>
      </c>
      <c r="G108" s="3659">
        <v>413910</v>
      </c>
      <c r="H108" s="3659">
        <v>137970</v>
      </c>
      <c r="I108" s="3659">
        <f t="shared" si="5"/>
        <v>551880</v>
      </c>
      <c r="J108" s="3659">
        <f t="shared" si="3"/>
        <v>12</v>
      </c>
      <c r="K108" s="3718">
        <v>44652</v>
      </c>
      <c r="L108" s="3654">
        <v>44652</v>
      </c>
      <c r="M108" s="3663" t="s">
        <v>3976</v>
      </c>
      <c r="N108" s="3698" t="s">
        <v>4262</v>
      </c>
      <c r="O108" s="3719" t="s">
        <v>4048</v>
      </c>
      <c r="P108" s="3707">
        <v>44866</v>
      </c>
      <c r="Q108" s="3655" t="s">
        <v>4280</v>
      </c>
      <c r="R108" s="3730">
        <v>0.04</v>
      </c>
      <c r="S108" s="3720" t="s">
        <v>3984</v>
      </c>
      <c r="T108" s="3656" t="s">
        <v>3985</v>
      </c>
      <c r="U108" s="3656" t="s">
        <v>3986</v>
      </c>
    </row>
    <row r="109" spans="1:21" s="3721" customFormat="1" ht="33.75" hidden="1" customHeight="1">
      <c r="A109" s="3652">
        <v>107</v>
      </c>
      <c r="B109" s="3731" t="s">
        <v>4281</v>
      </c>
      <c r="C109" s="3724" t="s">
        <v>4282</v>
      </c>
      <c r="D109" s="3725">
        <v>97</v>
      </c>
      <c r="E109" s="3773"/>
      <c r="F109" s="3659"/>
      <c r="G109" s="3659"/>
      <c r="H109" s="3659">
        <v>120000</v>
      </c>
      <c r="I109" s="3659">
        <f t="shared" si="5"/>
        <v>120000</v>
      </c>
      <c r="J109" s="3659">
        <f t="shared" si="3"/>
        <v>0</v>
      </c>
      <c r="K109" s="3718">
        <v>44652</v>
      </c>
      <c r="L109" s="3654">
        <v>44652</v>
      </c>
      <c r="M109" s="3663" t="s">
        <v>3976</v>
      </c>
      <c r="N109" s="3698" t="s">
        <v>4262</v>
      </c>
      <c r="O109" s="3719" t="s">
        <v>4208</v>
      </c>
      <c r="P109" s="3707">
        <v>44774</v>
      </c>
      <c r="Q109" s="3655" t="s">
        <v>3990</v>
      </c>
      <c r="R109" s="3652" t="s">
        <v>3991</v>
      </c>
      <c r="S109" s="3720" t="s">
        <v>3984</v>
      </c>
      <c r="T109" s="3723" t="s">
        <v>3986</v>
      </c>
      <c r="U109" s="3723" t="s">
        <v>3986</v>
      </c>
    </row>
    <row r="110" spans="1:21" s="3721" customFormat="1" ht="33.75" hidden="1" customHeight="1">
      <c r="A110" s="3652">
        <v>108</v>
      </c>
      <c r="B110" s="3731" t="s">
        <v>4283</v>
      </c>
      <c r="C110" s="3724" t="s">
        <v>4284</v>
      </c>
      <c r="D110" s="3725">
        <v>235</v>
      </c>
      <c r="E110" s="3773">
        <v>6</v>
      </c>
      <c r="F110" s="3659">
        <v>3</v>
      </c>
      <c r="G110" s="3659">
        <v>514650</v>
      </c>
      <c r="H110" s="3659">
        <v>257325</v>
      </c>
      <c r="I110" s="3659">
        <f t="shared" si="5"/>
        <v>771975</v>
      </c>
      <c r="J110" s="3659">
        <f t="shared" si="3"/>
        <v>9</v>
      </c>
      <c r="K110" s="3718">
        <v>44653</v>
      </c>
      <c r="L110" s="3654">
        <v>44682</v>
      </c>
      <c r="M110" s="3663" t="s">
        <v>3976</v>
      </c>
      <c r="N110" s="3698" t="s">
        <v>4214</v>
      </c>
      <c r="O110" s="3719" t="s">
        <v>4048</v>
      </c>
      <c r="P110" s="3707">
        <v>44866</v>
      </c>
      <c r="Q110" s="3655" t="s">
        <v>4285</v>
      </c>
      <c r="R110" s="3730">
        <v>0.05</v>
      </c>
      <c r="S110" s="3720" t="s">
        <v>3984</v>
      </c>
      <c r="T110" s="3656" t="s">
        <v>3985</v>
      </c>
      <c r="U110" s="3656" t="s">
        <v>3986</v>
      </c>
    </row>
    <row r="111" spans="1:21" s="3721" customFormat="1" ht="33.75" hidden="1" customHeight="1">
      <c r="A111" s="3652">
        <v>109</v>
      </c>
      <c r="B111" s="3657" t="s">
        <v>4286</v>
      </c>
      <c r="C111" s="3724" t="s">
        <v>4287</v>
      </c>
      <c r="D111" s="3725">
        <v>238</v>
      </c>
      <c r="E111" s="3773">
        <v>9</v>
      </c>
      <c r="F111" s="3659">
        <v>3</v>
      </c>
      <c r="G111" s="3659">
        <v>781830</v>
      </c>
      <c r="H111" s="3659">
        <v>260610</v>
      </c>
      <c r="I111" s="3659">
        <f t="shared" si="5"/>
        <v>1042440</v>
      </c>
      <c r="J111" s="3659">
        <f t="shared" si="3"/>
        <v>12</v>
      </c>
      <c r="K111" s="3718">
        <v>44659</v>
      </c>
      <c r="L111" s="3654">
        <v>44659</v>
      </c>
      <c r="M111" s="3663" t="s">
        <v>3812</v>
      </c>
      <c r="N111" s="3698" t="s">
        <v>4262</v>
      </c>
      <c r="O111" s="3719" t="s">
        <v>4208</v>
      </c>
      <c r="P111" s="3707">
        <v>44774</v>
      </c>
      <c r="Q111" s="3655" t="s">
        <v>4227</v>
      </c>
      <c r="R111" s="3730">
        <v>2.5000000000000001E-2</v>
      </c>
      <c r="S111" s="3720" t="s">
        <v>3984</v>
      </c>
      <c r="T111" s="3656" t="s">
        <v>3985</v>
      </c>
      <c r="U111" s="3656" t="s">
        <v>3986</v>
      </c>
    </row>
    <row r="112" spans="1:21" s="3721" customFormat="1" ht="33.75" hidden="1" customHeight="1">
      <c r="A112" s="3652">
        <v>110</v>
      </c>
      <c r="B112" s="3712" t="s">
        <v>4288</v>
      </c>
      <c r="C112" s="3724" t="s">
        <v>4289</v>
      </c>
      <c r="D112" s="3725">
        <v>630</v>
      </c>
      <c r="E112" s="3773"/>
      <c r="F112" s="3659">
        <v>4</v>
      </c>
      <c r="G112" s="3659"/>
      <c r="H112" s="3659">
        <v>919800</v>
      </c>
      <c r="I112" s="3659">
        <f t="shared" si="5"/>
        <v>919800</v>
      </c>
      <c r="J112" s="3659">
        <f t="shared" si="3"/>
        <v>4</v>
      </c>
      <c r="K112" s="3718">
        <v>44663</v>
      </c>
      <c r="L112" s="3654">
        <v>44652</v>
      </c>
      <c r="M112" s="3663" t="s">
        <v>3976</v>
      </c>
      <c r="N112" s="3698" t="s">
        <v>4107</v>
      </c>
      <c r="O112" s="3719" t="s">
        <v>4208</v>
      </c>
      <c r="P112" s="3707">
        <v>44896</v>
      </c>
      <c r="Q112" s="3655" t="s">
        <v>4290</v>
      </c>
      <c r="R112" s="3730">
        <v>0.06</v>
      </c>
      <c r="S112" s="3720" t="s">
        <v>3984</v>
      </c>
      <c r="T112" s="3723" t="s">
        <v>3986</v>
      </c>
      <c r="U112" s="3723" t="s">
        <v>3986</v>
      </c>
    </row>
    <row r="113" spans="1:21" s="3721" customFormat="1" ht="33.75" hidden="1" customHeight="1">
      <c r="A113" s="3652">
        <v>111</v>
      </c>
      <c r="B113" s="3731" t="s">
        <v>4291</v>
      </c>
      <c r="C113" s="3727" t="s">
        <v>4292</v>
      </c>
      <c r="D113" s="3725">
        <v>1020</v>
      </c>
      <c r="E113" s="3773"/>
      <c r="F113" s="3659"/>
      <c r="G113" s="3659"/>
      <c r="H113" s="3659"/>
      <c r="I113" s="3712" t="s">
        <v>4293</v>
      </c>
      <c r="J113" s="3659"/>
      <c r="K113" s="3706">
        <v>44664</v>
      </c>
      <c r="L113" s="3654"/>
      <c r="M113" s="3663" t="s">
        <v>3980</v>
      </c>
      <c r="N113" s="3698" t="s">
        <v>4003</v>
      </c>
      <c r="O113" s="3719"/>
      <c r="P113" s="3707">
        <v>44793</v>
      </c>
      <c r="Q113" s="3712" t="s">
        <v>4293</v>
      </c>
      <c r="R113" s="3730"/>
      <c r="S113" s="3720" t="s">
        <v>3984</v>
      </c>
      <c r="T113" s="3723" t="s">
        <v>3986</v>
      </c>
      <c r="U113" s="3723" t="s">
        <v>3986</v>
      </c>
    </row>
    <row r="114" spans="1:21" s="3721" customFormat="1" ht="33.75" customHeight="1">
      <c r="A114" s="3652">
        <v>112</v>
      </c>
      <c r="B114" s="3732" t="s">
        <v>4294</v>
      </c>
      <c r="C114" s="3724" t="s">
        <v>4295</v>
      </c>
      <c r="D114" s="3725">
        <v>253</v>
      </c>
      <c r="E114" s="3773">
        <v>14</v>
      </c>
      <c r="F114" s="3659">
        <v>3</v>
      </c>
      <c r="G114" s="3659">
        <v>1292830</v>
      </c>
      <c r="H114" s="3659">
        <v>277035</v>
      </c>
      <c r="I114" s="3659">
        <f t="shared" si="5"/>
        <v>1569865</v>
      </c>
      <c r="J114" s="3659">
        <f t="shared" si="3"/>
        <v>17</v>
      </c>
      <c r="K114" s="3718">
        <v>44664</v>
      </c>
      <c r="L114" s="3654">
        <v>44682</v>
      </c>
      <c r="M114" s="3663" t="s">
        <v>4055</v>
      </c>
      <c r="N114" s="3698" t="s">
        <v>4296</v>
      </c>
      <c r="O114" s="3719" t="s">
        <v>4033</v>
      </c>
      <c r="P114" s="3707">
        <v>44805</v>
      </c>
      <c r="Q114" s="3655" t="s">
        <v>4297</v>
      </c>
      <c r="R114" s="3730">
        <v>2.5000000000000001E-2</v>
      </c>
      <c r="S114" s="3720" t="s">
        <v>4074</v>
      </c>
      <c r="T114" s="3656" t="s">
        <v>4075</v>
      </c>
      <c r="U114" s="3656" t="s">
        <v>4075</v>
      </c>
    </row>
    <row r="115" spans="1:21" s="3721" customFormat="1" ht="33.75" hidden="1" customHeight="1">
      <c r="A115" s="3652">
        <v>113</v>
      </c>
      <c r="B115" s="3733" t="s">
        <v>4298</v>
      </c>
      <c r="C115" s="3724" t="s">
        <v>4299</v>
      </c>
      <c r="D115" s="3725">
        <v>172</v>
      </c>
      <c r="E115" s="3773">
        <v>5</v>
      </c>
      <c r="F115" s="3659">
        <v>3</v>
      </c>
      <c r="G115" s="3659">
        <v>313900</v>
      </c>
      <c r="H115" s="3659">
        <v>188340</v>
      </c>
      <c r="I115" s="3659">
        <f t="shared" si="5"/>
        <v>502240</v>
      </c>
      <c r="J115" s="3659">
        <f t="shared" si="3"/>
        <v>8</v>
      </c>
      <c r="K115" s="3718">
        <v>44670</v>
      </c>
      <c r="L115" s="3654">
        <v>44696</v>
      </c>
      <c r="M115" s="3663" t="s">
        <v>3812</v>
      </c>
      <c r="N115" s="3698" t="s">
        <v>4300</v>
      </c>
      <c r="O115" s="3719" t="s">
        <v>4123</v>
      </c>
      <c r="P115" s="3707">
        <v>44910</v>
      </c>
      <c r="Q115" s="3655" t="s">
        <v>4301</v>
      </c>
      <c r="R115" s="3730">
        <v>0.06</v>
      </c>
      <c r="S115" s="3720" t="s">
        <v>4074</v>
      </c>
      <c r="T115" s="3656" t="s">
        <v>4075</v>
      </c>
      <c r="U115" s="3656" t="s">
        <v>4079</v>
      </c>
    </row>
    <row r="116" spans="1:21" s="3721" customFormat="1" ht="33.75" hidden="1" customHeight="1">
      <c r="A116" s="3652">
        <v>114</v>
      </c>
      <c r="B116" s="3733" t="s">
        <v>4302</v>
      </c>
      <c r="C116" s="3724" t="s">
        <v>4299</v>
      </c>
      <c r="D116" s="3725">
        <v>81</v>
      </c>
      <c r="E116" s="3773">
        <v>5</v>
      </c>
      <c r="F116" s="3659">
        <v>3</v>
      </c>
      <c r="G116" s="3659">
        <v>147825</v>
      </c>
      <c r="H116" s="3659">
        <v>88695</v>
      </c>
      <c r="I116" s="3659">
        <f t="shared" si="5"/>
        <v>236520</v>
      </c>
      <c r="J116" s="3659">
        <f t="shared" si="3"/>
        <v>8</v>
      </c>
      <c r="K116" s="3718">
        <v>44670</v>
      </c>
      <c r="L116" s="3654">
        <v>44696</v>
      </c>
      <c r="M116" s="3663" t="s">
        <v>3812</v>
      </c>
      <c r="N116" s="3698" t="s">
        <v>4300</v>
      </c>
      <c r="O116" s="3719" t="s">
        <v>4123</v>
      </c>
      <c r="P116" s="3707">
        <v>44910</v>
      </c>
      <c r="Q116" s="3655" t="s">
        <v>4227</v>
      </c>
      <c r="R116" s="3730">
        <v>2.5000000000000001E-2</v>
      </c>
      <c r="S116" s="3720" t="s">
        <v>4074</v>
      </c>
      <c r="T116" s="3656" t="s">
        <v>4075</v>
      </c>
      <c r="U116" s="3656" t="s">
        <v>4079</v>
      </c>
    </row>
    <row r="117" spans="1:21" s="3721" customFormat="1" ht="33.75" customHeight="1">
      <c r="A117" s="3652">
        <v>115</v>
      </c>
      <c r="B117" s="3701" t="s">
        <v>4303</v>
      </c>
      <c r="C117" s="3724" t="s">
        <v>4304</v>
      </c>
      <c r="D117" s="3725">
        <v>34</v>
      </c>
      <c r="E117" s="3773">
        <v>11.5</v>
      </c>
      <c r="F117" s="3659">
        <v>3</v>
      </c>
      <c r="G117" s="3659">
        <v>142770</v>
      </c>
      <c r="H117" s="3659">
        <v>37230</v>
      </c>
      <c r="I117" s="3659">
        <f t="shared" si="5"/>
        <v>180000</v>
      </c>
      <c r="J117" s="3659">
        <f t="shared" si="3"/>
        <v>14.5</v>
      </c>
      <c r="K117" s="3718">
        <v>44678</v>
      </c>
      <c r="L117" s="3654">
        <v>44696</v>
      </c>
      <c r="M117" s="3663" t="s">
        <v>3976</v>
      </c>
      <c r="N117" s="3698" t="s">
        <v>4305</v>
      </c>
      <c r="O117" s="3719" t="s">
        <v>4306</v>
      </c>
      <c r="P117" s="3707">
        <v>44805</v>
      </c>
      <c r="Q117" s="3655" t="s">
        <v>4307</v>
      </c>
      <c r="R117" s="3730">
        <v>2.5000000000000001E-2</v>
      </c>
      <c r="S117" s="3720" t="s">
        <v>4074</v>
      </c>
      <c r="T117" s="3656" t="s">
        <v>4075</v>
      </c>
      <c r="U117" s="3656" t="s">
        <v>4079</v>
      </c>
    </row>
    <row r="118" spans="1:21" s="3721" customFormat="1" ht="33.75" customHeight="1">
      <c r="A118" s="3652">
        <v>116</v>
      </c>
      <c r="B118" s="3733" t="s">
        <v>4308</v>
      </c>
      <c r="C118" s="3724" t="s">
        <v>4309</v>
      </c>
      <c r="D118" s="3725">
        <v>84</v>
      </c>
      <c r="E118" s="3773">
        <v>10</v>
      </c>
      <c r="F118" s="3659">
        <v>3</v>
      </c>
      <c r="G118" s="3659">
        <v>306600</v>
      </c>
      <c r="H118" s="3659">
        <v>91980</v>
      </c>
      <c r="I118" s="3659">
        <f t="shared" si="5"/>
        <v>398580</v>
      </c>
      <c r="J118" s="3659">
        <f t="shared" si="3"/>
        <v>13</v>
      </c>
      <c r="K118" s="3718">
        <v>44725</v>
      </c>
      <c r="L118" s="3654">
        <v>44730</v>
      </c>
      <c r="M118" s="3663" t="s">
        <v>3976</v>
      </c>
      <c r="N118" s="3698" t="s">
        <v>4310</v>
      </c>
      <c r="O118" s="3719" t="s">
        <v>4311</v>
      </c>
      <c r="P118" s="3707">
        <v>44913</v>
      </c>
      <c r="Q118" s="3655" t="s">
        <v>4312</v>
      </c>
      <c r="R118" s="3730">
        <v>3.7999999999999999E-2</v>
      </c>
      <c r="S118" s="3720" t="s">
        <v>4074</v>
      </c>
      <c r="T118" s="3656" t="s">
        <v>4075</v>
      </c>
      <c r="U118" s="3656" t="s">
        <v>4075</v>
      </c>
    </row>
    <row r="119" spans="1:21" s="3721" customFormat="1" ht="33.75" hidden="1" customHeight="1">
      <c r="A119" s="3652">
        <v>117</v>
      </c>
      <c r="B119" s="3733" t="s">
        <v>4313</v>
      </c>
      <c r="C119" s="3727" t="s">
        <v>4314</v>
      </c>
      <c r="D119" s="3705">
        <v>2228</v>
      </c>
      <c r="E119" s="3773"/>
      <c r="F119" s="3659"/>
      <c r="G119" s="3659"/>
      <c r="H119" s="3659"/>
      <c r="I119" s="3659" t="s">
        <v>4315</v>
      </c>
      <c r="J119" s="3659">
        <f t="shared" si="3"/>
        <v>0</v>
      </c>
      <c r="K119" s="3706">
        <v>44743</v>
      </c>
      <c r="L119" s="3707">
        <v>44743</v>
      </c>
      <c r="M119" s="3712" t="s">
        <v>4316</v>
      </c>
      <c r="N119" s="3698" t="s">
        <v>4317</v>
      </c>
      <c r="O119" s="3719"/>
      <c r="P119" s="3707">
        <v>44896</v>
      </c>
      <c r="Q119" s="3659" t="s">
        <v>4315</v>
      </c>
      <c r="R119" s="3730"/>
      <c r="S119" s="3720" t="s">
        <v>4074</v>
      </c>
      <c r="T119" s="3723" t="s">
        <v>4079</v>
      </c>
      <c r="U119" s="3723" t="s">
        <v>4079</v>
      </c>
    </row>
    <row r="120" spans="1:21" s="3721" customFormat="1" ht="33.75" hidden="1" customHeight="1">
      <c r="A120" s="3652">
        <v>118</v>
      </c>
      <c r="B120" s="3734" t="s">
        <v>4318</v>
      </c>
      <c r="C120" s="3727" t="s">
        <v>4319</v>
      </c>
      <c r="D120" s="3711">
        <v>44</v>
      </c>
      <c r="E120" s="3773"/>
      <c r="F120" s="3659">
        <v>10</v>
      </c>
      <c r="G120" s="3659"/>
      <c r="H120" s="3659">
        <v>160600</v>
      </c>
      <c r="I120" s="3659">
        <f t="shared" si="5"/>
        <v>160600</v>
      </c>
      <c r="J120" s="3659">
        <f t="shared" si="3"/>
        <v>10</v>
      </c>
      <c r="K120" s="3706">
        <v>44748</v>
      </c>
      <c r="L120" s="3707">
        <v>44757</v>
      </c>
      <c r="M120" s="3663" t="s">
        <v>3976</v>
      </c>
      <c r="N120" s="3698" t="s">
        <v>4305</v>
      </c>
      <c r="O120" s="3719" t="s">
        <v>4320</v>
      </c>
      <c r="P120" s="3707">
        <v>44866</v>
      </c>
      <c r="Q120" s="3655" t="s">
        <v>4321</v>
      </c>
      <c r="R120" s="3730">
        <v>2.5000000000000001E-2</v>
      </c>
      <c r="S120" s="3720" t="s">
        <v>4074</v>
      </c>
      <c r="T120" s="3723" t="s">
        <v>4079</v>
      </c>
      <c r="U120" s="3723" t="s">
        <v>4079</v>
      </c>
    </row>
    <row r="121" spans="1:21" s="3721" customFormat="1" ht="33.75" hidden="1" customHeight="1">
      <c r="A121" s="3652">
        <v>119</v>
      </c>
      <c r="B121" s="3712" t="s">
        <v>4322</v>
      </c>
      <c r="C121" s="3724" t="s">
        <v>4323</v>
      </c>
      <c r="D121" s="3725">
        <v>133</v>
      </c>
      <c r="E121" s="3773"/>
      <c r="F121" s="3659">
        <v>5</v>
      </c>
      <c r="G121" s="3659"/>
      <c r="H121" s="3659">
        <v>242725</v>
      </c>
      <c r="I121" s="3659">
        <f t="shared" si="5"/>
        <v>242725</v>
      </c>
      <c r="J121" s="3659">
        <f t="shared" si="3"/>
        <v>5</v>
      </c>
      <c r="K121" s="3718">
        <v>44756</v>
      </c>
      <c r="L121" s="3654">
        <v>44774</v>
      </c>
      <c r="M121" s="3663" t="s">
        <v>3976</v>
      </c>
      <c r="N121" s="3698" t="s">
        <v>4305</v>
      </c>
      <c r="O121" s="3719" t="s">
        <v>4131</v>
      </c>
      <c r="P121" s="3707">
        <v>44835</v>
      </c>
      <c r="Q121" s="3655" t="s">
        <v>4321</v>
      </c>
      <c r="R121" s="3730">
        <v>2.5000000000000001E-2</v>
      </c>
      <c r="S121" s="3720" t="s">
        <v>4074</v>
      </c>
      <c r="T121" s="3723" t="s">
        <v>4079</v>
      </c>
      <c r="U121" s="3723" t="s">
        <v>4079</v>
      </c>
    </row>
    <row r="122" spans="1:21" s="3721" customFormat="1" ht="33.75" customHeight="1">
      <c r="A122" s="3652">
        <v>120</v>
      </c>
      <c r="B122" s="3734" t="s">
        <v>4324</v>
      </c>
      <c r="C122" s="3727" t="s">
        <v>4325</v>
      </c>
      <c r="D122" s="3711">
        <v>54</v>
      </c>
      <c r="E122" s="3775">
        <v>10</v>
      </c>
      <c r="F122" s="3702">
        <v>3</v>
      </c>
      <c r="G122" s="3702">
        <v>197100</v>
      </c>
      <c r="H122" s="3702">
        <v>59130</v>
      </c>
      <c r="I122" s="3659">
        <f t="shared" si="5"/>
        <v>256230</v>
      </c>
      <c r="J122" s="3659">
        <f t="shared" si="3"/>
        <v>13</v>
      </c>
      <c r="K122" s="3706">
        <v>44760</v>
      </c>
      <c r="L122" s="3729">
        <v>44774</v>
      </c>
      <c r="M122" s="3663" t="s">
        <v>3976</v>
      </c>
      <c r="N122" s="3698" t="s">
        <v>4305</v>
      </c>
      <c r="O122" s="3719" t="s">
        <v>4306</v>
      </c>
      <c r="P122" s="3707">
        <v>44896</v>
      </c>
      <c r="Q122" s="3655" t="s">
        <v>4326</v>
      </c>
      <c r="R122" s="3730">
        <v>0.15</v>
      </c>
      <c r="S122" s="3720" t="s">
        <v>4074</v>
      </c>
      <c r="T122" s="3656" t="s">
        <v>4075</v>
      </c>
      <c r="U122" s="3656" t="s">
        <v>4079</v>
      </c>
    </row>
    <row r="123" spans="1:21" s="3721" customFormat="1" ht="33.75" hidden="1" customHeight="1">
      <c r="A123" s="3652">
        <v>121</v>
      </c>
      <c r="B123" s="3734" t="s">
        <v>4327</v>
      </c>
      <c r="C123" s="3727" t="s">
        <v>4328</v>
      </c>
      <c r="D123" s="3711">
        <v>155</v>
      </c>
      <c r="E123" s="3775">
        <v>6</v>
      </c>
      <c r="F123" s="3702">
        <v>3</v>
      </c>
      <c r="G123" s="3702">
        <v>339450</v>
      </c>
      <c r="H123" s="3702">
        <v>169725</v>
      </c>
      <c r="I123" s="3659">
        <f t="shared" si="5"/>
        <v>509175</v>
      </c>
      <c r="J123" s="3659">
        <f t="shared" si="3"/>
        <v>9</v>
      </c>
      <c r="K123" s="3706">
        <v>44790</v>
      </c>
      <c r="L123" s="3729">
        <v>44805</v>
      </c>
      <c r="M123" s="3663" t="s">
        <v>3976</v>
      </c>
      <c r="N123" s="3698" t="s">
        <v>4305</v>
      </c>
      <c r="O123" s="3719" t="s">
        <v>4311</v>
      </c>
      <c r="P123" s="3707">
        <v>44986</v>
      </c>
      <c r="Q123" s="3655" t="s">
        <v>4091</v>
      </c>
      <c r="R123" s="3652" t="s">
        <v>4092</v>
      </c>
      <c r="S123" s="3720" t="s">
        <v>4074</v>
      </c>
      <c r="T123" s="3656" t="s">
        <v>4075</v>
      </c>
      <c r="U123" s="3656" t="s">
        <v>4079</v>
      </c>
    </row>
    <row r="124" spans="1:21" s="3721" customFormat="1" ht="33.75" hidden="1" customHeight="1">
      <c r="A124" s="3652">
        <v>122</v>
      </c>
      <c r="B124" s="3734" t="s">
        <v>4329</v>
      </c>
      <c r="C124" s="3727" t="s">
        <v>4330</v>
      </c>
      <c r="D124" s="3711">
        <v>710</v>
      </c>
      <c r="E124" s="3775"/>
      <c r="F124" s="3702"/>
      <c r="G124" s="3702"/>
      <c r="H124" s="3702"/>
      <c r="I124" s="3659" t="s">
        <v>4331</v>
      </c>
      <c r="J124" s="3659"/>
      <c r="K124" s="3706">
        <v>44791</v>
      </c>
      <c r="L124" s="3729">
        <v>44793</v>
      </c>
      <c r="M124" s="3663" t="s">
        <v>3980</v>
      </c>
      <c r="N124" s="3698" t="s">
        <v>4020</v>
      </c>
      <c r="O124" s="3719" t="s">
        <v>4025</v>
      </c>
      <c r="P124" s="3707">
        <v>44866</v>
      </c>
      <c r="Q124" s="3659" t="s">
        <v>4331</v>
      </c>
      <c r="R124" s="3652"/>
      <c r="S124" s="3720" t="s">
        <v>4016</v>
      </c>
      <c r="T124" s="3723" t="s">
        <v>4017</v>
      </c>
      <c r="U124" s="3723" t="s">
        <v>4017</v>
      </c>
    </row>
    <row r="125" spans="1:21" s="3721" customFormat="1" ht="33.75" hidden="1" customHeight="1">
      <c r="A125" s="3652">
        <v>123</v>
      </c>
      <c r="B125" s="3734" t="s">
        <v>4332</v>
      </c>
      <c r="C125" s="3727" t="s">
        <v>4333</v>
      </c>
      <c r="D125" s="3711">
        <v>134</v>
      </c>
      <c r="E125" s="3775"/>
      <c r="F125" s="3702">
        <v>6</v>
      </c>
      <c r="G125" s="3702"/>
      <c r="H125" s="3702">
        <v>293460</v>
      </c>
      <c r="I125" s="3659">
        <f t="shared" si="5"/>
        <v>293460</v>
      </c>
      <c r="J125" s="3659">
        <f t="shared" si="3"/>
        <v>6</v>
      </c>
      <c r="K125" s="3706">
        <v>44795</v>
      </c>
      <c r="L125" s="3729">
        <v>44805</v>
      </c>
      <c r="M125" s="3663" t="s">
        <v>3976</v>
      </c>
      <c r="N125" s="3698" t="s">
        <v>4029</v>
      </c>
      <c r="O125" s="3719" t="s">
        <v>4103</v>
      </c>
      <c r="P125" s="3707">
        <v>44986</v>
      </c>
      <c r="Q125" s="3655" t="s">
        <v>4109</v>
      </c>
      <c r="R125" s="3652" t="s">
        <v>4110</v>
      </c>
      <c r="S125" s="3720" t="s">
        <v>4016</v>
      </c>
      <c r="T125" s="3723" t="s">
        <v>4017</v>
      </c>
      <c r="U125" s="3723" t="s">
        <v>4017</v>
      </c>
    </row>
    <row r="126" spans="1:21" s="3721" customFormat="1" ht="33.75" hidden="1" customHeight="1">
      <c r="A126" s="3652">
        <v>124</v>
      </c>
      <c r="B126" s="3734" t="s">
        <v>4334</v>
      </c>
      <c r="C126" s="3727" t="s">
        <v>4335</v>
      </c>
      <c r="D126" s="3711">
        <v>48</v>
      </c>
      <c r="E126" s="3775">
        <v>5.5</v>
      </c>
      <c r="F126" s="3702">
        <v>3</v>
      </c>
      <c r="G126" s="3702">
        <v>96360</v>
      </c>
      <c r="H126" s="3702">
        <v>52560</v>
      </c>
      <c r="I126" s="3659">
        <f t="shared" si="5"/>
        <v>148920</v>
      </c>
      <c r="J126" s="3659">
        <f t="shared" si="3"/>
        <v>8.5</v>
      </c>
      <c r="K126" s="3706">
        <v>44798</v>
      </c>
      <c r="L126" s="3729">
        <v>44805</v>
      </c>
      <c r="M126" s="3663" t="s">
        <v>3976</v>
      </c>
      <c r="N126" s="3735" t="s">
        <v>4336</v>
      </c>
      <c r="O126" s="3719" t="s">
        <v>4015</v>
      </c>
      <c r="P126" s="3707">
        <v>44927</v>
      </c>
      <c r="Q126" s="3655" t="s">
        <v>4241</v>
      </c>
      <c r="R126" s="3730">
        <v>2.5000000000000001E-2</v>
      </c>
      <c r="S126" s="3720" t="s">
        <v>4016</v>
      </c>
      <c r="T126" s="3656" t="s">
        <v>3944</v>
      </c>
      <c r="U126" s="3656" t="s">
        <v>4017</v>
      </c>
    </row>
    <row r="127" spans="1:21" s="3721" customFormat="1" ht="33.75" hidden="1" customHeight="1">
      <c r="A127" s="3652">
        <v>125</v>
      </c>
      <c r="B127" s="3731" t="s">
        <v>4337</v>
      </c>
      <c r="C127" s="3727" t="s">
        <v>4338</v>
      </c>
      <c r="D127" s="3711">
        <v>113</v>
      </c>
      <c r="E127" s="3775">
        <v>9</v>
      </c>
      <c r="F127" s="3702">
        <v>3</v>
      </c>
      <c r="G127" s="3702">
        <v>371205</v>
      </c>
      <c r="H127" s="3702">
        <v>123735</v>
      </c>
      <c r="I127" s="3659">
        <f t="shared" si="5"/>
        <v>494940</v>
      </c>
      <c r="J127" s="3659">
        <f t="shared" si="3"/>
        <v>12</v>
      </c>
      <c r="K127" s="3706">
        <v>44813</v>
      </c>
      <c r="L127" s="3729">
        <v>44824</v>
      </c>
      <c r="M127" s="3663" t="s">
        <v>3976</v>
      </c>
      <c r="N127" s="3698" t="s">
        <v>4029</v>
      </c>
      <c r="O127" s="3719" t="s">
        <v>4021</v>
      </c>
      <c r="P127" s="3707">
        <v>44915</v>
      </c>
      <c r="Q127" s="3655" t="s">
        <v>4339</v>
      </c>
      <c r="R127" s="3730">
        <v>0.08</v>
      </c>
      <c r="S127" s="3720" t="s">
        <v>4016</v>
      </c>
      <c r="T127" s="3656" t="s">
        <v>3944</v>
      </c>
      <c r="U127" s="3656" t="s">
        <v>4017</v>
      </c>
    </row>
    <row r="128" spans="1:21" s="3721" customFormat="1" ht="33.75" hidden="1" customHeight="1">
      <c r="A128" s="3652">
        <v>126</v>
      </c>
      <c r="B128" s="3709" t="s">
        <v>4340</v>
      </c>
      <c r="C128" s="3727" t="s">
        <v>4341</v>
      </c>
      <c r="D128" s="3711">
        <v>4</v>
      </c>
      <c r="E128" s="3775"/>
      <c r="F128" s="3702">
        <v>2.4700000000000002</v>
      </c>
      <c r="G128" s="3702"/>
      <c r="H128" s="3702">
        <v>3600</v>
      </c>
      <c r="I128" s="3659">
        <f t="shared" si="5"/>
        <v>3600</v>
      </c>
      <c r="J128" s="3659">
        <f t="shared" si="3"/>
        <v>2.4700000000000002</v>
      </c>
      <c r="K128" s="3706">
        <v>44861</v>
      </c>
      <c r="L128" s="3729">
        <v>44866</v>
      </c>
      <c r="M128" s="3663" t="s">
        <v>3976</v>
      </c>
      <c r="N128" s="3698" t="s">
        <v>4342</v>
      </c>
      <c r="O128" s="3719" t="s">
        <v>4025</v>
      </c>
      <c r="P128" s="3707">
        <v>44927</v>
      </c>
      <c r="Q128" s="3655" t="s">
        <v>4109</v>
      </c>
      <c r="R128" s="3652" t="s">
        <v>4110</v>
      </c>
      <c r="S128" s="3720" t="s">
        <v>4016</v>
      </c>
      <c r="T128" s="3723" t="s">
        <v>4017</v>
      </c>
      <c r="U128" s="3723" t="s">
        <v>4017</v>
      </c>
    </row>
    <row r="129" spans="1:21" s="3721" customFormat="1" ht="33.75" hidden="1" customHeight="1">
      <c r="A129" s="3652">
        <v>127</v>
      </c>
      <c r="B129" s="3708" t="s">
        <v>4343</v>
      </c>
      <c r="C129" s="3727" t="s">
        <v>4344</v>
      </c>
      <c r="D129" s="3711">
        <v>296</v>
      </c>
      <c r="E129" s="3775">
        <v>7</v>
      </c>
      <c r="F129" s="3702">
        <v>3</v>
      </c>
      <c r="G129" s="3702">
        <v>756279.96</v>
      </c>
      <c r="H129" s="3702">
        <v>324120</v>
      </c>
      <c r="I129" s="3659">
        <f t="shared" si="5"/>
        <v>1080399.96</v>
      </c>
      <c r="J129" s="3659">
        <f t="shared" si="3"/>
        <v>10</v>
      </c>
      <c r="K129" s="3706">
        <v>44862</v>
      </c>
      <c r="L129" s="3729">
        <v>44866</v>
      </c>
      <c r="M129" s="3663" t="s">
        <v>3976</v>
      </c>
      <c r="N129" s="3698" t="s">
        <v>4065</v>
      </c>
      <c r="O129" s="3719" t="s">
        <v>4345</v>
      </c>
      <c r="P129" s="3707">
        <v>44986</v>
      </c>
      <c r="Q129" s="3655" t="s">
        <v>4346</v>
      </c>
      <c r="R129" s="3730">
        <v>0.05</v>
      </c>
      <c r="S129" s="3720" t="s">
        <v>4016</v>
      </c>
      <c r="T129" s="3656" t="s">
        <v>4017</v>
      </c>
      <c r="U129" s="3656" t="s">
        <v>4017</v>
      </c>
    </row>
    <row r="130" spans="1:21" s="3721" customFormat="1" ht="33.75" hidden="1" customHeight="1">
      <c r="A130" s="3652">
        <v>128</v>
      </c>
      <c r="B130" s="3709" t="s">
        <v>4347</v>
      </c>
      <c r="C130" s="3727" t="s">
        <v>4348</v>
      </c>
      <c r="D130" s="3711">
        <v>545</v>
      </c>
      <c r="E130" s="3775"/>
      <c r="F130" s="3702"/>
      <c r="G130" s="3702"/>
      <c r="H130" s="3702"/>
      <c r="I130" s="3659" t="s">
        <v>4349</v>
      </c>
      <c r="J130" s="3659"/>
      <c r="K130" s="3729">
        <v>44864</v>
      </c>
      <c r="L130" s="3729">
        <v>44866</v>
      </c>
      <c r="M130" s="3663" t="s">
        <v>3980</v>
      </c>
      <c r="N130" s="3698" t="s">
        <v>4350</v>
      </c>
      <c r="O130" s="3719" t="s">
        <v>4351</v>
      </c>
      <c r="P130" s="3707">
        <v>44896</v>
      </c>
      <c r="Q130" s="3655" t="s">
        <v>4352</v>
      </c>
      <c r="R130" s="3730"/>
      <c r="S130" s="3720" t="s">
        <v>4016</v>
      </c>
      <c r="T130" s="3723" t="s">
        <v>4017</v>
      </c>
      <c r="U130" s="3723" t="s">
        <v>4017</v>
      </c>
    </row>
    <row r="131" spans="1:21" s="3721" customFormat="1" ht="33.75" hidden="1" customHeight="1">
      <c r="A131" s="3652">
        <v>129</v>
      </c>
      <c r="B131" s="3709" t="s">
        <v>4353</v>
      </c>
      <c r="C131" s="3727" t="s">
        <v>4354</v>
      </c>
      <c r="D131" s="3711">
        <v>130</v>
      </c>
      <c r="E131" s="3775"/>
      <c r="F131" s="3702">
        <v>5</v>
      </c>
      <c r="G131" s="3702"/>
      <c r="H131" s="3702">
        <v>237250</v>
      </c>
      <c r="I131" s="3659">
        <f t="shared" si="5"/>
        <v>237250</v>
      </c>
      <c r="J131" s="3659">
        <f t="shared" si="3"/>
        <v>5</v>
      </c>
      <c r="K131" s="3706">
        <v>44903</v>
      </c>
      <c r="L131" s="3729">
        <v>44927</v>
      </c>
      <c r="M131" s="3663" t="s">
        <v>3976</v>
      </c>
      <c r="N131" s="3698" t="s">
        <v>4355</v>
      </c>
      <c r="O131" s="3719" t="s">
        <v>4356</v>
      </c>
      <c r="P131" s="3707">
        <v>45078</v>
      </c>
      <c r="Q131" s="3655" t="s">
        <v>4109</v>
      </c>
      <c r="R131" s="3652" t="s">
        <v>4110</v>
      </c>
      <c r="S131" s="3720" t="s">
        <v>4016</v>
      </c>
      <c r="T131" s="3723" t="s">
        <v>4017</v>
      </c>
      <c r="U131" s="3723" t="s">
        <v>4017</v>
      </c>
    </row>
    <row r="132" spans="1:21" s="3721" customFormat="1" ht="33.75" hidden="1" customHeight="1">
      <c r="A132" s="3652">
        <v>130</v>
      </c>
      <c r="B132" s="3734" t="s">
        <v>4357</v>
      </c>
      <c r="C132" s="3727" t="s">
        <v>4358</v>
      </c>
      <c r="D132" s="3711">
        <v>307</v>
      </c>
      <c r="E132" s="3775">
        <v>5</v>
      </c>
      <c r="F132" s="3702">
        <v>3</v>
      </c>
      <c r="G132" s="3702">
        <v>560275</v>
      </c>
      <c r="H132" s="3702">
        <v>336165</v>
      </c>
      <c r="I132" s="3659">
        <f t="shared" si="5"/>
        <v>896440</v>
      </c>
      <c r="J132" s="3659">
        <f t="shared" si="3"/>
        <v>8</v>
      </c>
      <c r="K132" s="3706">
        <v>44914</v>
      </c>
      <c r="L132" s="3706">
        <v>44914</v>
      </c>
      <c r="M132" s="3663" t="s">
        <v>3976</v>
      </c>
      <c r="N132" s="3698" t="s">
        <v>4065</v>
      </c>
      <c r="O132" s="3719" t="s">
        <v>4103</v>
      </c>
      <c r="P132" s="3707">
        <v>45097</v>
      </c>
      <c r="Q132" s="3655" t="s">
        <v>4359</v>
      </c>
      <c r="R132" s="3730">
        <v>2.5000000000000001E-2</v>
      </c>
      <c r="S132" s="3720" t="s">
        <v>4016</v>
      </c>
      <c r="T132" s="3656" t="s">
        <v>4017</v>
      </c>
      <c r="U132" s="3656" t="s">
        <v>4017</v>
      </c>
    </row>
    <row r="133" spans="1:21" s="3721" customFormat="1" ht="33.75" customHeight="1">
      <c r="A133" s="3652">
        <v>131</v>
      </c>
      <c r="B133" s="3734" t="s">
        <v>4360</v>
      </c>
      <c r="C133" s="3727" t="s">
        <v>4361</v>
      </c>
      <c r="D133" s="3711">
        <v>27</v>
      </c>
      <c r="E133" s="3775">
        <v>17</v>
      </c>
      <c r="F133" s="3702">
        <v>3</v>
      </c>
      <c r="G133" s="3702">
        <v>167535</v>
      </c>
      <c r="H133" s="3702">
        <v>29565</v>
      </c>
      <c r="I133" s="3659">
        <f t="shared" si="5"/>
        <v>197100</v>
      </c>
      <c r="J133" s="3659">
        <v>20</v>
      </c>
      <c r="K133" s="3718">
        <v>44932</v>
      </c>
      <c r="L133" s="3654">
        <v>44958</v>
      </c>
      <c r="M133" s="3663" t="s">
        <v>3976</v>
      </c>
      <c r="N133" s="3698" t="s">
        <v>4029</v>
      </c>
      <c r="O133" s="3719" t="s">
        <v>4356</v>
      </c>
      <c r="P133" s="3707">
        <v>45108</v>
      </c>
      <c r="Q133" s="3655" t="s">
        <v>4109</v>
      </c>
      <c r="R133" s="3652" t="s">
        <v>4110</v>
      </c>
      <c r="S133" s="3720" t="s">
        <v>4016</v>
      </c>
      <c r="T133" s="3656" t="s">
        <v>4017</v>
      </c>
      <c r="U133" s="3656" t="s">
        <v>4017</v>
      </c>
    </row>
    <row r="134" spans="1:21" s="3721" customFormat="1" ht="33.75" hidden="1" customHeight="1">
      <c r="A134" s="3652">
        <v>132</v>
      </c>
      <c r="B134" s="3734" t="s">
        <v>4362</v>
      </c>
      <c r="C134" s="3727" t="s">
        <v>4363</v>
      </c>
      <c r="D134" s="3711">
        <v>690</v>
      </c>
      <c r="E134" s="3775"/>
      <c r="F134" s="3702">
        <v>4</v>
      </c>
      <c r="G134" s="3702"/>
      <c r="H134" s="3702">
        <v>1007400</v>
      </c>
      <c r="I134" s="3659">
        <f t="shared" si="5"/>
        <v>1007400</v>
      </c>
      <c r="J134" s="3659">
        <v>4</v>
      </c>
      <c r="K134" s="3718">
        <v>44943</v>
      </c>
      <c r="L134" s="3654">
        <v>44991</v>
      </c>
      <c r="M134" s="3663" t="s">
        <v>3976</v>
      </c>
      <c r="N134" s="3698" t="s">
        <v>4119</v>
      </c>
      <c r="O134" s="3719" t="s">
        <v>4103</v>
      </c>
      <c r="P134" s="3707">
        <v>45158</v>
      </c>
      <c r="Q134" s="3655" t="s">
        <v>4364</v>
      </c>
      <c r="R134" s="3730">
        <v>4.2500000000000003E-2</v>
      </c>
      <c r="S134" s="3720" t="s">
        <v>4016</v>
      </c>
      <c r="T134" s="3723" t="s">
        <v>4017</v>
      </c>
      <c r="U134" s="3723" t="s">
        <v>4017</v>
      </c>
    </row>
    <row r="135" spans="1:21" s="3721" customFormat="1" ht="33.75" hidden="1" customHeight="1">
      <c r="A135" s="3652">
        <v>133</v>
      </c>
      <c r="B135" s="3734" t="s">
        <v>4365</v>
      </c>
      <c r="C135" s="3705" t="s">
        <v>4366</v>
      </c>
      <c r="D135" s="3711">
        <v>240</v>
      </c>
      <c r="E135" s="3775"/>
      <c r="F135" s="3702">
        <v>5</v>
      </c>
      <c r="G135" s="3702"/>
      <c r="H135" s="3702">
        <v>43800</v>
      </c>
      <c r="I135" s="3659">
        <f t="shared" si="5"/>
        <v>43800</v>
      </c>
      <c r="J135" s="3659">
        <v>4</v>
      </c>
      <c r="K135" s="3718">
        <v>44967</v>
      </c>
      <c r="L135" s="3654">
        <v>44986</v>
      </c>
      <c r="M135" s="3663" t="s">
        <v>3976</v>
      </c>
      <c r="N135" s="3698" t="s">
        <v>4029</v>
      </c>
      <c r="O135" s="3719" t="s">
        <v>4025</v>
      </c>
      <c r="P135" s="3707">
        <v>45200</v>
      </c>
      <c r="Q135" s="3655" t="s">
        <v>4367</v>
      </c>
      <c r="R135" s="3730">
        <v>0.1</v>
      </c>
      <c r="S135" s="3720" t="s">
        <v>4016</v>
      </c>
      <c r="T135" s="3723" t="s">
        <v>4017</v>
      </c>
      <c r="U135" s="3723" t="s">
        <v>4017</v>
      </c>
    </row>
    <row r="136" spans="1:21" s="3721" customFormat="1" ht="33.75" customHeight="1">
      <c r="A136" s="3652"/>
      <c r="B136" s="3734"/>
      <c r="C136" s="3727"/>
      <c r="D136" s="3711"/>
      <c r="E136" s="3775"/>
      <c r="F136" s="3702"/>
      <c r="G136" s="3702"/>
      <c r="H136" s="3702"/>
      <c r="I136" s="3659"/>
      <c r="J136" s="3659"/>
      <c r="K136" s="3718"/>
      <c r="L136" s="3654"/>
      <c r="M136" s="3663"/>
      <c r="N136" s="3652"/>
      <c r="O136" s="3719"/>
      <c r="P136" s="3707"/>
      <c r="Q136" s="3655"/>
      <c r="R136" s="3723"/>
      <c r="S136" s="3720"/>
      <c r="T136" s="3723"/>
      <c r="U136" s="3723"/>
    </row>
    <row r="137" spans="1:21" s="3721" customFormat="1" ht="33.75" customHeight="1">
      <c r="A137" s="3652"/>
      <c r="B137" s="3734"/>
      <c r="C137" s="3727"/>
      <c r="D137" s="3711"/>
      <c r="E137" s="3775"/>
      <c r="F137" s="3702"/>
      <c r="G137" s="3702"/>
      <c r="H137" s="3702"/>
      <c r="I137" s="3659"/>
      <c r="J137" s="3659"/>
      <c r="K137" s="3718"/>
      <c r="L137" s="3654"/>
      <c r="M137" s="3663"/>
      <c r="N137" s="3652"/>
      <c r="O137" s="3719"/>
      <c r="P137" s="3707"/>
      <c r="Q137" s="3655"/>
      <c r="R137" s="3723"/>
      <c r="S137" s="3720"/>
      <c r="T137" s="3723"/>
      <c r="U137" s="3723"/>
    </row>
    <row r="138" spans="1:21" s="3721" customFormat="1" ht="33.75" customHeight="1">
      <c r="A138" s="3652"/>
      <c r="B138" s="3734"/>
      <c r="C138" s="3727"/>
      <c r="D138" s="3711"/>
      <c r="E138" s="3775"/>
      <c r="F138" s="3702"/>
      <c r="G138" s="3702"/>
      <c r="H138" s="3702"/>
      <c r="I138" s="3659"/>
      <c r="J138" s="3659"/>
      <c r="K138" s="3718"/>
      <c r="L138" s="3654"/>
      <c r="M138" s="3663"/>
      <c r="N138" s="3652"/>
      <c r="O138" s="3719"/>
      <c r="P138" s="3707"/>
      <c r="Q138" s="3655"/>
      <c r="R138" s="3723"/>
      <c r="S138" s="3720"/>
      <c r="T138" s="3723"/>
      <c r="U138" s="3723"/>
    </row>
    <row r="139" spans="1:21" s="3721" customFormat="1" ht="33.75" customHeight="1">
      <c r="A139" s="3652"/>
      <c r="B139" s="3734"/>
      <c r="C139" s="3727"/>
      <c r="D139" s="3711"/>
      <c r="E139" s="3775"/>
      <c r="F139" s="3702"/>
      <c r="G139" s="3702"/>
      <c r="H139" s="3702"/>
      <c r="I139" s="3659"/>
      <c r="J139" s="3659"/>
      <c r="K139" s="3718"/>
      <c r="L139" s="3654"/>
      <c r="M139" s="3663"/>
      <c r="N139" s="3652"/>
      <c r="O139" s="3719"/>
      <c r="P139" s="3707"/>
      <c r="Q139" s="3655"/>
      <c r="R139" s="3723"/>
      <c r="S139" s="3720"/>
      <c r="T139" s="3723"/>
      <c r="U139" s="3723"/>
    </row>
    <row r="140" spans="1:21" s="3721" customFormat="1" ht="33.75" customHeight="1">
      <c r="A140" s="3652"/>
      <c r="B140" s="3734"/>
      <c r="C140" s="3727"/>
      <c r="D140" s="3711"/>
      <c r="E140" s="3775"/>
      <c r="F140" s="3702"/>
      <c r="G140" s="3702"/>
      <c r="H140" s="3702"/>
      <c r="I140" s="3659"/>
      <c r="J140" s="3659"/>
      <c r="K140" s="3718"/>
      <c r="L140" s="3654"/>
      <c r="M140" s="3663"/>
      <c r="N140" s="3652"/>
      <c r="O140" s="3719"/>
      <c r="P140" s="3707"/>
      <c r="Q140" s="3655"/>
      <c r="R140" s="3723"/>
      <c r="S140" s="3720"/>
      <c r="T140" s="3723"/>
      <c r="U140" s="3723"/>
    </row>
    <row r="141" spans="1:21" s="3721" customFormat="1" ht="33.75" customHeight="1">
      <c r="A141" s="3652"/>
      <c r="B141" s="3734"/>
      <c r="C141" s="3727"/>
      <c r="D141" s="3711"/>
      <c r="E141" s="3775"/>
      <c r="F141" s="3702"/>
      <c r="G141" s="3702"/>
      <c r="H141" s="3702"/>
      <c r="I141" s="3659"/>
      <c r="J141" s="3659"/>
      <c r="K141" s="3718"/>
      <c r="L141" s="3654"/>
      <c r="M141" s="3663"/>
      <c r="N141" s="3652"/>
      <c r="O141" s="3719"/>
      <c r="P141" s="3707"/>
      <c r="Q141" s="3655"/>
      <c r="R141" s="3723"/>
      <c r="S141" s="3720"/>
      <c r="T141" s="3723"/>
      <c r="U141" s="3723"/>
    </row>
    <row r="142" spans="1:21" s="3721" customFormat="1" ht="33.75" customHeight="1">
      <c r="A142" s="3652"/>
      <c r="B142" s="3734"/>
      <c r="C142" s="3727"/>
      <c r="D142" s="3711"/>
      <c r="E142" s="3775"/>
      <c r="F142" s="3702"/>
      <c r="G142" s="3702"/>
      <c r="H142" s="3702"/>
      <c r="I142" s="3659"/>
      <c r="J142" s="3659"/>
      <c r="K142" s="3718"/>
      <c r="L142" s="3654"/>
      <c r="M142" s="3663"/>
      <c r="N142" s="3652"/>
      <c r="O142" s="3719"/>
      <c r="P142" s="3707"/>
      <c r="Q142" s="3655"/>
      <c r="R142" s="3723"/>
      <c r="S142" s="3720"/>
      <c r="T142" s="3723"/>
      <c r="U142" s="3723"/>
    </row>
    <row r="143" spans="1:21" s="3721" customFormat="1" ht="33.75" customHeight="1">
      <c r="A143" s="3652"/>
      <c r="B143" s="3734"/>
      <c r="C143" s="3727"/>
      <c r="D143" s="3711"/>
      <c r="E143" s="3775"/>
      <c r="F143" s="3702"/>
      <c r="G143" s="3702"/>
      <c r="H143" s="3702"/>
      <c r="I143" s="3659"/>
      <c r="J143" s="3659"/>
      <c r="K143" s="3718"/>
      <c r="L143" s="3654"/>
      <c r="M143" s="3663"/>
      <c r="N143" s="3652"/>
      <c r="O143" s="3719"/>
      <c r="P143" s="3707"/>
      <c r="Q143" s="3655"/>
      <c r="R143" s="3723"/>
      <c r="S143" s="3720"/>
      <c r="T143" s="3723"/>
      <c r="U143" s="3723"/>
    </row>
    <row r="144" spans="1:21" s="3721" customFormat="1" ht="33.75" customHeight="1">
      <c r="A144" s="3652"/>
      <c r="B144" s="3734"/>
      <c r="C144" s="3727"/>
      <c r="D144" s="3711"/>
      <c r="E144" s="3775"/>
      <c r="F144" s="3702"/>
      <c r="G144" s="3702"/>
      <c r="H144" s="3702"/>
      <c r="I144" s="3659"/>
      <c r="J144" s="3659"/>
      <c r="K144" s="3718"/>
      <c r="L144" s="3654"/>
      <c r="M144" s="3663"/>
      <c r="N144" s="3652"/>
      <c r="O144" s="3719"/>
      <c r="P144" s="3707"/>
      <c r="Q144" s="3655"/>
      <c r="R144" s="3723"/>
      <c r="S144" s="3720"/>
      <c r="T144" s="3723"/>
      <c r="U144" s="3723"/>
    </row>
    <row r="145" spans="1:21" s="3721" customFormat="1" ht="33.75" customHeight="1">
      <c r="A145" s="3652"/>
      <c r="B145" s="3734"/>
      <c r="C145" s="3727"/>
      <c r="D145" s="3711"/>
      <c r="E145" s="3775"/>
      <c r="F145" s="3702"/>
      <c r="G145" s="3702"/>
      <c r="H145" s="3702"/>
      <c r="I145" s="3659"/>
      <c r="J145" s="3659"/>
      <c r="K145" s="3718"/>
      <c r="L145" s="3654"/>
      <c r="M145" s="3663"/>
      <c r="N145" s="3652"/>
      <c r="O145" s="3719"/>
      <c r="P145" s="3707"/>
      <c r="Q145" s="3655"/>
      <c r="R145" s="3723"/>
      <c r="S145" s="3720"/>
      <c r="T145" s="3723"/>
      <c r="U145" s="3723"/>
    </row>
    <row r="146" spans="1:21" s="3721" customFormat="1" ht="33.75" customHeight="1">
      <c r="A146" s="3652"/>
      <c r="B146" s="3734"/>
      <c r="C146" s="3727"/>
      <c r="D146" s="3711"/>
      <c r="E146" s="3775"/>
      <c r="F146" s="3702"/>
      <c r="G146" s="3702"/>
      <c r="H146" s="3702"/>
      <c r="I146" s="3659"/>
      <c r="J146" s="3659"/>
      <c r="K146" s="3718"/>
      <c r="L146" s="3654"/>
      <c r="M146" s="3663"/>
      <c r="N146" s="3652"/>
      <c r="O146" s="3719"/>
      <c r="P146" s="3707"/>
      <c r="Q146" s="3655"/>
      <c r="R146" s="3723"/>
      <c r="S146" s="3720"/>
      <c r="T146" s="3723"/>
      <c r="U146" s="3723"/>
    </row>
    <row r="147" spans="1:21" s="3721" customFormat="1" ht="33.75" customHeight="1">
      <c r="A147" s="3652"/>
      <c r="B147" s="3734"/>
      <c r="C147" s="3727"/>
      <c r="D147" s="3711"/>
      <c r="E147" s="3775"/>
      <c r="F147" s="3702"/>
      <c r="G147" s="3702"/>
      <c r="H147" s="3702"/>
      <c r="I147" s="3659"/>
      <c r="J147" s="3659"/>
      <c r="K147" s="3718"/>
      <c r="L147" s="3654"/>
      <c r="M147" s="3663"/>
      <c r="N147" s="3652"/>
      <c r="O147" s="3719"/>
      <c r="P147" s="3707"/>
      <c r="Q147" s="3655"/>
      <c r="R147" s="3723"/>
      <c r="S147" s="3720"/>
      <c r="T147" s="3723"/>
      <c r="U147" s="3723"/>
    </row>
    <row r="148" spans="1:21" s="3721" customFormat="1" ht="33.75" customHeight="1">
      <c r="A148" s="3652"/>
      <c r="B148" s="3726"/>
      <c r="C148" s="3724"/>
      <c r="D148" s="3725"/>
      <c r="E148" s="3773"/>
      <c r="F148" s="3659"/>
      <c r="G148" s="3659"/>
      <c r="H148" s="3659"/>
      <c r="I148" s="3659"/>
      <c r="J148" s="3659"/>
      <c r="K148" s="3718"/>
      <c r="L148" s="3654"/>
      <c r="M148" s="3663"/>
      <c r="N148" s="3652"/>
      <c r="O148" s="3719"/>
      <c r="P148" s="3707"/>
      <c r="Q148" s="3655"/>
      <c r="R148" s="3723"/>
      <c r="S148" s="3720"/>
      <c r="T148" s="3723"/>
      <c r="U148" s="3723"/>
    </row>
    <row r="149" spans="1:21" s="3721" customFormat="1" ht="33.75" customHeight="1">
      <c r="A149" s="3652"/>
      <c r="B149" s="3655"/>
      <c r="C149" s="3665"/>
      <c r="D149" s="3695"/>
      <c r="E149" s="3773"/>
      <c r="F149" s="3659"/>
      <c r="G149" s="3659"/>
      <c r="H149" s="3659"/>
      <c r="I149" s="3659"/>
      <c r="J149" s="3659"/>
      <c r="K149" s="3736"/>
      <c r="L149" s="3718"/>
      <c r="M149" s="3723"/>
      <c r="N149" s="3652"/>
      <c r="O149" s="3652"/>
      <c r="P149" s="3723"/>
      <c r="Q149" s="3655"/>
      <c r="R149" s="3723"/>
      <c r="S149" s="3723"/>
      <c r="T149" s="3723"/>
      <c r="U149" s="3723"/>
    </row>
    <row r="150" spans="1:21" s="3700" customFormat="1" ht="22.9" customHeight="1">
      <c r="A150" s="4073" t="s">
        <v>4368</v>
      </c>
      <c r="B150" s="4073"/>
      <c r="C150" s="4074">
        <v>47559</v>
      </c>
      <c r="D150" s="3659" t="s">
        <v>4369</v>
      </c>
      <c r="E150" s="3776">
        <f>D153/C150</f>
        <v>0.9865598519733384</v>
      </c>
      <c r="F150" s="3737"/>
      <c r="G150" s="3659"/>
      <c r="H150" s="3659"/>
      <c r="I150" s="3659"/>
      <c r="J150" s="3659"/>
      <c r="K150" s="3736"/>
      <c r="L150" s="3736"/>
      <c r="M150" s="3738"/>
      <c r="N150" s="3738"/>
      <c r="O150" s="3738"/>
      <c r="P150" s="3653"/>
      <c r="Q150" s="3655"/>
      <c r="R150" s="3652"/>
      <c r="S150" s="3652"/>
      <c r="T150" s="3694"/>
      <c r="U150" s="3694"/>
    </row>
    <row r="151" spans="1:21" s="3700" customFormat="1" ht="22.9" customHeight="1">
      <c r="A151" s="4073"/>
      <c r="B151" s="4073"/>
      <c r="C151" s="4075"/>
      <c r="D151" s="3659" t="s">
        <v>4370</v>
      </c>
      <c r="E151" s="3776"/>
      <c r="F151" s="3737"/>
      <c r="G151" s="3659"/>
      <c r="H151" s="3659"/>
      <c r="I151" s="3659"/>
      <c r="J151" s="3659"/>
      <c r="K151" s="3736"/>
      <c r="L151" s="3736"/>
      <c r="M151" s="3738"/>
      <c r="N151" s="3738"/>
      <c r="O151" s="3738"/>
      <c r="P151" s="3653"/>
      <c r="Q151" s="3655"/>
      <c r="R151" s="3652"/>
      <c r="S151" s="3652"/>
      <c r="T151" s="3694"/>
      <c r="U151" s="3694"/>
    </row>
    <row r="152" spans="1:21" s="3700" customFormat="1" ht="22.9" customHeight="1">
      <c r="A152" s="4073"/>
      <c r="B152" s="4073"/>
      <c r="C152" s="4076"/>
      <c r="D152" s="3659" t="s">
        <v>4371</v>
      </c>
      <c r="E152" s="3776"/>
      <c r="F152" s="3737"/>
      <c r="G152" s="3659"/>
      <c r="H152" s="3659"/>
      <c r="I152" s="3659"/>
      <c r="J152" s="3659"/>
      <c r="K152" s="3736"/>
      <c r="L152" s="3736"/>
      <c r="M152" s="3738"/>
      <c r="N152" s="3738"/>
      <c r="O152" s="3738"/>
      <c r="P152" s="3736"/>
      <c r="Q152" s="3739"/>
      <c r="R152" s="3738"/>
      <c r="S152" s="3738"/>
      <c r="T152" s="3694"/>
      <c r="U152" s="3694"/>
    </row>
    <row r="153" spans="1:21" s="3700" customFormat="1" ht="22.9" customHeight="1">
      <c r="A153" s="4077" t="s">
        <v>4372</v>
      </c>
      <c r="B153" s="4077"/>
      <c r="C153" s="3740"/>
      <c r="D153" s="3741">
        <f>SUM(D3:D149)</f>
        <v>46919.8</v>
      </c>
      <c r="E153" s="3777"/>
      <c r="F153" s="3742"/>
      <c r="G153" s="3743">
        <f>SUM(G3:G149)</f>
        <v>58684881.880000003</v>
      </c>
      <c r="H153" s="3743">
        <f>SUM(H3:H149)</f>
        <v>35593484.18</v>
      </c>
      <c r="I153" s="3743">
        <f>SUM(I3:I149)</f>
        <v>94278366.059999987</v>
      </c>
      <c r="J153" s="3743"/>
      <c r="K153" s="3744"/>
      <c r="L153" s="3736"/>
      <c r="M153" s="3738"/>
      <c r="N153" s="3738"/>
      <c r="O153" s="3738"/>
      <c r="P153" s="3736"/>
      <c r="Q153" s="3739"/>
      <c r="R153" s="3745"/>
      <c r="S153" s="3738"/>
      <c r="T153" s="3694"/>
      <c r="U153" s="3694"/>
    </row>
  </sheetData>
  <autoFilter ref="A2:AK135"/>
  <mergeCells count="4">
    <mergeCell ref="A1:S1"/>
    <mergeCell ref="A150:B152"/>
    <mergeCell ref="C150:C152"/>
    <mergeCell ref="A153:B153"/>
  </mergeCells>
  <phoneticPr fontId="134" type="noConversion"/>
  <dataValidations count="1">
    <dataValidation type="list" allowBlank="1" showInputMessage="1" showErrorMessage="1" sqref="M120:M153 M16:M18 M25:M118">
      <formula1>"1,2,3,6,12"</formula1>
    </dataValidation>
  </dataValidations>
  <pageMargins left="0.75" right="0.75" top="1" bottom="1" header="0.5" footer="0.5"/>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43"/>
  <sheetViews>
    <sheetView topLeftCell="A19" zoomScaleNormal="100" zoomScaleSheetLayoutView="100" workbookViewId="0">
      <selection activeCell="H46" sqref="H46"/>
    </sheetView>
  </sheetViews>
  <sheetFormatPr defaultRowHeight="12"/>
  <cols>
    <col min="1" max="1" width="5.5" style="3557" customWidth="1"/>
    <col min="2" max="2" width="11.25" style="3557" customWidth="1"/>
    <col min="3" max="3" width="32.125" style="3557" bestFit="1" customWidth="1"/>
    <col min="4" max="4" width="13" style="3557" bestFit="1" customWidth="1"/>
    <col min="5" max="5" width="11.25" style="3557" customWidth="1"/>
    <col min="6" max="6" width="12.75" style="3557" bestFit="1" customWidth="1"/>
    <col min="7" max="9" width="11.25" style="3557" customWidth="1"/>
    <col min="10" max="10" width="14.25" style="3557" customWidth="1"/>
    <col min="11" max="11" width="11.25" style="3557" customWidth="1"/>
    <col min="12" max="12" width="16.125" style="3557" bestFit="1" customWidth="1"/>
    <col min="13" max="14" width="11.25" style="3557" customWidth="1"/>
    <col min="15" max="15" width="60.875" style="3557" bestFit="1" customWidth="1"/>
    <col min="16" max="256" width="9" style="3557"/>
    <col min="257" max="257" width="5.5" style="3557" customWidth="1"/>
    <col min="258" max="258" width="11.25" style="3557" customWidth="1"/>
    <col min="259" max="259" width="32.125" style="3557" bestFit="1" customWidth="1"/>
    <col min="260" max="260" width="13" style="3557" bestFit="1" customWidth="1"/>
    <col min="261" max="261" width="11.25" style="3557" customWidth="1"/>
    <col min="262" max="262" width="12.75" style="3557" bestFit="1" customWidth="1"/>
    <col min="263" max="265" width="11.25" style="3557" customWidth="1"/>
    <col min="266" max="266" width="14.25" style="3557" customWidth="1"/>
    <col min="267" max="267" width="11.25" style="3557" customWidth="1"/>
    <col min="268" max="268" width="16.125" style="3557" bestFit="1" customWidth="1"/>
    <col min="269" max="270" width="11.25" style="3557" customWidth="1"/>
    <col min="271" max="271" width="60.875" style="3557" bestFit="1" customWidth="1"/>
    <col min="272" max="512" width="9" style="3557"/>
    <col min="513" max="513" width="5.5" style="3557" customWidth="1"/>
    <col min="514" max="514" width="11.25" style="3557" customWidth="1"/>
    <col min="515" max="515" width="32.125" style="3557" bestFit="1" customWidth="1"/>
    <col min="516" max="516" width="13" style="3557" bestFit="1" customWidth="1"/>
    <col min="517" max="517" width="11.25" style="3557" customWidth="1"/>
    <col min="518" max="518" width="12.75" style="3557" bestFit="1" customWidth="1"/>
    <col min="519" max="521" width="11.25" style="3557" customWidth="1"/>
    <col min="522" max="522" width="14.25" style="3557" customWidth="1"/>
    <col min="523" max="523" width="11.25" style="3557" customWidth="1"/>
    <col min="524" max="524" width="16.125" style="3557" bestFit="1" customWidth="1"/>
    <col min="525" max="526" width="11.25" style="3557" customWidth="1"/>
    <col min="527" max="527" width="60.875" style="3557" bestFit="1" customWidth="1"/>
    <col min="528" max="768" width="9" style="3557"/>
    <col min="769" max="769" width="5.5" style="3557" customWidth="1"/>
    <col min="770" max="770" width="11.25" style="3557" customWidth="1"/>
    <col min="771" max="771" width="32.125" style="3557" bestFit="1" customWidth="1"/>
    <col min="772" max="772" width="13" style="3557" bestFit="1" customWidth="1"/>
    <col min="773" max="773" width="11.25" style="3557" customWidth="1"/>
    <col min="774" max="774" width="12.75" style="3557" bestFit="1" customWidth="1"/>
    <col min="775" max="777" width="11.25" style="3557" customWidth="1"/>
    <col min="778" max="778" width="14.25" style="3557" customWidth="1"/>
    <col min="779" max="779" width="11.25" style="3557" customWidth="1"/>
    <col min="780" max="780" width="16.125" style="3557" bestFit="1" customWidth="1"/>
    <col min="781" max="782" width="11.25" style="3557" customWidth="1"/>
    <col min="783" max="783" width="60.875" style="3557" bestFit="1" customWidth="1"/>
    <col min="784" max="1024" width="9" style="3557"/>
    <col min="1025" max="1025" width="5.5" style="3557" customWidth="1"/>
    <col min="1026" max="1026" width="11.25" style="3557" customWidth="1"/>
    <col min="1027" max="1027" width="32.125" style="3557" bestFit="1" customWidth="1"/>
    <col min="1028" max="1028" width="13" style="3557" bestFit="1" customWidth="1"/>
    <col min="1029" max="1029" width="11.25" style="3557" customWidth="1"/>
    <col min="1030" max="1030" width="12.75" style="3557" bestFit="1" customWidth="1"/>
    <col min="1031" max="1033" width="11.25" style="3557" customWidth="1"/>
    <col min="1034" max="1034" width="14.25" style="3557" customWidth="1"/>
    <col min="1035" max="1035" width="11.25" style="3557" customWidth="1"/>
    <col min="1036" max="1036" width="16.125" style="3557" bestFit="1" customWidth="1"/>
    <col min="1037" max="1038" width="11.25" style="3557" customWidth="1"/>
    <col min="1039" max="1039" width="60.875" style="3557" bestFit="1" customWidth="1"/>
    <col min="1040" max="1280" width="9" style="3557"/>
    <col min="1281" max="1281" width="5.5" style="3557" customWidth="1"/>
    <col min="1282" max="1282" width="11.25" style="3557" customWidth="1"/>
    <col min="1283" max="1283" width="32.125" style="3557" bestFit="1" customWidth="1"/>
    <col min="1284" max="1284" width="13" style="3557" bestFit="1" customWidth="1"/>
    <col min="1285" max="1285" width="11.25" style="3557" customWidth="1"/>
    <col min="1286" max="1286" width="12.75" style="3557" bestFit="1" customWidth="1"/>
    <col min="1287" max="1289" width="11.25" style="3557" customWidth="1"/>
    <col min="1290" max="1290" width="14.25" style="3557" customWidth="1"/>
    <col min="1291" max="1291" width="11.25" style="3557" customWidth="1"/>
    <col min="1292" max="1292" width="16.125" style="3557" bestFit="1" customWidth="1"/>
    <col min="1293" max="1294" width="11.25" style="3557" customWidth="1"/>
    <col min="1295" max="1295" width="60.875" style="3557" bestFit="1" customWidth="1"/>
    <col min="1296" max="1536" width="9" style="3557"/>
    <col min="1537" max="1537" width="5.5" style="3557" customWidth="1"/>
    <col min="1538" max="1538" width="11.25" style="3557" customWidth="1"/>
    <col min="1539" max="1539" width="32.125" style="3557" bestFit="1" customWidth="1"/>
    <col min="1540" max="1540" width="13" style="3557" bestFit="1" customWidth="1"/>
    <col min="1541" max="1541" width="11.25" style="3557" customWidth="1"/>
    <col min="1542" max="1542" width="12.75" style="3557" bestFit="1" customWidth="1"/>
    <col min="1543" max="1545" width="11.25" style="3557" customWidth="1"/>
    <col min="1546" max="1546" width="14.25" style="3557" customWidth="1"/>
    <col min="1547" max="1547" width="11.25" style="3557" customWidth="1"/>
    <col min="1548" max="1548" width="16.125" style="3557" bestFit="1" customWidth="1"/>
    <col min="1549" max="1550" width="11.25" style="3557" customWidth="1"/>
    <col min="1551" max="1551" width="60.875" style="3557" bestFit="1" customWidth="1"/>
    <col min="1552" max="1792" width="9" style="3557"/>
    <col min="1793" max="1793" width="5.5" style="3557" customWidth="1"/>
    <col min="1794" max="1794" width="11.25" style="3557" customWidth="1"/>
    <col min="1795" max="1795" width="32.125" style="3557" bestFit="1" customWidth="1"/>
    <col min="1796" max="1796" width="13" style="3557" bestFit="1" customWidth="1"/>
    <col min="1797" max="1797" width="11.25" style="3557" customWidth="1"/>
    <col min="1798" max="1798" width="12.75" style="3557" bestFit="1" customWidth="1"/>
    <col min="1799" max="1801" width="11.25" style="3557" customWidth="1"/>
    <col min="1802" max="1802" width="14.25" style="3557" customWidth="1"/>
    <col min="1803" max="1803" width="11.25" style="3557" customWidth="1"/>
    <col min="1804" max="1804" width="16.125" style="3557" bestFit="1" customWidth="1"/>
    <col min="1805" max="1806" width="11.25" style="3557" customWidth="1"/>
    <col min="1807" max="1807" width="60.875" style="3557" bestFit="1" customWidth="1"/>
    <col min="1808" max="2048" width="9" style="3557"/>
    <col min="2049" max="2049" width="5.5" style="3557" customWidth="1"/>
    <col min="2050" max="2050" width="11.25" style="3557" customWidth="1"/>
    <col min="2051" max="2051" width="32.125" style="3557" bestFit="1" customWidth="1"/>
    <col min="2052" max="2052" width="13" style="3557" bestFit="1" customWidth="1"/>
    <col min="2053" max="2053" width="11.25" style="3557" customWidth="1"/>
    <col min="2054" max="2054" width="12.75" style="3557" bestFit="1" customWidth="1"/>
    <col min="2055" max="2057" width="11.25" style="3557" customWidth="1"/>
    <col min="2058" max="2058" width="14.25" style="3557" customWidth="1"/>
    <col min="2059" max="2059" width="11.25" style="3557" customWidth="1"/>
    <col min="2060" max="2060" width="16.125" style="3557" bestFit="1" customWidth="1"/>
    <col min="2061" max="2062" width="11.25" style="3557" customWidth="1"/>
    <col min="2063" max="2063" width="60.875" style="3557" bestFit="1" customWidth="1"/>
    <col min="2064" max="2304" width="9" style="3557"/>
    <col min="2305" max="2305" width="5.5" style="3557" customWidth="1"/>
    <col min="2306" max="2306" width="11.25" style="3557" customWidth="1"/>
    <col min="2307" max="2307" width="32.125" style="3557" bestFit="1" customWidth="1"/>
    <col min="2308" max="2308" width="13" style="3557" bestFit="1" customWidth="1"/>
    <col min="2309" max="2309" width="11.25" style="3557" customWidth="1"/>
    <col min="2310" max="2310" width="12.75" style="3557" bestFit="1" customWidth="1"/>
    <col min="2311" max="2313" width="11.25" style="3557" customWidth="1"/>
    <col min="2314" max="2314" width="14.25" style="3557" customWidth="1"/>
    <col min="2315" max="2315" width="11.25" style="3557" customWidth="1"/>
    <col min="2316" max="2316" width="16.125" style="3557" bestFit="1" customWidth="1"/>
    <col min="2317" max="2318" width="11.25" style="3557" customWidth="1"/>
    <col min="2319" max="2319" width="60.875" style="3557" bestFit="1" customWidth="1"/>
    <col min="2320" max="2560" width="9" style="3557"/>
    <col min="2561" max="2561" width="5.5" style="3557" customWidth="1"/>
    <col min="2562" max="2562" width="11.25" style="3557" customWidth="1"/>
    <col min="2563" max="2563" width="32.125" style="3557" bestFit="1" customWidth="1"/>
    <col min="2564" max="2564" width="13" style="3557" bestFit="1" customWidth="1"/>
    <col min="2565" max="2565" width="11.25" style="3557" customWidth="1"/>
    <col min="2566" max="2566" width="12.75" style="3557" bestFit="1" customWidth="1"/>
    <col min="2567" max="2569" width="11.25" style="3557" customWidth="1"/>
    <col min="2570" max="2570" width="14.25" style="3557" customWidth="1"/>
    <col min="2571" max="2571" width="11.25" style="3557" customWidth="1"/>
    <col min="2572" max="2572" width="16.125" style="3557" bestFit="1" customWidth="1"/>
    <col min="2573" max="2574" width="11.25" style="3557" customWidth="1"/>
    <col min="2575" max="2575" width="60.875" style="3557" bestFit="1" customWidth="1"/>
    <col min="2576" max="2816" width="9" style="3557"/>
    <col min="2817" max="2817" width="5.5" style="3557" customWidth="1"/>
    <col min="2818" max="2818" width="11.25" style="3557" customWidth="1"/>
    <col min="2819" max="2819" width="32.125" style="3557" bestFit="1" customWidth="1"/>
    <col min="2820" max="2820" width="13" style="3557" bestFit="1" customWidth="1"/>
    <col min="2821" max="2821" width="11.25" style="3557" customWidth="1"/>
    <col min="2822" max="2822" width="12.75" style="3557" bestFit="1" customWidth="1"/>
    <col min="2823" max="2825" width="11.25" style="3557" customWidth="1"/>
    <col min="2826" max="2826" width="14.25" style="3557" customWidth="1"/>
    <col min="2827" max="2827" width="11.25" style="3557" customWidth="1"/>
    <col min="2828" max="2828" width="16.125" style="3557" bestFit="1" customWidth="1"/>
    <col min="2829" max="2830" width="11.25" style="3557" customWidth="1"/>
    <col min="2831" max="2831" width="60.875" style="3557" bestFit="1" customWidth="1"/>
    <col min="2832" max="3072" width="9" style="3557"/>
    <col min="3073" max="3073" width="5.5" style="3557" customWidth="1"/>
    <col min="3074" max="3074" width="11.25" style="3557" customWidth="1"/>
    <col min="3075" max="3075" width="32.125" style="3557" bestFit="1" customWidth="1"/>
    <col min="3076" max="3076" width="13" style="3557" bestFit="1" customWidth="1"/>
    <col min="3077" max="3077" width="11.25" style="3557" customWidth="1"/>
    <col min="3078" max="3078" width="12.75" style="3557" bestFit="1" customWidth="1"/>
    <col min="3079" max="3081" width="11.25" style="3557" customWidth="1"/>
    <col min="3082" max="3082" width="14.25" style="3557" customWidth="1"/>
    <col min="3083" max="3083" width="11.25" style="3557" customWidth="1"/>
    <col min="3084" max="3084" width="16.125" style="3557" bestFit="1" customWidth="1"/>
    <col min="3085" max="3086" width="11.25" style="3557" customWidth="1"/>
    <col min="3087" max="3087" width="60.875" style="3557" bestFit="1" customWidth="1"/>
    <col min="3088" max="3328" width="9" style="3557"/>
    <col min="3329" max="3329" width="5.5" style="3557" customWidth="1"/>
    <col min="3330" max="3330" width="11.25" style="3557" customWidth="1"/>
    <col min="3331" max="3331" width="32.125" style="3557" bestFit="1" customWidth="1"/>
    <col min="3332" max="3332" width="13" style="3557" bestFit="1" customWidth="1"/>
    <col min="3333" max="3333" width="11.25" style="3557" customWidth="1"/>
    <col min="3334" max="3334" width="12.75" style="3557" bestFit="1" customWidth="1"/>
    <col min="3335" max="3337" width="11.25" style="3557" customWidth="1"/>
    <col min="3338" max="3338" width="14.25" style="3557" customWidth="1"/>
    <col min="3339" max="3339" width="11.25" style="3557" customWidth="1"/>
    <col min="3340" max="3340" width="16.125" style="3557" bestFit="1" customWidth="1"/>
    <col min="3341" max="3342" width="11.25" style="3557" customWidth="1"/>
    <col min="3343" max="3343" width="60.875" style="3557" bestFit="1" customWidth="1"/>
    <col min="3344" max="3584" width="9" style="3557"/>
    <col min="3585" max="3585" width="5.5" style="3557" customWidth="1"/>
    <col min="3586" max="3586" width="11.25" style="3557" customWidth="1"/>
    <col min="3587" max="3587" width="32.125" style="3557" bestFit="1" customWidth="1"/>
    <col min="3588" max="3588" width="13" style="3557" bestFit="1" customWidth="1"/>
    <col min="3589" max="3589" width="11.25" style="3557" customWidth="1"/>
    <col min="3590" max="3590" width="12.75" style="3557" bestFit="1" customWidth="1"/>
    <col min="3591" max="3593" width="11.25" style="3557" customWidth="1"/>
    <col min="3594" max="3594" width="14.25" style="3557" customWidth="1"/>
    <col min="3595" max="3595" width="11.25" style="3557" customWidth="1"/>
    <col min="3596" max="3596" width="16.125" style="3557" bestFit="1" customWidth="1"/>
    <col min="3597" max="3598" width="11.25" style="3557" customWidth="1"/>
    <col min="3599" max="3599" width="60.875" style="3557" bestFit="1" customWidth="1"/>
    <col min="3600" max="3840" width="9" style="3557"/>
    <col min="3841" max="3841" width="5.5" style="3557" customWidth="1"/>
    <col min="3842" max="3842" width="11.25" style="3557" customWidth="1"/>
    <col min="3843" max="3843" width="32.125" style="3557" bestFit="1" customWidth="1"/>
    <col min="3844" max="3844" width="13" style="3557" bestFit="1" customWidth="1"/>
    <col min="3845" max="3845" width="11.25" style="3557" customWidth="1"/>
    <col min="3846" max="3846" width="12.75" style="3557" bestFit="1" customWidth="1"/>
    <col min="3847" max="3849" width="11.25" style="3557" customWidth="1"/>
    <col min="3850" max="3850" width="14.25" style="3557" customWidth="1"/>
    <col min="3851" max="3851" width="11.25" style="3557" customWidth="1"/>
    <col min="3852" max="3852" width="16.125" style="3557" bestFit="1" customWidth="1"/>
    <col min="3853" max="3854" width="11.25" style="3557" customWidth="1"/>
    <col min="3855" max="3855" width="60.875" style="3557" bestFit="1" customWidth="1"/>
    <col min="3856" max="4096" width="9" style="3557"/>
    <col min="4097" max="4097" width="5.5" style="3557" customWidth="1"/>
    <col min="4098" max="4098" width="11.25" style="3557" customWidth="1"/>
    <col min="4099" max="4099" width="32.125" style="3557" bestFit="1" customWidth="1"/>
    <col min="4100" max="4100" width="13" style="3557" bestFit="1" customWidth="1"/>
    <col min="4101" max="4101" width="11.25" style="3557" customWidth="1"/>
    <col min="4102" max="4102" width="12.75" style="3557" bestFit="1" customWidth="1"/>
    <col min="4103" max="4105" width="11.25" style="3557" customWidth="1"/>
    <col min="4106" max="4106" width="14.25" style="3557" customWidth="1"/>
    <col min="4107" max="4107" width="11.25" style="3557" customWidth="1"/>
    <col min="4108" max="4108" width="16.125" style="3557" bestFit="1" customWidth="1"/>
    <col min="4109" max="4110" width="11.25" style="3557" customWidth="1"/>
    <col min="4111" max="4111" width="60.875" style="3557" bestFit="1" customWidth="1"/>
    <col min="4112" max="4352" width="9" style="3557"/>
    <col min="4353" max="4353" width="5.5" style="3557" customWidth="1"/>
    <col min="4354" max="4354" width="11.25" style="3557" customWidth="1"/>
    <col min="4355" max="4355" width="32.125" style="3557" bestFit="1" customWidth="1"/>
    <col min="4356" max="4356" width="13" style="3557" bestFit="1" customWidth="1"/>
    <col min="4357" max="4357" width="11.25" style="3557" customWidth="1"/>
    <col min="4358" max="4358" width="12.75" style="3557" bestFit="1" customWidth="1"/>
    <col min="4359" max="4361" width="11.25" style="3557" customWidth="1"/>
    <col min="4362" max="4362" width="14.25" style="3557" customWidth="1"/>
    <col min="4363" max="4363" width="11.25" style="3557" customWidth="1"/>
    <col min="4364" max="4364" width="16.125" style="3557" bestFit="1" customWidth="1"/>
    <col min="4365" max="4366" width="11.25" style="3557" customWidth="1"/>
    <col min="4367" max="4367" width="60.875" style="3557" bestFit="1" customWidth="1"/>
    <col min="4368" max="4608" width="9" style="3557"/>
    <col min="4609" max="4609" width="5.5" style="3557" customWidth="1"/>
    <col min="4610" max="4610" width="11.25" style="3557" customWidth="1"/>
    <col min="4611" max="4611" width="32.125" style="3557" bestFit="1" customWidth="1"/>
    <col min="4612" max="4612" width="13" style="3557" bestFit="1" customWidth="1"/>
    <col min="4613" max="4613" width="11.25" style="3557" customWidth="1"/>
    <col min="4614" max="4614" width="12.75" style="3557" bestFit="1" customWidth="1"/>
    <col min="4615" max="4617" width="11.25" style="3557" customWidth="1"/>
    <col min="4618" max="4618" width="14.25" style="3557" customWidth="1"/>
    <col min="4619" max="4619" width="11.25" style="3557" customWidth="1"/>
    <col min="4620" max="4620" width="16.125" style="3557" bestFit="1" customWidth="1"/>
    <col min="4621" max="4622" width="11.25" style="3557" customWidth="1"/>
    <col min="4623" max="4623" width="60.875" style="3557" bestFit="1" customWidth="1"/>
    <col min="4624" max="4864" width="9" style="3557"/>
    <col min="4865" max="4865" width="5.5" style="3557" customWidth="1"/>
    <col min="4866" max="4866" width="11.25" style="3557" customWidth="1"/>
    <col min="4867" max="4867" width="32.125" style="3557" bestFit="1" customWidth="1"/>
    <col min="4868" max="4868" width="13" style="3557" bestFit="1" customWidth="1"/>
    <col min="4869" max="4869" width="11.25" style="3557" customWidth="1"/>
    <col min="4870" max="4870" width="12.75" style="3557" bestFit="1" customWidth="1"/>
    <col min="4871" max="4873" width="11.25" style="3557" customWidth="1"/>
    <col min="4874" max="4874" width="14.25" style="3557" customWidth="1"/>
    <col min="4875" max="4875" width="11.25" style="3557" customWidth="1"/>
    <col min="4876" max="4876" width="16.125" style="3557" bestFit="1" customWidth="1"/>
    <col min="4877" max="4878" width="11.25" style="3557" customWidth="1"/>
    <col min="4879" max="4879" width="60.875" style="3557" bestFit="1" customWidth="1"/>
    <col min="4880" max="5120" width="9" style="3557"/>
    <col min="5121" max="5121" width="5.5" style="3557" customWidth="1"/>
    <col min="5122" max="5122" width="11.25" style="3557" customWidth="1"/>
    <col min="5123" max="5123" width="32.125" style="3557" bestFit="1" customWidth="1"/>
    <col min="5124" max="5124" width="13" style="3557" bestFit="1" customWidth="1"/>
    <col min="5125" max="5125" width="11.25" style="3557" customWidth="1"/>
    <col min="5126" max="5126" width="12.75" style="3557" bestFit="1" customWidth="1"/>
    <col min="5127" max="5129" width="11.25" style="3557" customWidth="1"/>
    <col min="5130" max="5130" width="14.25" style="3557" customWidth="1"/>
    <col min="5131" max="5131" width="11.25" style="3557" customWidth="1"/>
    <col min="5132" max="5132" width="16.125" style="3557" bestFit="1" customWidth="1"/>
    <col min="5133" max="5134" width="11.25" style="3557" customWidth="1"/>
    <col min="5135" max="5135" width="60.875" style="3557" bestFit="1" customWidth="1"/>
    <col min="5136" max="5376" width="9" style="3557"/>
    <col min="5377" max="5377" width="5.5" style="3557" customWidth="1"/>
    <col min="5378" max="5378" width="11.25" style="3557" customWidth="1"/>
    <col min="5379" max="5379" width="32.125" style="3557" bestFit="1" customWidth="1"/>
    <col min="5380" max="5380" width="13" style="3557" bestFit="1" customWidth="1"/>
    <col min="5381" max="5381" width="11.25" style="3557" customWidth="1"/>
    <col min="5382" max="5382" width="12.75" style="3557" bestFit="1" customWidth="1"/>
    <col min="5383" max="5385" width="11.25" style="3557" customWidth="1"/>
    <col min="5386" max="5386" width="14.25" style="3557" customWidth="1"/>
    <col min="5387" max="5387" width="11.25" style="3557" customWidth="1"/>
    <col min="5388" max="5388" width="16.125" style="3557" bestFit="1" customWidth="1"/>
    <col min="5389" max="5390" width="11.25" style="3557" customWidth="1"/>
    <col min="5391" max="5391" width="60.875" style="3557" bestFit="1" customWidth="1"/>
    <col min="5392" max="5632" width="9" style="3557"/>
    <col min="5633" max="5633" width="5.5" style="3557" customWidth="1"/>
    <col min="5634" max="5634" width="11.25" style="3557" customWidth="1"/>
    <col min="5635" max="5635" width="32.125" style="3557" bestFit="1" customWidth="1"/>
    <col min="5636" max="5636" width="13" style="3557" bestFit="1" customWidth="1"/>
    <col min="5637" max="5637" width="11.25" style="3557" customWidth="1"/>
    <col min="5638" max="5638" width="12.75" style="3557" bestFit="1" customWidth="1"/>
    <col min="5639" max="5641" width="11.25" style="3557" customWidth="1"/>
    <col min="5642" max="5642" width="14.25" style="3557" customWidth="1"/>
    <col min="5643" max="5643" width="11.25" style="3557" customWidth="1"/>
    <col min="5644" max="5644" width="16.125" style="3557" bestFit="1" customWidth="1"/>
    <col min="5645" max="5646" width="11.25" style="3557" customWidth="1"/>
    <col min="5647" max="5647" width="60.875" style="3557" bestFit="1" customWidth="1"/>
    <col min="5648" max="5888" width="9" style="3557"/>
    <col min="5889" max="5889" width="5.5" style="3557" customWidth="1"/>
    <col min="5890" max="5890" width="11.25" style="3557" customWidth="1"/>
    <col min="5891" max="5891" width="32.125" style="3557" bestFit="1" customWidth="1"/>
    <col min="5892" max="5892" width="13" style="3557" bestFit="1" customWidth="1"/>
    <col min="5893" max="5893" width="11.25" style="3557" customWidth="1"/>
    <col min="5894" max="5894" width="12.75" style="3557" bestFit="1" customWidth="1"/>
    <col min="5895" max="5897" width="11.25" style="3557" customWidth="1"/>
    <col min="5898" max="5898" width="14.25" style="3557" customWidth="1"/>
    <col min="5899" max="5899" width="11.25" style="3557" customWidth="1"/>
    <col min="5900" max="5900" width="16.125" style="3557" bestFit="1" customWidth="1"/>
    <col min="5901" max="5902" width="11.25" style="3557" customWidth="1"/>
    <col min="5903" max="5903" width="60.875" style="3557" bestFit="1" customWidth="1"/>
    <col min="5904" max="6144" width="9" style="3557"/>
    <col min="6145" max="6145" width="5.5" style="3557" customWidth="1"/>
    <col min="6146" max="6146" width="11.25" style="3557" customWidth="1"/>
    <col min="6147" max="6147" width="32.125" style="3557" bestFit="1" customWidth="1"/>
    <col min="6148" max="6148" width="13" style="3557" bestFit="1" customWidth="1"/>
    <col min="6149" max="6149" width="11.25" style="3557" customWidth="1"/>
    <col min="6150" max="6150" width="12.75" style="3557" bestFit="1" customWidth="1"/>
    <col min="6151" max="6153" width="11.25" style="3557" customWidth="1"/>
    <col min="6154" max="6154" width="14.25" style="3557" customWidth="1"/>
    <col min="6155" max="6155" width="11.25" style="3557" customWidth="1"/>
    <col min="6156" max="6156" width="16.125" style="3557" bestFit="1" customWidth="1"/>
    <col min="6157" max="6158" width="11.25" style="3557" customWidth="1"/>
    <col min="6159" max="6159" width="60.875" style="3557" bestFit="1" customWidth="1"/>
    <col min="6160" max="6400" width="9" style="3557"/>
    <col min="6401" max="6401" width="5.5" style="3557" customWidth="1"/>
    <col min="6402" max="6402" width="11.25" style="3557" customWidth="1"/>
    <col min="6403" max="6403" width="32.125" style="3557" bestFit="1" customWidth="1"/>
    <col min="6404" max="6404" width="13" style="3557" bestFit="1" customWidth="1"/>
    <col min="6405" max="6405" width="11.25" style="3557" customWidth="1"/>
    <col min="6406" max="6406" width="12.75" style="3557" bestFit="1" customWidth="1"/>
    <col min="6407" max="6409" width="11.25" style="3557" customWidth="1"/>
    <col min="6410" max="6410" width="14.25" style="3557" customWidth="1"/>
    <col min="6411" max="6411" width="11.25" style="3557" customWidth="1"/>
    <col min="6412" max="6412" width="16.125" style="3557" bestFit="1" customWidth="1"/>
    <col min="6413" max="6414" width="11.25" style="3557" customWidth="1"/>
    <col min="6415" max="6415" width="60.875" style="3557" bestFit="1" customWidth="1"/>
    <col min="6416" max="6656" width="9" style="3557"/>
    <col min="6657" max="6657" width="5.5" style="3557" customWidth="1"/>
    <col min="6658" max="6658" width="11.25" style="3557" customWidth="1"/>
    <col min="6659" max="6659" width="32.125" style="3557" bestFit="1" customWidth="1"/>
    <col min="6660" max="6660" width="13" style="3557" bestFit="1" customWidth="1"/>
    <col min="6661" max="6661" width="11.25" style="3557" customWidth="1"/>
    <col min="6662" max="6662" width="12.75" style="3557" bestFit="1" customWidth="1"/>
    <col min="6663" max="6665" width="11.25" style="3557" customWidth="1"/>
    <col min="6666" max="6666" width="14.25" style="3557" customWidth="1"/>
    <col min="6667" max="6667" width="11.25" style="3557" customWidth="1"/>
    <col min="6668" max="6668" width="16.125" style="3557" bestFit="1" customWidth="1"/>
    <col min="6669" max="6670" width="11.25" style="3557" customWidth="1"/>
    <col min="6671" max="6671" width="60.875" style="3557" bestFit="1" customWidth="1"/>
    <col min="6672" max="6912" width="9" style="3557"/>
    <col min="6913" max="6913" width="5.5" style="3557" customWidth="1"/>
    <col min="6914" max="6914" width="11.25" style="3557" customWidth="1"/>
    <col min="6915" max="6915" width="32.125" style="3557" bestFit="1" customWidth="1"/>
    <col min="6916" max="6916" width="13" style="3557" bestFit="1" customWidth="1"/>
    <col min="6917" max="6917" width="11.25" style="3557" customWidth="1"/>
    <col min="6918" max="6918" width="12.75" style="3557" bestFit="1" customWidth="1"/>
    <col min="6919" max="6921" width="11.25" style="3557" customWidth="1"/>
    <col min="6922" max="6922" width="14.25" style="3557" customWidth="1"/>
    <col min="6923" max="6923" width="11.25" style="3557" customWidth="1"/>
    <col min="6924" max="6924" width="16.125" style="3557" bestFit="1" customWidth="1"/>
    <col min="6925" max="6926" width="11.25" style="3557" customWidth="1"/>
    <col min="6927" max="6927" width="60.875" style="3557" bestFit="1" customWidth="1"/>
    <col min="6928" max="7168" width="9" style="3557"/>
    <col min="7169" max="7169" width="5.5" style="3557" customWidth="1"/>
    <col min="7170" max="7170" width="11.25" style="3557" customWidth="1"/>
    <col min="7171" max="7171" width="32.125" style="3557" bestFit="1" customWidth="1"/>
    <col min="7172" max="7172" width="13" style="3557" bestFit="1" customWidth="1"/>
    <col min="7173" max="7173" width="11.25" style="3557" customWidth="1"/>
    <col min="7174" max="7174" width="12.75" style="3557" bestFit="1" customWidth="1"/>
    <col min="7175" max="7177" width="11.25" style="3557" customWidth="1"/>
    <col min="7178" max="7178" width="14.25" style="3557" customWidth="1"/>
    <col min="7179" max="7179" width="11.25" style="3557" customWidth="1"/>
    <col min="7180" max="7180" width="16.125" style="3557" bestFit="1" customWidth="1"/>
    <col min="7181" max="7182" width="11.25" style="3557" customWidth="1"/>
    <col min="7183" max="7183" width="60.875" style="3557" bestFit="1" customWidth="1"/>
    <col min="7184" max="7424" width="9" style="3557"/>
    <col min="7425" max="7425" width="5.5" style="3557" customWidth="1"/>
    <col min="7426" max="7426" width="11.25" style="3557" customWidth="1"/>
    <col min="7427" max="7427" width="32.125" style="3557" bestFit="1" customWidth="1"/>
    <col min="7428" max="7428" width="13" style="3557" bestFit="1" customWidth="1"/>
    <col min="7429" max="7429" width="11.25" style="3557" customWidth="1"/>
    <col min="7430" max="7430" width="12.75" style="3557" bestFit="1" customWidth="1"/>
    <col min="7431" max="7433" width="11.25" style="3557" customWidth="1"/>
    <col min="7434" max="7434" width="14.25" style="3557" customWidth="1"/>
    <col min="7435" max="7435" width="11.25" style="3557" customWidth="1"/>
    <col min="7436" max="7436" width="16.125" style="3557" bestFit="1" customWidth="1"/>
    <col min="7437" max="7438" width="11.25" style="3557" customWidth="1"/>
    <col min="7439" max="7439" width="60.875" style="3557" bestFit="1" customWidth="1"/>
    <col min="7440" max="7680" width="9" style="3557"/>
    <col min="7681" max="7681" width="5.5" style="3557" customWidth="1"/>
    <col min="7682" max="7682" width="11.25" style="3557" customWidth="1"/>
    <col min="7683" max="7683" width="32.125" style="3557" bestFit="1" customWidth="1"/>
    <col min="7684" max="7684" width="13" style="3557" bestFit="1" customWidth="1"/>
    <col min="7685" max="7685" width="11.25" style="3557" customWidth="1"/>
    <col min="7686" max="7686" width="12.75" style="3557" bestFit="1" customWidth="1"/>
    <col min="7687" max="7689" width="11.25" style="3557" customWidth="1"/>
    <col min="7690" max="7690" width="14.25" style="3557" customWidth="1"/>
    <col min="7691" max="7691" width="11.25" style="3557" customWidth="1"/>
    <col min="7692" max="7692" width="16.125" style="3557" bestFit="1" customWidth="1"/>
    <col min="7693" max="7694" width="11.25" style="3557" customWidth="1"/>
    <col min="7695" max="7695" width="60.875" style="3557" bestFit="1" customWidth="1"/>
    <col min="7696" max="7936" width="9" style="3557"/>
    <col min="7937" max="7937" width="5.5" style="3557" customWidth="1"/>
    <col min="7938" max="7938" width="11.25" style="3557" customWidth="1"/>
    <col min="7939" max="7939" width="32.125" style="3557" bestFit="1" customWidth="1"/>
    <col min="7940" max="7940" width="13" style="3557" bestFit="1" customWidth="1"/>
    <col min="7941" max="7941" width="11.25" style="3557" customWidth="1"/>
    <col min="7942" max="7942" width="12.75" style="3557" bestFit="1" customWidth="1"/>
    <col min="7943" max="7945" width="11.25" style="3557" customWidth="1"/>
    <col min="7946" max="7946" width="14.25" style="3557" customWidth="1"/>
    <col min="7947" max="7947" width="11.25" style="3557" customWidth="1"/>
    <col min="7948" max="7948" width="16.125" style="3557" bestFit="1" customWidth="1"/>
    <col min="7949" max="7950" width="11.25" style="3557" customWidth="1"/>
    <col min="7951" max="7951" width="60.875" style="3557" bestFit="1" customWidth="1"/>
    <col min="7952" max="8192" width="9" style="3557"/>
    <col min="8193" max="8193" width="5.5" style="3557" customWidth="1"/>
    <col min="8194" max="8194" width="11.25" style="3557" customWidth="1"/>
    <col min="8195" max="8195" width="32.125" style="3557" bestFit="1" customWidth="1"/>
    <col min="8196" max="8196" width="13" style="3557" bestFit="1" customWidth="1"/>
    <col min="8197" max="8197" width="11.25" style="3557" customWidth="1"/>
    <col min="8198" max="8198" width="12.75" style="3557" bestFit="1" customWidth="1"/>
    <col min="8199" max="8201" width="11.25" style="3557" customWidth="1"/>
    <col min="8202" max="8202" width="14.25" style="3557" customWidth="1"/>
    <col min="8203" max="8203" width="11.25" style="3557" customWidth="1"/>
    <col min="8204" max="8204" width="16.125" style="3557" bestFit="1" customWidth="1"/>
    <col min="8205" max="8206" width="11.25" style="3557" customWidth="1"/>
    <col min="8207" max="8207" width="60.875" style="3557" bestFit="1" customWidth="1"/>
    <col min="8208" max="8448" width="9" style="3557"/>
    <col min="8449" max="8449" width="5.5" style="3557" customWidth="1"/>
    <col min="8450" max="8450" width="11.25" style="3557" customWidth="1"/>
    <col min="8451" max="8451" width="32.125" style="3557" bestFit="1" customWidth="1"/>
    <col min="8452" max="8452" width="13" style="3557" bestFit="1" customWidth="1"/>
    <col min="8453" max="8453" width="11.25" style="3557" customWidth="1"/>
    <col min="8454" max="8454" width="12.75" style="3557" bestFit="1" customWidth="1"/>
    <col min="8455" max="8457" width="11.25" style="3557" customWidth="1"/>
    <col min="8458" max="8458" width="14.25" style="3557" customWidth="1"/>
    <col min="8459" max="8459" width="11.25" style="3557" customWidth="1"/>
    <col min="8460" max="8460" width="16.125" style="3557" bestFit="1" customWidth="1"/>
    <col min="8461" max="8462" width="11.25" style="3557" customWidth="1"/>
    <col min="8463" max="8463" width="60.875" style="3557" bestFit="1" customWidth="1"/>
    <col min="8464" max="8704" width="9" style="3557"/>
    <col min="8705" max="8705" width="5.5" style="3557" customWidth="1"/>
    <col min="8706" max="8706" width="11.25" style="3557" customWidth="1"/>
    <col min="8707" max="8707" width="32.125" style="3557" bestFit="1" customWidth="1"/>
    <col min="8708" max="8708" width="13" style="3557" bestFit="1" customWidth="1"/>
    <col min="8709" max="8709" width="11.25" style="3557" customWidth="1"/>
    <col min="8710" max="8710" width="12.75" style="3557" bestFit="1" customWidth="1"/>
    <col min="8711" max="8713" width="11.25" style="3557" customWidth="1"/>
    <col min="8714" max="8714" width="14.25" style="3557" customWidth="1"/>
    <col min="8715" max="8715" width="11.25" style="3557" customWidth="1"/>
    <col min="8716" max="8716" width="16.125" style="3557" bestFit="1" customWidth="1"/>
    <col min="8717" max="8718" width="11.25" style="3557" customWidth="1"/>
    <col min="8719" max="8719" width="60.875" style="3557" bestFit="1" customWidth="1"/>
    <col min="8720" max="8960" width="9" style="3557"/>
    <col min="8961" max="8961" width="5.5" style="3557" customWidth="1"/>
    <col min="8962" max="8962" width="11.25" style="3557" customWidth="1"/>
    <col min="8963" max="8963" width="32.125" style="3557" bestFit="1" customWidth="1"/>
    <col min="8964" max="8964" width="13" style="3557" bestFit="1" customWidth="1"/>
    <col min="8965" max="8965" width="11.25" style="3557" customWidth="1"/>
    <col min="8966" max="8966" width="12.75" style="3557" bestFit="1" customWidth="1"/>
    <col min="8967" max="8969" width="11.25" style="3557" customWidth="1"/>
    <col min="8970" max="8970" width="14.25" style="3557" customWidth="1"/>
    <col min="8971" max="8971" width="11.25" style="3557" customWidth="1"/>
    <col min="8972" max="8972" width="16.125" style="3557" bestFit="1" customWidth="1"/>
    <col min="8973" max="8974" width="11.25" style="3557" customWidth="1"/>
    <col min="8975" max="8975" width="60.875" style="3557" bestFit="1" customWidth="1"/>
    <col min="8976" max="9216" width="9" style="3557"/>
    <col min="9217" max="9217" width="5.5" style="3557" customWidth="1"/>
    <col min="9218" max="9218" width="11.25" style="3557" customWidth="1"/>
    <col min="9219" max="9219" width="32.125" style="3557" bestFit="1" customWidth="1"/>
    <col min="9220" max="9220" width="13" style="3557" bestFit="1" customWidth="1"/>
    <col min="9221" max="9221" width="11.25" style="3557" customWidth="1"/>
    <col min="9222" max="9222" width="12.75" style="3557" bestFit="1" customWidth="1"/>
    <col min="9223" max="9225" width="11.25" style="3557" customWidth="1"/>
    <col min="9226" max="9226" width="14.25" style="3557" customWidth="1"/>
    <col min="9227" max="9227" width="11.25" style="3557" customWidth="1"/>
    <col min="9228" max="9228" width="16.125" style="3557" bestFit="1" customWidth="1"/>
    <col min="9229" max="9230" width="11.25" style="3557" customWidth="1"/>
    <col min="9231" max="9231" width="60.875" style="3557" bestFit="1" customWidth="1"/>
    <col min="9232" max="9472" width="9" style="3557"/>
    <col min="9473" max="9473" width="5.5" style="3557" customWidth="1"/>
    <col min="9474" max="9474" width="11.25" style="3557" customWidth="1"/>
    <col min="9475" max="9475" width="32.125" style="3557" bestFit="1" customWidth="1"/>
    <col min="9476" max="9476" width="13" style="3557" bestFit="1" customWidth="1"/>
    <col min="9477" max="9477" width="11.25" style="3557" customWidth="1"/>
    <col min="9478" max="9478" width="12.75" style="3557" bestFit="1" customWidth="1"/>
    <col min="9479" max="9481" width="11.25" style="3557" customWidth="1"/>
    <col min="9482" max="9482" width="14.25" style="3557" customWidth="1"/>
    <col min="9483" max="9483" width="11.25" style="3557" customWidth="1"/>
    <col min="9484" max="9484" width="16.125" style="3557" bestFit="1" customWidth="1"/>
    <col min="9485" max="9486" width="11.25" style="3557" customWidth="1"/>
    <col min="9487" max="9487" width="60.875" style="3557" bestFit="1" customWidth="1"/>
    <col min="9488" max="9728" width="9" style="3557"/>
    <col min="9729" max="9729" width="5.5" style="3557" customWidth="1"/>
    <col min="9730" max="9730" width="11.25" style="3557" customWidth="1"/>
    <col min="9731" max="9731" width="32.125" style="3557" bestFit="1" customWidth="1"/>
    <col min="9732" max="9732" width="13" style="3557" bestFit="1" customWidth="1"/>
    <col min="9733" max="9733" width="11.25" style="3557" customWidth="1"/>
    <col min="9734" max="9734" width="12.75" style="3557" bestFit="1" customWidth="1"/>
    <col min="9735" max="9737" width="11.25" style="3557" customWidth="1"/>
    <col min="9738" max="9738" width="14.25" style="3557" customWidth="1"/>
    <col min="9739" max="9739" width="11.25" style="3557" customWidth="1"/>
    <col min="9740" max="9740" width="16.125" style="3557" bestFit="1" customWidth="1"/>
    <col min="9741" max="9742" width="11.25" style="3557" customWidth="1"/>
    <col min="9743" max="9743" width="60.875" style="3557" bestFit="1" customWidth="1"/>
    <col min="9744" max="9984" width="9" style="3557"/>
    <col min="9985" max="9985" width="5.5" style="3557" customWidth="1"/>
    <col min="9986" max="9986" width="11.25" style="3557" customWidth="1"/>
    <col min="9987" max="9987" width="32.125" style="3557" bestFit="1" customWidth="1"/>
    <col min="9988" max="9988" width="13" style="3557" bestFit="1" customWidth="1"/>
    <col min="9989" max="9989" width="11.25" style="3557" customWidth="1"/>
    <col min="9990" max="9990" width="12.75" style="3557" bestFit="1" customWidth="1"/>
    <col min="9991" max="9993" width="11.25" style="3557" customWidth="1"/>
    <col min="9994" max="9994" width="14.25" style="3557" customWidth="1"/>
    <col min="9995" max="9995" width="11.25" style="3557" customWidth="1"/>
    <col min="9996" max="9996" width="16.125" style="3557" bestFit="1" customWidth="1"/>
    <col min="9997" max="9998" width="11.25" style="3557" customWidth="1"/>
    <col min="9999" max="9999" width="60.875" style="3557" bestFit="1" customWidth="1"/>
    <col min="10000" max="10240" width="9" style="3557"/>
    <col min="10241" max="10241" width="5.5" style="3557" customWidth="1"/>
    <col min="10242" max="10242" width="11.25" style="3557" customWidth="1"/>
    <col min="10243" max="10243" width="32.125" style="3557" bestFit="1" customWidth="1"/>
    <col min="10244" max="10244" width="13" style="3557" bestFit="1" customWidth="1"/>
    <col min="10245" max="10245" width="11.25" style="3557" customWidth="1"/>
    <col min="10246" max="10246" width="12.75" style="3557" bestFit="1" customWidth="1"/>
    <col min="10247" max="10249" width="11.25" style="3557" customWidth="1"/>
    <col min="10250" max="10250" width="14.25" style="3557" customWidth="1"/>
    <col min="10251" max="10251" width="11.25" style="3557" customWidth="1"/>
    <col min="10252" max="10252" width="16.125" style="3557" bestFit="1" customWidth="1"/>
    <col min="10253" max="10254" width="11.25" style="3557" customWidth="1"/>
    <col min="10255" max="10255" width="60.875" style="3557" bestFit="1" customWidth="1"/>
    <col min="10256" max="10496" width="9" style="3557"/>
    <col min="10497" max="10497" width="5.5" style="3557" customWidth="1"/>
    <col min="10498" max="10498" width="11.25" style="3557" customWidth="1"/>
    <col min="10499" max="10499" width="32.125" style="3557" bestFit="1" customWidth="1"/>
    <col min="10500" max="10500" width="13" style="3557" bestFit="1" customWidth="1"/>
    <col min="10501" max="10501" width="11.25" style="3557" customWidth="1"/>
    <col min="10502" max="10502" width="12.75" style="3557" bestFit="1" customWidth="1"/>
    <col min="10503" max="10505" width="11.25" style="3557" customWidth="1"/>
    <col min="10506" max="10506" width="14.25" style="3557" customWidth="1"/>
    <col min="10507" max="10507" width="11.25" style="3557" customWidth="1"/>
    <col min="10508" max="10508" width="16.125" style="3557" bestFit="1" customWidth="1"/>
    <col min="10509" max="10510" width="11.25" style="3557" customWidth="1"/>
    <col min="10511" max="10511" width="60.875" style="3557" bestFit="1" customWidth="1"/>
    <col min="10512" max="10752" width="9" style="3557"/>
    <col min="10753" max="10753" width="5.5" style="3557" customWidth="1"/>
    <col min="10754" max="10754" width="11.25" style="3557" customWidth="1"/>
    <col min="10755" max="10755" width="32.125" style="3557" bestFit="1" customWidth="1"/>
    <col min="10756" max="10756" width="13" style="3557" bestFit="1" customWidth="1"/>
    <col min="10757" max="10757" width="11.25" style="3557" customWidth="1"/>
    <col min="10758" max="10758" width="12.75" style="3557" bestFit="1" customWidth="1"/>
    <col min="10759" max="10761" width="11.25" style="3557" customWidth="1"/>
    <col min="10762" max="10762" width="14.25" style="3557" customWidth="1"/>
    <col min="10763" max="10763" width="11.25" style="3557" customWidth="1"/>
    <col min="10764" max="10764" width="16.125" style="3557" bestFit="1" customWidth="1"/>
    <col min="10765" max="10766" width="11.25" style="3557" customWidth="1"/>
    <col min="10767" max="10767" width="60.875" style="3557" bestFit="1" customWidth="1"/>
    <col min="10768" max="11008" width="9" style="3557"/>
    <col min="11009" max="11009" width="5.5" style="3557" customWidth="1"/>
    <col min="11010" max="11010" width="11.25" style="3557" customWidth="1"/>
    <col min="11011" max="11011" width="32.125" style="3557" bestFit="1" customWidth="1"/>
    <col min="11012" max="11012" width="13" style="3557" bestFit="1" customWidth="1"/>
    <col min="11013" max="11013" width="11.25" style="3557" customWidth="1"/>
    <col min="11014" max="11014" width="12.75" style="3557" bestFit="1" customWidth="1"/>
    <col min="11015" max="11017" width="11.25" style="3557" customWidth="1"/>
    <col min="11018" max="11018" width="14.25" style="3557" customWidth="1"/>
    <col min="11019" max="11019" width="11.25" style="3557" customWidth="1"/>
    <col min="11020" max="11020" width="16.125" style="3557" bestFit="1" customWidth="1"/>
    <col min="11021" max="11022" width="11.25" style="3557" customWidth="1"/>
    <col min="11023" max="11023" width="60.875" style="3557" bestFit="1" customWidth="1"/>
    <col min="11024" max="11264" width="9" style="3557"/>
    <col min="11265" max="11265" width="5.5" style="3557" customWidth="1"/>
    <col min="11266" max="11266" width="11.25" style="3557" customWidth="1"/>
    <col min="11267" max="11267" width="32.125" style="3557" bestFit="1" customWidth="1"/>
    <col min="11268" max="11268" width="13" style="3557" bestFit="1" customWidth="1"/>
    <col min="11269" max="11269" width="11.25" style="3557" customWidth="1"/>
    <col min="11270" max="11270" width="12.75" style="3557" bestFit="1" customWidth="1"/>
    <col min="11271" max="11273" width="11.25" style="3557" customWidth="1"/>
    <col min="11274" max="11274" width="14.25" style="3557" customWidth="1"/>
    <col min="11275" max="11275" width="11.25" style="3557" customWidth="1"/>
    <col min="11276" max="11276" width="16.125" style="3557" bestFit="1" customWidth="1"/>
    <col min="11277" max="11278" width="11.25" style="3557" customWidth="1"/>
    <col min="11279" max="11279" width="60.875" style="3557" bestFit="1" customWidth="1"/>
    <col min="11280" max="11520" width="9" style="3557"/>
    <col min="11521" max="11521" width="5.5" style="3557" customWidth="1"/>
    <col min="11522" max="11522" width="11.25" style="3557" customWidth="1"/>
    <col min="11523" max="11523" width="32.125" style="3557" bestFit="1" customWidth="1"/>
    <col min="11524" max="11524" width="13" style="3557" bestFit="1" customWidth="1"/>
    <col min="11525" max="11525" width="11.25" style="3557" customWidth="1"/>
    <col min="11526" max="11526" width="12.75" style="3557" bestFit="1" customWidth="1"/>
    <col min="11527" max="11529" width="11.25" style="3557" customWidth="1"/>
    <col min="11530" max="11530" width="14.25" style="3557" customWidth="1"/>
    <col min="11531" max="11531" width="11.25" style="3557" customWidth="1"/>
    <col min="11532" max="11532" width="16.125" style="3557" bestFit="1" customWidth="1"/>
    <col min="11533" max="11534" width="11.25" style="3557" customWidth="1"/>
    <col min="11535" max="11535" width="60.875" style="3557" bestFit="1" customWidth="1"/>
    <col min="11536" max="11776" width="9" style="3557"/>
    <col min="11777" max="11777" width="5.5" style="3557" customWidth="1"/>
    <col min="11778" max="11778" width="11.25" style="3557" customWidth="1"/>
    <col min="11779" max="11779" width="32.125" style="3557" bestFit="1" customWidth="1"/>
    <col min="11780" max="11780" width="13" style="3557" bestFit="1" customWidth="1"/>
    <col min="11781" max="11781" width="11.25" style="3557" customWidth="1"/>
    <col min="11782" max="11782" width="12.75" style="3557" bestFit="1" customWidth="1"/>
    <col min="11783" max="11785" width="11.25" style="3557" customWidth="1"/>
    <col min="11786" max="11786" width="14.25" style="3557" customWidth="1"/>
    <col min="11787" max="11787" width="11.25" style="3557" customWidth="1"/>
    <col min="11788" max="11788" width="16.125" style="3557" bestFit="1" customWidth="1"/>
    <col min="11789" max="11790" width="11.25" style="3557" customWidth="1"/>
    <col min="11791" max="11791" width="60.875" style="3557" bestFit="1" customWidth="1"/>
    <col min="11792" max="12032" width="9" style="3557"/>
    <col min="12033" max="12033" width="5.5" style="3557" customWidth="1"/>
    <col min="12034" max="12034" width="11.25" style="3557" customWidth="1"/>
    <col min="12035" max="12035" width="32.125" style="3557" bestFit="1" customWidth="1"/>
    <col min="12036" max="12036" width="13" style="3557" bestFit="1" customWidth="1"/>
    <col min="12037" max="12037" width="11.25" style="3557" customWidth="1"/>
    <col min="12038" max="12038" width="12.75" style="3557" bestFit="1" customWidth="1"/>
    <col min="12039" max="12041" width="11.25" style="3557" customWidth="1"/>
    <col min="12042" max="12042" width="14.25" style="3557" customWidth="1"/>
    <col min="12043" max="12043" width="11.25" style="3557" customWidth="1"/>
    <col min="12044" max="12044" width="16.125" style="3557" bestFit="1" customWidth="1"/>
    <col min="12045" max="12046" width="11.25" style="3557" customWidth="1"/>
    <col min="12047" max="12047" width="60.875" style="3557" bestFit="1" customWidth="1"/>
    <col min="12048" max="12288" width="9" style="3557"/>
    <col min="12289" max="12289" width="5.5" style="3557" customWidth="1"/>
    <col min="12290" max="12290" width="11.25" style="3557" customWidth="1"/>
    <col min="12291" max="12291" width="32.125" style="3557" bestFit="1" customWidth="1"/>
    <col min="12292" max="12292" width="13" style="3557" bestFit="1" customWidth="1"/>
    <col min="12293" max="12293" width="11.25" style="3557" customWidth="1"/>
    <col min="12294" max="12294" width="12.75" style="3557" bestFit="1" customWidth="1"/>
    <col min="12295" max="12297" width="11.25" style="3557" customWidth="1"/>
    <col min="12298" max="12298" width="14.25" style="3557" customWidth="1"/>
    <col min="12299" max="12299" width="11.25" style="3557" customWidth="1"/>
    <col min="12300" max="12300" width="16.125" style="3557" bestFit="1" customWidth="1"/>
    <col min="12301" max="12302" width="11.25" style="3557" customWidth="1"/>
    <col min="12303" max="12303" width="60.875" style="3557" bestFit="1" customWidth="1"/>
    <col min="12304" max="12544" width="9" style="3557"/>
    <col min="12545" max="12545" width="5.5" style="3557" customWidth="1"/>
    <col min="12546" max="12546" width="11.25" style="3557" customWidth="1"/>
    <col min="12547" max="12547" width="32.125" style="3557" bestFit="1" customWidth="1"/>
    <col min="12548" max="12548" width="13" style="3557" bestFit="1" customWidth="1"/>
    <col min="12549" max="12549" width="11.25" style="3557" customWidth="1"/>
    <col min="12550" max="12550" width="12.75" style="3557" bestFit="1" customWidth="1"/>
    <col min="12551" max="12553" width="11.25" style="3557" customWidth="1"/>
    <col min="12554" max="12554" width="14.25" style="3557" customWidth="1"/>
    <col min="12555" max="12555" width="11.25" style="3557" customWidth="1"/>
    <col min="12556" max="12556" width="16.125" style="3557" bestFit="1" customWidth="1"/>
    <col min="12557" max="12558" width="11.25" style="3557" customWidth="1"/>
    <col min="12559" max="12559" width="60.875" style="3557" bestFit="1" customWidth="1"/>
    <col min="12560" max="12800" width="9" style="3557"/>
    <col min="12801" max="12801" width="5.5" style="3557" customWidth="1"/>
    <col min="12802" max="12802" width="11.25" style="3557" customWidth="1"/>
    <col min="12803" max="12803" width="32.125" style="3557" bestFit="1" customWidth="1"/>
    <col min="12804" max="12804" width="13" style="3557" bestFit="1" customWidth="1"/>
    <col min="12805" max="12805" width="11.25" style="3557" customWidth="1"/>
    <col min="12806" max="12806" width="12.75" style="3557" bestFit="1" customWidth="1"/>
    <col min="12807" max="12809" width="11.25" style="3557" customWidth="1"/>
    <col min="12810" max="12810" width="14.25" style="3557" customWidth="1"/>
    <col min="12811" max="12811" width="11.25" style="3557" customWidth="1"/>
    <col min="12812" max="12812" width="16.125" style="3557" bestFit="1" customWidth="1"/>
    <col min="12813" max="12814" width="11.25" style="3557" customWidth="1"/>
    <col min="12815" max="12815" width="60.875" style="3557" bestFit="1" customWidth="1"/>
    <col min="12816" max="13056" width="9" style="3557"/>
    <col min="13057" max="13057" width="5.5" style="3557" customWidth="1"/>
    <col min="13058" max="13058" width="11.25" style="3557" customWidth="1"/>
    <col min="13059" max="13059" width="32.125" style="3557" bestFit="1" customWidth="1"/>
    <col min="13060" max="13060" width="13" style="3557" bestFit="1" customWidth="1"/>
    <col min="13061" max="13061" width="11.25" style="3557" customWidth="1"/>
    <col min="13062" max="13062" width="12.75" style="3557" bestFit="1" customWidth="1"/>
    <col min="13063" max="13065" width="11.25" style="3557" customWidth="1"/>
    <col min="13066" max="13066" width="14.25" style="3557" customWidth="1"/>
    <col min="13067" max="13067" width="11.25" style="3557" customWidth="1"/>
    <col min="13068" max="13068" width="16.125" style="3557" bestFit="1" customWidth="1"/>
    <col min="13069" max="13070" width="11.25" style="3557" customWidth="1"/>
    <col min="13071" max="13071" width="60.875" style="3557" bestFit="1" customWidth="1"/>
    <col min="13072" max="13312" width="9" style="3557"/>
    <col min="13313" max="13313" width="5.5" style="3557" customWidth="1"/>
    <col min="13314" max="13314" width="11.25" style="3557" customWidth="1"/>
    <col min="13315" max="13315" width="32.125" style="3557" bestFit="1" customWidth="1"/>
    <col min="13316" max="13316" width="13" style="3557" bestFit="1" customWidth="1"/>
    <col min="13317" max="13317" width="11.25" style="3557" customWidth="1"/>
    <col min="13318" max="13318" width="12.75" style="3557" bestFit="1" customWidth="1"/>
    <col min="13319" max="13321" width="11.25" style="3557" customWidth="1"/>
    <col min="13322" max="13322" width="14.25" style="3557" customWidth="1"/>
    <col min="13323" max="13323" width="11.25" style="3557" customWidth="1"/>
    <col min="13324" max="13324" width="16.125" style="3557" bestFit="1" customWidth="1"/>
    <col min="13325" max="13326" width="11.25" style="3557" customWidth="1"/>
    <col min="13327" max="13327" width="60.875" style="3557" bestFit="1" customWidth="1"/>
    <col min="13328" max="13568" width="9" style="3557"/>
    <col min="13569" max="13569" width="5.5" style="3557" customWidth="1"/>
    <col min="13570" max="13570" width="11.25" style="3557" customWidth="1"/>
    <col min="13571" max="13571" width="32.125" style="3557" bestFit="1" customWidth="1"/>
    <col min="13572" max="13572" width="13" style="3557" bestFit="1" customWidth="1"/>
    <col min="13573" max="13573" width="11.25" style="3557" customWidth="1"/>
    <col min="13574" max="13574" width="12.75" style="3557" bestFit="1" customWidth="1"/>
    <col min="13575" max="13577" width="11.25" style="3557" customWidth="1"/>
    <col min="13578" max="13578" width="14.25" style="3557" customWidth="1"/>
    <col min="13579" max="13579" width="11.25" style="3557" customWidth="1"/>
    <col min="13580" max="13580" width="16.125" style="3557" bestFit="1" customWidth="1"/>
    <col min="13581" max="13582" width="11.25" style="3557" customWidth="1"/>
    <col min="13583" max="13583" width="60.875" style="3557" bestFit="1" customWidth="1"/>
    <col min="13584" max="13824" width="9" style="3557"/>
    <col min="13825" max="13825" width="5.5" style="3557" customWidth="1"/>
    <col min="13826" max="13826" width="11.25" style="3557" customWidth="1"/>
    <col min="13827" max="13827" width="32.125" style="3557" bestFit="1" customWidth="1"/>
    <col min="13828" max="13828" width="13" style="3557" bestFit="1" customWidth="1"/>
    <col min="13829" max="13829" width="11.25" style="3557" customWidth="1"/>
    <col min="13830" max="13830" width="12.75" style="3557" bestFit="1" customWidth="1"/>
    <col min="13831" max="13833" width="11.25" style="3557" customWidth="1"/>
    <col min="13834" max="13834" width="14.25" style="3557" customWidth="1"/>
    <col min="13835" max="13835" width="11.25" style="3557" customWidth="1"/>
    <col min="13836" max="13836" width="16.125" style="3557" bestFit="1" customWidth="1"/>
    <col min="13837" max="13838" width="11.25" style="3557" customWidth="1"/>
    <col min="13839" max="13839" width="60.875" style="3557" bestFit="1" customWidth="1"/>
    <col min="13840" max="14080" width="9" style="3557"/>
    <col min="14081" max="14081" width="5.5" style="3557" customWidth="1"/>
    <col min="14082" max="14082" width="11.25" style="3557" customWidth="1"/>
    <col min="14083" max="14083" width="32.125" style="3557" bestFit="1" customWidth="1"/>
    <col min="14084" max="14084" width="13" style="3557" bestFit="1" customWidth="1"/>
    <col min="14085" max="14085" width="11.25" style="3557" customWidth="1"/>
    <col min="14086" max="14086" width="12.75" style="3557" bestFit="1" customWidth="1"/>
    <col min="14087" max="14089" width="11.25" style="3557" customWidth="1"/>
    <col min="14090" max="14090" width="14.25" style="3557" customWidth="1"/>
    <col min="14091" max="14091" width="11.25" style="3557" customWidth="1"/>
    <col min="14092" max="14092" width="16.125" style="3557" bestFit="1" customWidth="1"/>
    <col min="14093" max="14094" width="11.25" style="3557" customWidth="1"/>
    <col min="14095" max="14095" width="60.875" style="3557" bestFit="1" customWidth="1"/>
    <col min="14096" max="14336" width="9" style="3557"/>
    <col min="14337" max="14337" width="5.5" style="3557" customWidth="1"/>
    <col min="14338" max="14338" width="11.25" style="3557" customWidth="1"/>
    <col min="14339" max="14339" width="32.125" style="3557" bestFit="1" customWidth="1"/>
    <col min="14340" max="14340" width="13" style="3557" bestFit="1" customWidth="1"/>
    <col min="14341" max="14341" width="11.25" style="3557" customWidth="1"/>
    <col min="14342" max="14342" width="12.75" style="3557" bestFit="1" customWidth="1"/>
    <col min="14343" max="14345" width="11.25" style="3557" customWidth="1"/>
    <col min="14346" max="14346" width="14.25" style="3557" customWidth="1"/>
    <col min="14347" max="14347" width="11.25" style="3557" customWidth="1"/>
    <col min="14348" max="14348" width="16.125" style="3557" bestFit="1" customWidth="1"/>
    <col min="14349" max="14350" width="11.25" style="3557" customWidth="1"/>
    <col min="14351" max="14351" width="60.875" style="3557" bestFit="1" customWidth="1"/>
    <col min="14352" max="14592" width="9" style="3557"/>
    <col min="14593" max="14593" width="5.5" style="3557" customWidth="1"/>
    <col min="14594" max="14594" width="11.25" style="3557" customWidth="1"/>
    <col min="14595" max="14595" width="32.125" style="3557" bestFit="1" customWidth="1"/>
    <col min="14596" max="14596" width="13" style="3557" bestFit="1" customWidth="1"/>
    <col min="14597" max="14597" width="11.25" style="3557" customWidth="1"/>
    <col min="14598" max="14598" width="12.75" style="3557" bestFit="1" customWidth="1"/>
    <col min="14599" max="14601" width="11.25" style="3557" customWidth="1"/>
    <col min="14602" max="14602" width="14.25" style="3557" customWidth="1"/>
    <col min="14603" max="14603" width="11.25" style="3557" customWidth="1"/>
    <col min="14604" max="14604" width="16.125" style="3557" bestFit="1" customWidth="1"/>
    <col min="14605" max="14606" width="11.25" style="3557" customWidth="1"/>
    <col min="14607" max="14607" width="60.875" style="3557" bestFit="1" customWidth="1"/>
    <col min="14608" max="14848" width="9" style="3557"/>
    <col min="14849" max="14849" width="5.5" style="3557" customWidth="1"/>
    <col min="14850" max="14850" width="11.25" style="3557" customWidth="1"/>
    <col min="14851" max="14851" width="32.125" style="3557" bestFit="1" customWidth="1"/>
    <col min="14852" max="14852" width="13" style="3557" bestFit="1" customWidth="1"/>
    <col min="14853" max="14853" width="11.25" style="3557" customWidth="1"/>
    <col min="14854" max="14854" width="12.75" style="3557" bestFit="1" customWidth="1"/>
    <col min="14855" max="14857" width="11.25" style="3557" customWidth="1"/>
    <col min="14858" max="14858" width="14.25" style="3557" customWidth="1"/>
    <col min="14859" max="14859" width="11.25" style="3557" customWidth="1"/>
    <col min="14860" max="14860" width="16.125" style="3557" bestFit="1" customWidth="1"/>
    <col min="14861" max="14862" width="11.25" style="3557" customWidth="1"/>
    <col min="14863" max="14863" width="60.875" style="3557" bestFit="1" customWidth="1"/>
    <col min="14864" max="15104" width="9" style="3557"/>
    <col min="15105" max="15105" width="5.5" style="3557" customWidth="1"/>
    <col min="15106" max="15106" width="11.25" style="3557" customWidth="1"/>
    <col min="15107" max="15107" width="32.125" style="3557" bestFit="1" customWidth="1"/>
    <col min="15108" max="15108" width="13" style="3557" bestFit="1" customWidth="1"/>
    <col min="15109" max="15109" width="11.25" style="3557" customWidth="1"/>
    <col min="15110" max="15110" width="12.75" style="3557" bestFit="1" customWidth="1"/>
    <col min="15111" max="15113" width="11.25" style="3557" customWidth="1"/>
    <col min="15114" max="15114" width="14.25" style="3557" customWidth="1"/>
    <col min="15115" max="15115" width="11.25" style="3557" customWidth="1"/>
    <col min="15116" max="15116" width="16.125" style="3557" bestFit="1" customWidth="1"/>
    <col min="15117" max="15118" width="11.25" style="3557" customWidth="1"/>
    <col min="15119" max="15119" width="60.875" style="3557" bestFit="1" customWidth="1"/>
    <col min="15120" max="15360" width="9" style="3557"/>
    <col min="15361" max="15361" width="5.5" style="3557" customWidth="1"/>
    <col min="15362" max="15362" width="11.25" style="3557" customWidth="1"/>
    <col min="15363" max="15363" width="32.125" style="3557" bestFit="1" customWidth="1"/>
    <col min="15364" max="15364" width="13" style="3557" bestFit="1" customWidth="1"/>
    <col min="15365" max="15365" width="11.25" style="3557" customWidth="1"/>
    <col min="15366" max="15366" width="12.75" style="3557" bestFit="1" customWidth="1"/>
    <col min="15367" max="15369" width="11.25" style="3557" customWidth="1"/>
    <col min="15370" max="15370" width="14.25" style="3557" customWidth="1"/>
    <col min="15371" max="15371" width="11.25" style="3557" customWidth="1"/>
    <col min="15372" max="15372" width="16.125" style="3557" bestFit="1" customWidth="1"/>
    <col min="15373" max="15374" width="11.25" style="3557" customWidth="1"/>
    <col min="15375" max="15375" width="60.875" style="3557" bestFit="1" customWidth="1"/>
    <col min="15376" max="15616" width="9" style="3557"/>
    <col min="15617" max="15617" width="5.5" style="3557" customWidth="1"/>
    <col min="15618" max="15618" width="11.25" style="3557" customWidth="1"/>
    <col min="15619" max="15619" width="32.125" style="3557" bestFit="1" customWidth="1"/>
    <col min="15620" max="15620" width="13" style="3557" bestFit="1" customWidth="1"/>
    <col min="15621" max="15621" width="11.25" style="3557" customWidth="1"/>
    <col min="15622" max="15622" width="12.75" style="3557" bestFit="1" customWidth="1"/>
    <col min="15623" max="15625" width="11.25" style="3557" customWidth="1"/>
    <col min="15626" max="15626" width="14.25" style="3557" customWidth="1"/>
    <col min="15627" max="15627" width="11.25" style="3557" customWidth="1"/>
    <col min="15628" max="15628" width="16.125" style="3557" bestFit="1" customWidth="1"/>
    <col min="15629" max="15630" width="11.25" style="3557" customWidth="1"/>
    <col min="15631" max="15631" width="60.875" style="3557" bestFit="1" customWidth="1"/>
    <col min="15632" max="15872" width="9" style="3557"/>
    <col min="15873" max="15873" width="5.5" style="3557" customWidth="1"/>
    <col min="15874" max="15874" width="11.25" style="3557" customWidth="1"/>
    <col min="15875" max="15875" width="32.125" style="3557" bestFit="1" customWidth="1"/>
    <col min="15876" max="15876" width="13" style="3557" bestFit="1" customWidth="1"/>
    <col min="15877" max="15877" width="11.25" style="3557" customWidth="1"/>
    <col min="15878" max="15878" width="12.75" style="3557" bestFit="1" customWidth="1"/>
    <col min="15879" max="15881" width="11.25" style="3557" customWidth="1"/>
    <col min="15882" max="15882" width="14.25" style="3557" customWidth="1"/>
    <col min="15883" max="15883" width="11.25" style="3557" customWidth="1"/>
    <col min="15884" max="15884" width="16.125" style="3557" bestFit="1" customWidth="1"/>
    <col min="15885" max="15886" width="11.25" style="3557" customWidth="1"/>
    <col min="15887" max="15887" width="60.875" style="3557" bestFit="1" customWidth="1"/>
    <col min="15888" max="16128" width="9" style="3557"/>
    <col min="16129" max="16129" width="5.5" style="3557" customWidth="1"/>
    <col min="16130" max="16130" width="11.25" style="3557" customWidth="1"/>
    <col min="16131" max="16131" width="32.125" style="3557" bestFit="1" customWidth="1"/>
    <col min="16132" max="16132" width="13" style="3557" bestFit="1" customWidth="1"/>
    <col min="16133" max="16133" width="11.25" style="3557" customWidth="1"/>
    <col min="16134" max="16134" width="12.75" style="3557" bestFit="1" customWidth="1"/>
    <col min="16135" max="16137" width="11.25" style="3557" customWidth="1"/>
    <col min="16138" max="16138" width="14.25" style="3557" customWidth="1"/>
    <col min="16139" max="16139" width="11.25" style="3557" customWidth="1"/>
    <col min="16140" max="16140" width="16.125" style="3557" bestFit="1" customWidth="1"/>
    <col min="16141" max="16142" width="11.25" style="3557" customWidth="1"/>
    <col min="16143" max="16143" width="60.875" style="3557" bestFit="1" customWidth="1"/>
    <col min="16144" max="16384" width="9" style="3557"/>
  </cols>
  <sheetData>
    <row r="1" spans="1:15" s="3547" customFormat="1" ht="28.5" customHeight="1">
      <c r="A1" s="3544" t="s">
        <v>3569</v>
      </c>
      <c r="B1" s="4112" t="s">
        <v>3570</v>
      </c>
      <c r="C1" s="4113"/>
      <c r="D1" s="4110" t="s">
        <v>3571</v>
      </c>
      <c r="E1" s="3545" t="s">
        <v>3572</v>
      </c>
      <c r="F1" s="3546" t="s">
        <v>3573</v>
      </c>
      <c r="G1" s="3544" t="s">
        <v>3574</v>
      </c>
      <c r="H1" s="3544" t="s">
        <v>3574</v>
      </c>
      <c r="I1" s="4112" t="s">
        <v>3575</v>
      </c>
      <c r="J1" s="4113"/>
      <c r="K1" s="4112" t="s">
        <v>3576</v>
      </c>
      <c r="L1" s="4113"/>
      <c r="M1" s="4110" t="s">
        <v>3577</v>
      </c>
      <c r="N1" s="3544" t="s">
        <v>3578</v>
      </c>
      <c r="O1" s="4110" t="s">
        <v>3579</v>
      </c>
    </row>
    <row r="2" spans="1:15" s="3547" customFormat="1" ht="28.5" customHeight="1">
      <c r="A2" s="3544"/>
      <c r="B2" s="3544" t="s">
        <v>3580</v>
      </c>
      <c r="C2" s="3544" t="s">
        <v>3581</v>
      </c>
      <c r="D2" s="4111"/>
      <c r="E2" s="3544" t="s">
        <v>3582</v>
      </c>
      <c r="F2" s="3544" t="s">
        <v>3582</v>
      </c>
      <c r="G2" s="3544" t="s">
        <v>3583</v>
      </c>
      <c r="H2" s="3544" t="s">
        <v>3584</v>
      </c>
      <c r="I2" s="3544" t="s">
        <v>3585</v>
      </c>
      <c r="J2" s="3544" t="s">
        <v>3586</v>
      </c>
      <c r="K2" s="3544" t="s">
        <v>3585</v>
      </c>
      <c r="L2" s="3544" t="s">
        <v>3586</v>
      </c>
      <c r="M2" s="4111"/>
      <c r="N2" s="3544" t="s">
        <v>3587</v>
      </c>
      <c r="O2" s="4111"/>
    </row>
    <row r="3" spans="1:15" ht="15" customHeight="1">
      <c r="A3" s="3548">
        <v>1</v>
      </c>
      <c r="B3" s="4107" t="s">
        <v>3588</v>
      </c>
      <c r="C3" s="3549" t="s">
        <v>3589</v>
      </c>
      <c r="D3" s="3550" t="s">
        <v>3590</v>
      </c>
      <c r="E3" s="3551"/>
      <c r="F3" s="3552">
        <v>4939.08</v>
      </c>
      <c r="G3" s="3553" t="s">
        <v>3591</v>
      </c>
      <c r="H3" s="3553" t="s">
        <v>3592</v>
      </c>
      <c r="I3" s="3554"/>
      <c r="J3" s="3555">
        <f>375/30</f>
        <v>12.5</v>
      </c>
      <c r="K3" s="3554"/>
      <c r="L3" s="3556">
        <f>F3*375*11</f>
        <v>20373705</v>
      </c>
      <c r="M3" s="3554"/>
      <c r="N3" s="3554"/>
      <c r="O3" s="3554" t="s">
        <v>3593</v>
      </c>
    </row>
    <row r="4" spans="1:15" ht="15" customHeight="1">
      <c r="A4" s="3548">
        <v>2</v>
      </c>
      <c r="B4" s="4108"/>
      <c r="C4" s="3549" t="s">
        <v>3594</v>
      </c>
      <c r="D4" s="3550" t="s">
        <v>3595</v>
      </c>
      <c r="E4" s="3551"/>
      <c r="F4" s="3552">
        <v>60</v>
      </c>
      <c r="G4" s="3553" t="s">
        <v>3596</v>
      </c>
      <c r="H4" s="3553" t="s">
        <v>3597</v>
      </c>
      <c r="I4" s="3554"/>
      <c r="J4" s="3555">
        <f>375/30</f>
        <v>12.5</v>
      </c>
      <c r="K4" s="3554"/>
      <c r="L4" s="3556">
        <f>F4*375*11</f>
        <v>247500</v>
      </c>
      <c r="M4" s="3554"/>
      <c r="N4" s="3554"/>
      <c r="O4" s="3554" t="s">
        <v>3593</v>
      </c>
    </row>
    <row r="5" spans="1:15" ht="15" customHeight="1">
      <c r="A5" s="3548">
        <v>3</v>
      </c>
      <c r="B5" s="4107" t="s">
        <v>3598</v>
      </c>
      <c r="C5" s="3549" t="s">
        <v>3599</v>
      </c>
      <c r="D5" s="3558" t="s">
        <v>3600</v>
      </c>
      <c r="E5" s="3551"/>
      <c r="F5" s="3552">
        <v>9950.18</v>
      </c>
      <c r="G5" s="3559">
        <v>44682</v>
      </c>
      <c r="H5" s="3559">
        <v>46507</v>
      </c>
      <c r="I5" s="3554"/>
      <c r="J5" s="3555">
        <f>362.32/30</f>
        <v>12.077333333333334</v>
      </c>
      <c r="K5" s="3554"/>
      <c r="L5" s="3556">
        <f>F5*362.32*12</f>
        <v>43261790.611200005</v>
      </c>
      <c r="M5" s="3554"/>
      <c r="N5" s="3554"/>
      <c r="O5" s="3554" t="s">
        <v>3601</v>
      </c>
    </row>
    <row r="6" spans="1:15" s="3575" customFormat="1" ht="15" customHeight="1">
      <c r="A6" s="3568">
        <v>4</v>
      </c>
      <c r="B6" s="4108"/>
      <c r="C6" s="3569" t="s">
        <v>3599</v>
      </c>
      <c r="D6" s="3569" t="s">
        <v>3602</v>
      </c>
      <c r="E6" s="3570"/>
      <c r="F6" s="3570">
        <v>327</v>
      </c>
      <c r="G6" s="3576" t="s">
        <v>3603</v>
      </c>
      <c r="H6" s="3576" t="s">
        <v>3604</v>
      </c>
      <c r="I6" s="3572"/>
      <c r="J6" s="3574">
        <f>357.5/30</f>
        <v>11.916666666666666</v>
      </c>
      <c r="K6" s="3572"/>
      <c r="L6" s="3574">
        <f>F6*357.5*12</f>
        <v>1402830</v>
      </c>
      <c r="M6" s="3572"/>
      <c r="N6" s="3572"/>
      <c r="O6" s="3572"/>
    </row>
    <row r="7" spans="1:15" ht="15" customHeight="1">
      <c r="A7" s="3548">
        <v>5</v>
      </c>
      <c r="B7" s="4107" t="s">
        <v>3605</v>
      </c>
      <c r="C7" s="3558" t="s">
        <v>3606</v>
      </c>
      <c r="D7" s="3558" t="s">
        <v>3607</v>
      </c>
      <c r="E7" s="3554"/>
      <c r="F7" s="3560">
        <v>25</v>
      </c>
      <c r="G7" s="3553" t="s">
        <v>3608</v>
      </c>
      <c r="H7" s="3553" t="s">
        <v>3609</v>
      </c>
      <c r="I7" s="3554"/>
      <c r="J7" s="3555">
        <f>377/30</f>
        <v>12.566666666666666</v>
      </c>
      <c r="K7" s="3554"/>
      <c r="L7" s="3556">
        <f>377*F7*12</f>
        <v>113100</v>
      </c>
      <c r="M7" s="3554"/>
      <c r="N7" s="3554"/>
      <c r="O7" s="3554"/>
    </row>
    <row r="8" spans="1:15" ht="15" customHeight="1">
      <c r="A8" s="3548">
        <v>6</v>
      </c>
      <c r="B8" s="4109"/>
      <c r="C8" s="3558" t="s">
        <v>3610</v>
      </c>
      <c r="D8" s="3558" t="s">
        <v>3611</v>
      </c>
      <c r="E8" s="3554"/>
      <c r="F8" s="3561">
        <v>2508.73</v>
      </c>
      <c r="G8" s="3553" t="s">
        <v>3612</v>
      </c>
      <c r="H8" s="3553" t="s">
        <v>3613</v>
      </c>
      <c r="I8" s="3554"/>
      <c r="J8" s="3555">
        <f>377/30</f>
        <v>12.566666666666666</v>
      </c>
      <c r="K8" s="3554"/>
      <c r="L8" s="3556">
        <f>377*F8*12</f>
        <v>11349494.52</v>
      </c>
      <c r="M8" s="3554"/>
      <c r="N8" s="3554"/>
      <c r="O8" s="3554"/>
    </row>
    <row r="9" spans="1:15" ht="15" customHeight="1">
      <c r="A9" s="3548">
        <v>7</v>
      </c>
      <c r="B9" s="4108"/>
      <c r="C9" s="3558" t="s">
        <v>3614</v>
      </c>
      <c r="D9" s="3558" t="s">
        <v>3615</v>
      </c>
      <c r="E9" s="3554"/>
      <c r="F9" s="3562">
        <v>130.56</v>
      </c>
      <c r="G9" s="3553" t="s">
        <v>3612</v>
      </c>
      <c r="H9" s="3553" t="s">
        <v>3613</v>
      </c>
      <c r="I9" s="3554"/>
      <c r="J9" s="3555">
        <f>377/30</f>
        <v>12.566666666666666</v>
      </c>
      <c r="K9" s="3554"/>
      <c r="L9" s="3556">
        <f>377*F9*12</f>
        <v>590653.44000000006</v>
      </c>
      <c r="M9" s="3554"/>
      <c r="N9" s="3554"/>
      <c r="O9" s="3554"/>
    </row>
    <row r="10" spans="1:15" ht="15" customHeight="1">
      <c r="A10" s="3548">
        <v>8</v>
      </c>
      <c r="B10" s="3548" t="s">
        <v>3616</v>
      </c>
      <c r="C10" s="3558" t="s">
        <v>3617</v>
      </c>
      <c r="D10" s="3558" t="s">
        <v>3618</v>
      </c>
      <c r="E10" s="3554"/>
      <c r="F10" s="3562">
        <v>2897.78</v>
      </c>
      <c r="G10" s="3563">
        <v>44911</v>
      </c>
      <c r="H10" s="3563">
        <v>46736</v>
      </c>
      <c r="I10" s="3554"/>
      <c r="J10" s="3555">
        <f>385/30</f>
        <v>12.833333333333334</v>
      </c>
      <c r="K10" s="3554"/>
      <c r="L10" s="3556">
        <f>385*12*F10</f>
        <v>13387743.600000001</v>
      </c>
      <c r="M10" s="3554"/>
      <c r="N10" s="3554"/>
      <c r="O10" s="3554" t="s">
        <v>3619</v>
      </c>
    </row>
    <row r="11" spans="1:15" ht="15" customHeight="1">
      <c r="A11" s="3548">
        <v>9</v>
      </c>
      <c r="B11" s="3548" t="s">
        <v>3620</v>
      </c>
      <c r="C11" s="3549" t="s">
        <v>3621</v>
      </c>
      <c r="D11" s="3558" t="s">
        <v>3622</v>
      </c>
      <c r="E11" s="3554"/>
      <c r="F11" s="3552">
        <v>2370.67</v>
      </c>
      <c r="G11" s="3553" t="s">
        <v>3623</v>
      </c>
      <c r="H11" s="3553" t="s">
        <v>3624</v>
      </c>
      <c r="I11" s="3554"/>
      <c r="J11" s="3555">
        <f>357/30</f>
        <v>11.9</v>
      </c>
      <c r="K11" s="3554"/>
      <c r="L11" s="3556">
        <f>357*F11*12</f>
        <v>10155950.280000001</v>
      </c>
      <c r="M11" s="3554"/>
      <c r="N11" s="3554"/>
      <c r="O11" s="3564" t="s">
        <v>3625</v>
      </c>
    </row>
    <row r="12" spans="1:15" ht="15" customHeight="1">
      <c r="A12" s="3548">
        <v>10</v>
      </c>
      <c r="B12" s="3548" t="s">
        <v>3626</v>
      </c>
      <c r="C12" s="3550" t="s">
        <v>3627</v>
      </c>
      <c r="D12" s="3550" t="s">
        <v>3628</v>
      </c>
      <c r="F12" s="3552">
        <v>5034.96</v>
      </c>
      <c r="G12" s="3553" t="s">
        <v>3629</v>
      </c>
      <c r="H12" s="3563" t="s">
        <v>3630</v>
      </c>
      <c r="I12" s="3554"/>
      <c r="J12" s="3555">
        <f>382.5/30</f>
        <v>12.75</v>
      </c>
      <c r="K12" s="3554"/>
      <c r="L12" s="3556">
        <f>382.5*F12</f>
        <v>1925872.2</v>
      </c>
      <c r="M12" s="3554"/>
      <c r="N12" s="3554"/>
      <c r="O12" s="3554" t="s">
        <v>3631</v>
      </c>
    </row>
    <row r="13" spans="1:15" ht="15" customHeight="1">
      <c r="A13" s="3548">
        <v>11</v>
      </c>
      <c r="B13" s="3548" t="s">
        <v>3632</v>
      </c>
      <c r="C13" s="3549" t="s">
        <v>3633</v>
      </c>
      <c r="D13" s="3558" t="s">
        <v>3634</v>
      </c>
      <c r="E13" s="3551"/>
      <c r="F13" s="3551">
        <v>2789.55</v>
      </c>
      <c r="G13" s="3553" t="s">
        <v>3635</v>
      </c>
      <c r="H13" s="3563">
        <v>46985</v>
      </c>
      <c r="I13" s="3554"/>
      <c r="J13" s="3555">
        <f>406/30</f>
        <v>13.533333333333333</v>
      </c>
      <c r="K13" s="3554"/>
      <c r="L13" s="3555">
        <f>F13*406*10</f>
        <v>11325573</v>
      </c>
      <c r="M13" s="3554"/>
      <c r="N13" s="3554"/>
      <c r="O13" s="3554" t="s">
        <v>3636</v>
      </c>
    </row>
    <row r="14" spans="1:15" ht="15" customHeight="1">
      <c r="A14" s="3548">
        <v>12</v>
      </c>
      <c r="B14" s="4107" t="s">
        <v>3637</v>
      </c>
      <c r="C14" s="3549" t="s">
        <v>3638</v>
      </c>
      <c r="D14" s="3558" t="s">
        <v>3639</v>
      </c>
      <c r="E14" s="3551"/>
      <c r="F14" s="3551">
        <v>2642.74</v>
      </c>
      <c r="G14" s="3553" t="s">
        <v>3635</v>
      </c>
      <c r="H14" s="3563">
        <v>46985</v>
      </c>
      <c r="I14" s="3554"/>
      <c r="J14" s="3555">
        <f>406/30</f>
        <v>13.533333333333333</v>
      </c>
      <c r="K14" s="3554"/>
      <c r="L14" s="3555">
        <f>F14*406*10</f>
        <v>10729524.399999999</v>
      </c>
      <c r="M14" s="3554"/>
      <c r="N14" s="3554"/>
      <c r="O14" s="3554"/>
    </row>
    <row r="15" spans="1:15" ht="15" customHeight="1">
      <c r="A15" s="3548">
        <v>13</v>
      </c>
      <c r="B15" s="4108"/>
      <c r="C15" s="3549" t="s">
        <v>3638</v>
      </c>
      <c r="D15" s="3558" t="s">
        <v>3640</v>
      </c>
      <c r="E15" s="3551"/>
      <c r="F15" s="3551">
        <v>2642.74</v>
      </c>
      <c r="G15" s="3553" t="s">
        <v>3635</v>
      </c>
      <c r="H15" s="3563">
        <v>46985</v>
      </c>
      <c r="I15" s="3554"/>
      <c r="J15" s="3555">
        <f>406/30</f>
        <v>13.533333333333333</v>
      </c>
      <c r="K15" s="3554"/>
      <c r="L15" s="3555">
        <f>F15*406*10</f>
        <v>10729524.399999999</v>
      </c>
      <c r="M15" s="3554"/>
      <c r="N15" s="3554"/>
      <c r="O15" s="3554"/>
    </row>
    <row r="16" spans="1:15" ht="15" customHeight="1">
      <c r="A16" s="3548">
        <v>14</v>
      </c>
      <c r="B16" s="4107" t="s">
        <v>3641</v>
      </c>
      <c r="C16" s="3558" t="s">
        <v>3642</v>
      </c>
      <c r="D16" s="3558" t="s">
        <v>3643</v>
      </c>
      <c r="E16" s="3554"/>
      <c r="F16" s="3552">
        <v>2664.29</v>
      </c>
      <c r="G16" s="3553" t="s">
        <v>3644</v>
      </c>
      <c r="H16" s="3563" t="s">
        <v>3645</v>
      </c>
      <c r="I16" s="3554"/>
      <c r="J16" s="3555">
        <f>366/30</f>
        <v>12.2</v>
      </c>
      <c r="K16" s="3554"/>
      <c r="L16" s="3556">
        <f>366*12*F16</f>
        <v>11701561.68</v>
      </c>
      <c r="M16" s="3554"/>
      <c r="N16" s="3554"/>
      <c r="O16" s="3565"/>
    </row>
    <row r="17" spans="1:76" ht="15" customHeight="1">
      <c r="A17" s="3548">
        <v>15</v>
      </c>
      <c r="B17" s="4109"/>
      <c r="C17" s="3558" t="s">
        <v>3646</v>
      </c>
      <c r="D17" s="3558" t="s">
        <v>3647</v>
      </c>
      <c r="E17" s="3551"/>
      <c r="F17" s="3551">
        <v>659.3</v>
      </c>
      <c r="G17" s="3553" t="s">
        <v>3648</v>
      </c>
      <c r="H17" s="3553" t="s">
        <v>3649</v>
      </c>
      <c r="I17" s="3554"/>
      <c r="J17" s="3555">
        <f>366/30</f>
        <v>12.2</v>
      </c>
      <c r="K17" s="3554"/>
      <c r="L17" s="3555">
        <f>F17*366*11.5</f>
        <v>2774993.6999999997</v>
      </c>
      <c r="M17" s="3554"/>
      <c r="N17" s="3554"/>
      <c r="O17" s="3565" t="s">
        <v>3650</v>
      </c>
    </row>
    <row r="18" spans="1:76" ht="15" customHeight="1">
      <c r="A18" s="3548">
        <v>16</v>
      </c>
      <c r="B18" s="4109"/>
      <c r="C18" s="3558" t="s">
        <v>3651</v>
      </c>
      <c r="D18" s="3558" t="s">
        <v>3652</v>
      </c>
      <c r="E18" s="3551"/>
      <c r="F18" s="3551">
        <v>470.5</v>
      </c>
      <c r="G18" s="3553" t="s">
        <v>3648</v>
      </c>
      <c r="H18" s="3553" t="s">
        <v>3653</v>
      </c>
      <c r="I18" s="3554"/>
      <c r="J18" s="3555">
        <f>366/30</f>
        <v>12.2</v>
      </c>
      <c r="K18" s="3554"/>
      <c r="L18" s="3555">
        <f>F18*366*11.5</f>
        <v>1980334.5</v>
      </c>
      <c r="M18" s="3554"/>
      <c r="N18" s="3554"/>
      <c r="O18" s="3565" t="s">
        <v>3654</v>
      </c>
    </row>
    <row r="19" spans="1:76" ht="15" customHeight="1">
      <c r="A19" s="3548">
        <v>17</v>
      </c>
      <c r="B19" s="4109"/>
      <c r="C19" s="3558" t="s">
        <v>3655</v>
      </c>
      <c r="D19" s="3558" t="s">
        <v>3656</v>
      </c>
      <c r="E19" s="3551"/>
      <c r="F19" s="3551">
        <v>463.77</v>
      </c>
      <c r="G19" s="3553" t="s">
        <v>3657</v>
      </c>
      <c r="H19" s="3553" t="s">
        <v>3658</v>
      </c>
      <c r="I19" s="3554"/>
      <c r="J19" s="3555">
        <f>366/30</f>
        <v>12.2</v>
      </c>
      <c r="K19" s="3554"/>
      <c r="L19" s="3555">
        <f>F19*366*11.5</f>
        <v>1952007.9300000002</v>
      </c>
      <c r="M19" s="3554"/>
      <c r="N19" s="3554"/>
      <c r="O19" s="3565" t="s">
        <v>3659</v>
      </c>
    </row>
    <row r="20" spans="1:76" ht="15" customHeight="1">
      <c r="A20" s="3548">
        <v>18</v>
      </c>
      <c r="B20" s="4109"/>
      <c r="C20" s="3558" t="s">
        <v>3660</v>
      </c>
      <c r="D20" s="3558" t="s">
        <v>3661</v>
      </c>
      <c r="F20" s="3552">
        <v>1049.17</v>
      </c>
      <c r="G20" s="3563">
        <v>45017</v>
      </c>
      <c r="H20" s="3563">
        <v>45657</v>
      </c>
      <c r="I20" s="3554"/>
      <c r="J20" s="3555">
        <f>366/30</f>
        <v>12.2</v>
      </c>
      <c r="K20" s="3554"/>
      <c r="L20" s="3556">
        <f>F20*366*12</f>
        <v>4607954.6400000006</v>
      </c>
      <c r="M20" s="3554"/>
      <c r="N20" s="3554"/>
      <c r="O20" s="3554"/>
    </row>
    <row r="21" spans="1:76" ht="15" customHeight="1">
      <c r="A21" s="3548">
        <v>19</v>
      </c>
      <c r="B21" s="4109"/>
      <c r="C21" s="3558" t="s">
        <v>3662</v>
      </c>
      <c r="D21" s="3558" t="s">
        <v>3663</v>
      </c>
      <c r="E21" s="3554"/>
      <c r="F21" s="3552">
        <v>2898.26</v>
      </c>
      <c r="G21" s="3563">
        <v>44835</v>
      </c>
      <c r="H21" s="3563">
        <v>45930</v>
      </c>
      <c r="I21" s="3554"/>
      <c r="J21" s="3555">
        <f>368/30</f>
        <v>12.266666666666667</v>
      </c>
      <c r="K21" s="3554"/>
      <c r="L21" s="3555">
        <f>368*F21*12</f>
        <v>12798716.160000002</v>
      </c>
      <c r="M21" s="3554"/>
      <c r="N21" s="3554"/>
      <c r="O21" s="3554"/>
    </row>
    <row r="22" spans="1:76" ht="15" customHeight="1">
      <c r="A22" s="3548">
        <v>20</v>
      </c>
      <c r="B22" s="4109"/>
      <c r="C22" s="3558" t="s">
        <v>3664</v>
      </c>
      <c r="D22" s="3558" t="s">
        <v>3665</v>
      </c>
      <c r="E22" s="3554"/>
      <c r="F22" s="3552">
        <v>2898.26</v>
      </c>
      <c r="G22" s="3553" t="s">
        <v>3657</v>
      </c>
      <c r="H22" s="3553" t="s">
        <v>3658</v>
      </c>
      <c r="I22" s="3554"/>
      <c r="J22" s="3555">
        <f>368/30</f>
        <v>12.266666666666667</v>
      </c>
      <c r="K22" s="3554"/>
      <c r="L22" s="3556">
        <f>F22*368*12</f>
        <v>12798716.160000002</v>
      </c>
      <c r="M22" s="3554"/>
      <c r="N22" s="3554"/>
      <c r="O22" s="3554"/>
    </row>
    <row r="23" spans="1:76" ht="15" customHeight="1">
      <c r="A23" s="3548">
        <v>21</v>
      </c>
      <c r="B23" s="4109"/>
      <c r="C23" s="3554" t="s">
        <v>3666</v>
      </c>
      <c r="D23" s="3558" t="s">
        <v>3667</v>
      </c>
      <c r="E23" s="3554"/>
      <c r="F23" s="3552">
        <v>32508.240000000002</v>
      </c>
      <c r="G23" s="3563">
        <v>44652</v>
      </c>
      <c r="H23" s="3563">
        <v>45747</v>
      </c>
      <c r="I23" s="3554"/>
      <c r="J23" s="3555">
        <f>312/30</f>
        <v>10.4</v>
      </c>
      <c r="K23" s="3554"/>
      <c r="L23" s="3556">
        <f>312*F23*12</f>
        <v>121710850.56</v>
      </c>
      <c r="M23" s="3554"/>
      <c r="N23" s="3555">
        <v>33</v>
      </c>
      <c r="O23" s="3554"/>
    </row>
    <row r="24" spans="1:76" ht="15" customHeight="1">
      <c r="A24" s="3548">
        <v>22</v>
      </c>
      <c r="B24" s="4108"/>
      <c r="C24" s="3554" t="s">
        <v>3666</v>
      </c>
      <c r="D24" s="3558" t="s">
        <v>3668</v>
      </c>
      <c r="E24" s="3566"/>
      <c r="F24" s="3552">
        <v>3297.3</v>
      </c>
      <c r="G24" s="3563">
        <v>44197</v>
      </c>
      <c r="H24" s="3563">
        <v>45291</v>
      </c>
      <c r="I24" s="3554"/>
      <c r="J24" s="3567">
        <f>475/30</f>
        <v>15.833333333333334</v>
      </c>
      <c r="K24" s="3554"/>
      <c r="L24" s="3556">
        <f>475*12*F24</f>
        <v>18794610</v>
      </c>
      <c r="M24" s="3554"/>
      <c r="N24" s="3555">
        <v>50</v>
      </c>
      <c r="O24" s="3554"/>
    </row>
    <row r="25" spans="1:76" ht="15" customHeight="1">
      <c r="A25" s="3548">
        <v>23</v>
      </c>
      <c r="B25" s="4107" t="s">
        <v>3669</v>
      </c>
      <c r="C25" s="3558" t="s">
        <v>3670</v>
      </c>
      <c r="D25" s="3558" t="s">
        <v>3671</v>
      </c>
      <c r="E25" s="3551"/>
      <c r="F25" s="3551">
        <v>689</v>
      </c>
      <c r="G25" s="3553" t="s">
        <v>3672</v>
      </c>
      <c r="H25" s="3553" t="s">
        <v>3673</v>
      </c>
      <c r="I25" s="3554"/>
      <c r="J25" s="3552">
        <f>257.25/30</f>
        <v>8.5749999999999993</v>
      </c>
      <c r="K25" s="3554"/>
      <c r="L25" s="3555">
        <f>F25*257.25*12</f>
        <v>2126943</v>
      </c>
      <c r="M25" s="3554"/>
      <c r="N25" s="3554"/>
      <c r="O25" s="3554"/>
    </row>
    <row r="26" spans="1:76" s="3575" customFormat="1" ht="15" customHeight="1">
      <c r="A26" s="3568">
        <v>24</v>
      </c>
      <c r="B26" s="4108"/>
      <c r="C26" s="3569" t="s">
        <v>3670</v>
      </c>
      <c r="D26" s="3569" t="s">
        <v>3671</v>
      </c>
      <c r="E26" s="3570"/>
      <c r="F26" s="3570">
        <v>188</v>
      </c>
      <c r="G26" s="3571" t="s">
        <v>3603</v>
      </c>
      <c r="H26" s="3571" t="s">
        <v>3604</v>
      </c>
      <c r="I26" s="3572"/>
      <c r="J26" s="3573">
        <f>393.75/30</f>
        <v>13.125</v>
      </c>
      <c r="K26" s="3572"/>
      <c r="L26" s="3574">
        <f>F26*257.25*12</f>
        <v>580356</v>
      </c>
      <c r="M26" s="3572"/>
      <c r="N26" s="3572"/>
      <c r="O26" s="3572"/>
    </row>
    <row r="27" spans="1:76" ht="15" customHeight="1">
      <c r="A27" s="3548">
        <v>25</v>
      </c>
      <c r="B27" s="3548" t="s">
        <v>3674</v>
      </c>
      <c r="C27" s="3554" t="s">
        <v>3675</v>
      </c>
      <c r="D27" s="3558" t="s">
        <v>3676</v>
      </c>
      <c r="E27" s="3554"/>
      <c r="F27" s="3552">
        <v>1146.78</v>
      </c>
      <c r="G27" s="3563">
        <v>45170</v>
      </c>
      <c r="H27" s="3563">
        <v>47361</v>
      </c>
      <c r="I27" s="3554"/>
      <c r="J27" s="3555">
        <f>360/30</f>
        <v>12</v>
      </c>
      <c r="K27" s="3554"/>
      <c r="L27" s="3556">
        <f>360*F27*11</f>
        <v>4541248.8</v>
      </c>
      <c r="M27" s="3554"/>
      <c r="N27" s="3554"/>
      <c r="O27" s="3554" t="s">
        <v>3677</v>
      </c>
    </row>
    <row r="28" spans="1:76" ht="15" customHeight="1">
      <c r="A28" s="3554"/>
      <c r="B28" s="3554"/>
      <c r="C28" s="3554"/>
      <c r="D28" s="3554"/>
      <c r="E28" s="3554"/>
      <c r="F28" s="3554"/>
      <c r="G28" s="3559"/>
      <c r="H28" s="3559"/>
      <c r="I28" s="3554"/>
      <c r="J28" s="3554"/>
      <c r="K28" s="3554"/>
      <c r="L28" s="3554"/>
      <c r="M28" s="3554"/>
      <c r="N28" s="3554"/>
      <c r="O28" s="3554"/>
    </row>
    <row r="30" spans="1:76" ht="12.75" thickBot="1"/>
    <row r="31" spans="1:76" s="3607" customFormat="1" ht="10.5">
      <c r="A31" s="4101" t="s">
        <v>3706</v>
      </c>
      <c r="B31" s="4103" t="s">
        <v>3707</v>
      </c>
      <c r="C31" s="4105" t="s">
        <v>3708</v>
      </c>
      <c r="D31" s="4105"/>
      <c r="E31" s="4105" t="s">
        <v>3709</v>
      </c>
      <c r="F31" s="4105" t="s">
        <v>3710</v>
      </c>
      <c r="G31" s="4094" t="s">
        <v>3711</v>
      </c>
      <c r="H31" s="4094" t="s">
        <v>3712</v>
      </c>
      <c r="I31" s="4096" t="s">
        <v>3713</v>
      </c>
      <c r="J31" s="4098" t="s">
        <v>3714</v>
      </c>
      <c r="K31" s="4100" t="s">
        <v>3715</v>
      </c>
      <c r="L31" s="4088"/>
      <c r="M31" s="4088" t="s">
        <v>3716</v>
      </c>
      <c r="N31" s="4088"/>
      <c r="O31" s="4088" t="s">
        <v>3717</v>
      </c>
      <c r="P31" s="4088"/>
      <c r="Q31" s="4088" t="s">
        <v>3718</v>
      </c>
      <c r="R31" s="4088"/>
      <c r="S31" s="4088"/>
      <c r="T31" s="4088"/>
      <c r="U31" s="4088" t="s">
        <v>3719</v>
      </c>
      <c r="V31" s="4088"/>
      <c r="W31" s="4088"/>
      <c r="X31" s="4088"/>
      <c r="Y31" s="4088"/>
      <c r="Z31" s="4088" t="s">
        <v>3720</v>
      </c>
      <c r="AA31" s="4088"/>
      <c r="AB31" s="4088" t="s">
        <v>3721</v>
      </c>
      <c r="AC31" s="4088"/>
      <c r="AD31" s="4088" t="s">
        <v>3722</v>
      </c>
      <c r="AE31" s="4088"/>
      <c r="AF31" s="4088" t="s">
        <v>3723</v>
      </c>
      <c r="AG31" s="4088"/>
      <c r="AH31" s="4088" t="s">
        <v>3724</v>
      </c>
      <c r="AI31" s="4088"/>
      <c r="AJ31" s="4089" t="s">
        <v>3725</v>
      </c>
      <c r="AK31" s="4091" t="s">
        <v>3726</v>
      </c>
      <c r="AL31" s="4080"/>
      <c r="AM31" s="4080" t="s">
        <v>3727</v>
      </c>
      <c r="AN31" s="4080"/>
      <c r="AO31" s="4080" t="s">
        <v>3728</v>
      </c>
      <c r="AP31" s="4080"/>
      <c r="AQ31" s="4080" t="s">
        <v>3729</v>
      </c>
      <c r="AR31" s="4080"/>
      <c r="AS31" s="4080"/>
      <c r="AT31" s="4080"/>
      <c r="AU31" s="4080"/>
      <c r="AV31" s="4092" t="s">
        <v>3730</v>
      </c>
      <c r="AW31" s="4092" t="s">
        <v>3731</v>
      </c>
      <c r="AX31" s="4080" t="s">
        <v>3732</v>
      </c>
      <c r="AY31" s="4080"/>
      <c r="AZ31" s="4080"/>
      <c r="BA31" s="4080"/>
      <c r="BB31" s="4080"/>
      <c r="BC31" s="3606" t="s">
        <v>3733</v>
      </c>
      <c r="BD31" s="4080" t="s">
        <v>3734</v>
      </c>
      <c r="BE31" s="4080"/>
      <c r="BF31" s="4080"/>
      <c r="BG31" s="4080" t="s">
        <v>3735</v>
      </c>
      <c r="BH31" s="4080" t="s">
        <v>3736</v>
      </c>
      <c r="BI31" s="4080"/>
      <c r="BJ31" s="4080" t="s">
        <v>3737</v>
      </c>
      <c r="BK31" s="4080" t="s">
        <v>3738</v>
      </c>
      <c r="BL31" s="4080"/>
      <c r="BM31" s="4080" t="s">
        <v>3739</v>
      </c>
      <c r="BN31" s="4082"/>
      <c r="BO31" s="4083" t="s">
        <v>3740</v>
      </c>
      <c r="BP31" s="4084"/>
      <c r="BQ31" s="4084"/>
      <c r="BR31" s="4084"/>
      <c r="BS31" s="4085"/>
      <c r="BT31" s="4086" t="s">
        <v>3741</v>
      </c>
      <c r="BU31" s="4078" t="s">
        <v>3742</v>
      </c>
      <c r="BV31" s="4078" t="s">
        <v>3743</v>
      </c>
      <c r="BW31" s="4078" t="s">
        <v>3744</v>
      </c>
      <c r="BX31" s="4078" t="s">
        <v>3745</v>
      </c>
    </row>
    <row r="32" spans="1:76" s="3607" customFormat="1" ht="32.25" thickBot="1">
      <c r="A32" s="4102"/>
      <c r="B32" s="4104"/>
      <c r="C32" s="3608" t="s">
        <v>3746</v>
      </c>
      <c r="D32" s="3609" t="s">
        <v>3747</v>
      </c>
      <c r="E32" s="4106"/>
      <c r="F32" s="4106"/>
      <c r="G32" s="4095"/>
      <c r="H32" s="4095"/>
      <c r="I32" s="4097"/>
      <c r="J32" s="4099"/>
      <c r="K32" s="3610" t="s">
        <v>3748</v>
      </c>
      <c r="L32" s="3611" t="s">
        <v>3749</v>
      </c>
      <c r="M32" s="3612" t="s">
        <v>3750</v>
      </c>
      <c r="N32" s="3612" t="s">
        <v>3751</v>
      </c>
      <c r="O32" s="3611" t="s">
        <v>3752</v>
      </c>
      <c r="P32" s="3611" t="s">
        <v>3753</v>
      </c>
      <c r="Q32" s="3612" t="s">
        <v>3754</v>
      </c>
      <c r="R32" s="3612" t="s">
        <v>3755</v>
      </c>
      <c r="S32" s="3611" t="s">
        <v>3756</v>
      </c>
      <c r="T32" s="3611" t="s">
        <v>3757</v>
      </c>
      <c r="U32" s="3611" t="s">
        <v>3758</v>
      </c>
      <c r="V32" s="3611" t="s">
        <v>3759</v>
      </c>
      <c r="W32" s="3611" t="s">
        <v>3760</v>
      </c>
      <c r="X32" s="3611" t="s">
        <v>3761</v>
      </c>
      <c r="Y32" s="3611" t="s">
        <v>3762</v>
      </c>
      <c r="Z32" s="3611" t="s">
        <v>3763</v>
      </c>
      <c r="AA32" s="3611" t="s">
        <v>3764</v>
      </c>
      <c r="AB32" s="3612" t="s">
        <v>3765</v>
      </c>
      <c r="AC32" s="3611" t="s">
        <v>3766</v>
      </c>
      <c r="AD32" s="3612" t="s">
        <v>3767</v>
      </c>
      <c r="AE32" s="3612" t="s">
        <v>3768</v>
      </c>
      <c r="AF32" s="3612" t="s">
        <v>3765</v>
      </c>
      <c r="AG32" s="3612" t="s">
        <v>3766</v>
      </c>
      <c r="AH32" s="3612" t="s">
        <v>3769</v>
      </c>
      <c r="AI32" s="3612" t="s">
        <v>3770</v>
      </c>
      <c r="AJ32" s="4090"/>
      <c r="AK32" s="3613" t="s">
        <v>3771</v>
      </c>
      <c r="AL32" s="3614" t="s">
        <v>3772</v>
      </c>
      <c r="AM32" s="3614" t="s">
        <v>3773</v>
      </c>
      <c r="AN32" s="3614" t="s">
        <v>3774</v>
      </c>
      <c r="AO32" s="3614" t="s">
        <v>3775</v>
      </c>
      <c r="AP32" s="3615" t="s">
        <v>3766</v>
      </c>
      <c r="AQ32" s="3615" t="s">
        <v>3776</v>
      </c>
      <c r="AR32" s="3614" t="s">
        <v>3777</v>
      </c>
      <c r="AS32" s="3614" t="s">
        <v>3778</v>
      </c>
      <c r="AT32" s="3614" t="s">
        <v>3779</v>
      </c>
      <c r="AU32" s="3615" t="s">
        <v>3780</v>
      </c>
      <c r="AV32" s="4093"/>
      <c r="AW32" s="4093"/>
      <c r="AX32" s="3616" t="s">
        <v>3781</v>
      </c>
      <c r="AY32" s="3616" t="s">
        <v>3782</v>
      </c>
      <c r="AZ32" s="3617" t="s">
        <v>3783</v>
      </c>
      <c r="BA32" s="3617" t="s">
        <v>3784</v>
      </c>
      <c r="BB32" s="3617" t="s">
        <v>3785</v>
      </c>
      <c r="BC32" s="3616"/>
      <c r="BD32" s="3614" t="s">
        <v>3786</v>
      </c>
      <c r="BE32" s="3614" t="s">
        <v>3787</v>
      </c>
      <c r="BF32" s="3614" t="s">
        <v>3788</v>
      </c>
      <c r="BG32" s="4081"/>
      <c r="BH32" s="3614" t="s">
        <v>3789</v>
      </c>
      <c r="BI32" s="3614" t="s">
        <v>3790</v>
      </c>
      <c r="BJ32" s="4081"/>
      <c r="BK32" s="3615" t="s">
        <v>3791</v>
      </c>
      <c r="BL32" s="3614" t="s">
        <v>3792</v>
      </c>
      <c r="BM32" s="3614" t="s">
        <v>3793</v>
      </c>
      <c r="BN32" s="3618" t="s">
        <v>3794</v>
      </c>
      <c r="BO32" s="3619" t="s">
        <v>3795</v>
      </c>
      <c r="BP32" s="3620" t="s">
        <v>3783</v>
      </c>
      <c r="BQ32" s="3619" t="s">
        <v>3796</v>
      </c>
      <c r="BR32" s="3619" t="s">
        <v>3797</v>
      </c>
      <c r="BS32" s="3621" t="s">
        <v>3798</v>
      </c>
      <c r="BT32" s="4087"/>
      <c r="BU32" s="4079"/>
      <c r="BV32" s="4079"/>
      <c r="BW32" s="4079"/>
      <c r="BX32" s="4079"/>
    </row>
    <row r="33" spans="1:77" s="3605" customFormat="1" ht="12.75" thickBot="1">
      <c r="A33" s="3577" t="s">
        <v>3678</v>
      </c>
      <c r="B33" s="3578" t="s">
        <v>3679</v>
      </c>
      <c r="C33" s="3579" t="s">
        <v>3680</v>
      </c>
      <c r="D33" s="3579" t="str">
        <f t="shared" ref="D33" si="0">C33</f>
        <v>北京市朝阳区樱花园东街</v>
      </c>
      <c r="E33" s="3579" t="s">
        <v>3508</v>
      </c>
      <c r="F33" s="3579" t="s">
        <v>3508</v>
      </c>
      <c r="G33" s="3579" t="s">
        <v>3681</v>
      </c>
      <c r="H33" s="3580" t="s">
        <v>3682</v>
      </c>
      <c r="I33" s="3581" t="s">
        <v>3683</v>
      </c>
      <c r="J33" s="3582" t="s">
        <v>3684</v>
      </c>
      <c r="K33" s="3583" t="s">
        <v>3685</v>
      </c>
      <c r="L33" s="3584" t="s">
        <v>673</v>
      </c>
      <c r="M33" s="3585" t="s">
        <v>3686</v>
      </c>
      <c r="N33" s="3584" t="s">
        <v>3687</v>
      </c>
      <c r="O33" s="3584" t="s">
        <v>3688</v>
      </c>
      <c r="P33" s="3584" t="s">
        <v>3687</v>
      </c>
      <c r="Q33" s="3586">
        <v>3</v>
      </c>
      <c r="R33" s="3586">
        <v>0</v>
      </c>
      <c r="S33" s="3587" t="s">
        <v>3689</v>
      </c>
      <c r="T33" s="3584" t="s">
        <v>3690</v>
      </c>
      <c r="U33" s="3584" t="s">
        <v>3691</v>
      </c>
      <c r="V33" s="3586">
        <v>6.5</v>
      </c>
      <c r="W33" s="3586">
        <v>16</v>
      </c>
      <c r="X33" s="3586" t="s">
        <v>3687</v>
      </c>
      <c r="Y33" s="3586" t="s">
        <v>3687</v>
      </c>
      <c r="Z33" s="3586">
        <v>3</v>
      </c>
      <c r="AA33" s="3586" t="s">
        <v>3687</v>
      </c>
      <c r="AB33" s="3586" t="s">
        <v>3687</v>
      </c>
      <c r="AC33" s="3586">
        <v>1998</v>
      </c>
      <c r="AD33" s="3586" t="s">
        <v>3687</v>
      </c>
      <c r="AE33" s="3586" t="s">
        <v>3687</v>
      </c>
      <c r="AF33" s="3588">
        <v>54325</v>
      </c>
      <c r="AG33" s="3586" t="s">
        <v>3687</v>
      </c>
      <c r="AH33" s="3586" t="s">
        <v>3687</v>
      </c>
      <c r="AI33" s="3586" t="s">
        <v>3687</v>
      </c>
      <c r="AJ33" s="3586" t="s">
        <v>3687</v>
      </c>
      <c r="AK33" s="3589" t="s">
        <v>3692</v>
      </c>
      <c r="AL33" s="3589" t="s">
        <v>3693</v>
      </c>
      <c r="AM33" s="3584" t="s">
        <v>3694</v>
      </c>
      <c r="AN33" s="3584" t="s">
        <v>3695</v>
      </c>
      <c r="AO33" s="3586" t="s">
        <v>3695</v>
      </c>
      <c r="AP33" s="3586" t="s">
        <v>3695</v>
      </c>
      <c r="AQ33" s="3589">
        <v>102.86</v>
      </c>
      <c r="AR33" s="3590" t="s">
        <v>3687</v>
      </c>
      <c r="AS33" s="3590">
        <f>AQ33</f>
        <v>102.86</v>
      </c>
      <c r="AT33" s="3591" t="e">
        <f t="shared" ref="AT33:AT43" si="1">IF(OR(AQ33=0,AR33=0,AS33=0),"/",AR33/AS33)</f>
        <v>#VALUE!</v>
      </c>
      <c r="AU33" s="3590" t="s">
        <v>3697</v>
      </c>
      <c r="AV33" s="3584" t="s">
        <v>3698</v>
      </c>
      <c r="AW33" s="3592" t="s">
        <v>3699</v>
      </c>
      <c r="AX33" s="3589">
        <f>ROUND(60*10000/365/AQ33,1)</f>
        <v>16</v>
      </c>
      <c r="AY33" s="3593">
        <f t="shared" ref="AY33:AY43" si="2">ROUND((AX33-BA33/30-BB33)/(1+AZ33),2)</f>
        <v>15.24</v>
      </c>
      <c r="AZ33" s="3594">
        <v>0.05</v>
      </c>
      <c r="BA33" s="3589">
        <v>0</v>
      </c>
      <c r="BB33" s="3589">
        <v>0</v>
      </c>
      <c r="BC33" s="3590" t="s">
        <v>3696</v>
      </c>
      <c r="BD33" s="3595">
        <v>44071</v>
      </c>
      <c r="BE33" s="3595">
        <v>45946</v>
      </c>
      <c r="BF33" s="3589">
        <v>5</v>
      </c>
      <c r="BG33" s="3590" t="s">
        <v>3696</v>
      </c>
      <c r="BH33" s="3589" t="s">
        <v>3700</v>
      </c>
      <c r="BI33" s="3596">
        <v>1.6E-2</v>
      </c>
      <c r="BJ33" s="3590" t="s">
        <v>3696</v>
      </c>
      <c r="BK33" s="3584" t="s">
        <v>3701</v>
      </c>
      <c r="BL33" s="3595">
        <v>44066</v>
      </c>
      <c r="BM33" s="3584" t="s">
        <v>3553</v>
      </c>
      <c r="BN33" s="3590" t="s">
        <v>3696</v>
      </c>
      <c r="BO33" s="3597" t="s">
        <v>3702</v>
      </c>
      <c r="BP33" s="3598" t="s">
        <v>3702</v>
      </c>
      <c r="BQ33" s="3599" t="s">
        <v>3702</v>
      </c>
      <c r="BR33" s="3599" t="s">
        <v>3702</v>
      </c>
      <c r="BS33" s="3599" t="s">
        <v>3702</v>
      </c>
      <c r="BT33" s="3600" t="s">
        <v>3703</v>
      </c>
      <c r="BU33" s="3601" t="s">
        <v>3704</v>
      </c>
      <c r="BV33" s="3602">
        <v>45139</v>
      </c>
      <c r="BW33" s="3603" t="s">
        <v>3705</v>
      </c>
      <c r="BX33" s="3604">
        <v>45139</v>
      </c>
    </row>
    <row r="34" spans="1:77" s="3605" customFormat="1" ht="12.75" thickBot="1">
      <c r="A34" s="3577" t="s">
        <v>3799</v>
      </c>
      <c r="B34" s="3578" t="s">
        <v>3800</v>
      </c>
      <c r="C34" s="3579" t="s">
        <v>3801</v>
      </c>
      <c r="D34" s="3579" t="s">
        <v>3802</v>
      </c>
      <c r="E34" s="3579" t="s">
        <v>3803</v>
      </c>
      <c r="F34" s="3579" t="s">
        <v>3803</v>
      </c>
      <c r="G34" s="3579" t="s">
        <v>3804</v>
      </c>
      <c r="H34" s="3580" t="s">
        <v>3805</v>
      </c>
      <c r="I34" s="3581" t="s">
        <v>3806</v>
      </c>
      <c r="J34" s="3582" t="s">
        <v>3684</v>
      </c>
      <c r="K34" s="3583" t="s">
        <v>3807</v>
      </c>
      <c r="L34" s="3584" t="s">
        <v>673</v>
      </c>
      <c r="M34" s="3585" t="s">
        <v>3808</v>
      </c>
      <c r="N34" s="3584" t="s">
        <v>3686</v>
      </c>
      <c r="O34" s="3584" t="s">
        <v>3809</v>
      </c>
      <c r="P34" s="3584"/>
      <c r="Q34" s="3586">
        <v>17</v>
      </c>
      <c r="R34" s="3586">
        <v>3</v>
      </c>
      <c r="S34" s="3622">
        <v>1</v>
      </c>
      <c r="T34" s="3584" t="s">
        <v>3690</v>
      </c>
      <c r="U34" s="3584" t="s">
        <v>3691</v>
      </c>
      <c r="V34" s="3586" t="s">
        <v>3802</v>
      </c>
      <c r="W34" s="3586" t="s">
        <v>3802</v>
      </c>
      <c r="X34" s="3586" t="s">
        <v>3802</v>
      </c>
      <c r="Y34" s="3586" t="s">
        <v>3802</v>
      </c>
      <c r="Z34" s="3586" t="s">
        <v>3802</v>
      </c>
      <c r="AA34" s="3586" t="s">
        <v>3802</v>
      </c>
      <c r="AB34" s="3586">
        <v>2005</v>
      </c>
      <c r="AC34" s="3586" t="s">
        <v>3802</v>
      </c>
      <c r="AD34" s="3586" t="s">
        <v>3802</v>
      </c>
      <c r="AE34" s="3586" t="s">
        <v>3802</v>
      </c>
      <c r="AF34" s="3588">
        <v>56047</v>
      </c>
      <c r="AG34" s="3586" t="s">
        <v>3802</v>
      </c>
      <c r="AH34" s="3586" t="s">
        <v>3802</v>
      </c>
      <c r="AI34" s="3586" t="s">
        <v>3802</v>
      </c>
      <c r="AJ34" s="3623" t="s">
        <v>3802</v>
      </c>
      <c r="AK34" s="3589" t="s">
        <v>3810</v>
      </c>
      <c r="AL34" s="3589" t="s">
        <v>3802</v>
      </c>
      <c r="AM34" s="3584" t="s">
        <v>3811</v>
      </c>
      <c r="AN34" s="3584"/>
      <c r="AO34" s="3589" t="s">
        <v>3802</v>
      </c>
      <c r="AP34" s="3589" t="s">
        <v>3802</v>
      </c>
      <c r="AQ34" s="3589">
        <v>574.37</v>
      </c>
      <c r="AR34" s="3590" t="s">
        <v>3802</v>
      </c>
      <c r="AS34" s="3589" t="s">
        <v>3802</v>
      </c>
      <c r="AT34" s="3591" t="e">
        <f t="shared" si="1"/>
        <v>#VALUE!</v>
      </c>
      <c r="AU34" s="3624" t="s">
        <v>3802</v>
      </c>
      <c r="AV34" s="3584" t="s">
        <v>3812</v>
      </c>
      <c r="AW34" s="3592" t="s">
        <v>3564</v>
      </c>
      <c r="AX34" s="3589">
        <v>10.34</v>
      </c>
      <c r="AY34" s="3593">
        <f t="shared" si="2"/>
        <v>9.85</v>
      </c>
      <c r="AZ34" s="3594">
        <v>0.05</v>
      </c>
      <c r="BA34" s="3589">
        <v>0</v>
      </c>
      <c r="BB34" s="3589">
        <v>0</v>
      </c>
      <c r="BC34" s="3590" t="s">
        <v>3802</v>
      </c>
      <c r="BD34" s="3595">
        <v>43831</v>
      </c>
      <c r="BE34" s="3595">
        <v>45291</v>
      </c>
      <c r="BF34" s="3589">
        <v>4</v>
      </c>
      <c r="BG34" s="3589" t="s">
        <v>3802</v>
      </c>
      <c r="BH34" s="3589" t="s">
        <v>3813</v>
      </c>
      <c r="BI34" s="3596">
        <v>3.2000000000000001E-2</v>
      </c>
      <c r="BJ34" s="3589" t="s">
        <v>3802</v>
      </c>
      <c r="BK34" s="3584" t="s">
        <v>3701</v>
      </c>
      <c r="BL34" s="3595">
        <v>43810</v>
      </c>
      <c r="BM34" s="3584" t="s">
        <v>3553</v>
      </c>
      <c r="BN34" s="3625" t="s">
        <v>3802</v>
      </c>
      <c r="BO34" s="3597">
        <v>11.9</v>
      </c>
      <c r="BP34" s="3598">
        <v>0.05</v>
      </c>
      <c r="BQ34" s="3599">
        <v>0</v>
      </c>
      <c r="BR34" s="3599">
        <v>0</v>
      </c>
      <c r="BS34" s="3626" t="s">
        <v>3802</v>
      </c>
      <c r="BT34" s="3601" t="s">
        <v>3802</v>
      </c>
      <c r="BU34" s="3601"/>
      <c r="BV34" s="3602"/>
      <c r="BW34" s="3600"/>
      <c r="BX34" s="3627"/>
    </row>
    <row r="35" spans="1:77" s="3605" customFormat="1" ht="12.75" thickBot="1">
      <c r="A35" s="3577" t="s">
        <v>3814</v>
      </c>
      <c r="B35" s="3578" t="s">
        <v>3815</v>
      </c>
      <c r="C35" s="3579" t="s">
        <v>3802</v>
      </c>
      <c r="D35" s="3579" t="s">
        <v>3816</v>
      </c>
      <c r="E35" s="3579" t="s">
        <v>3803</v>
      </c>
      <c r="F35" s="3579" t="s">
        <v>3803</v>
      </c>
      <c r="G35" s="3579" t="s">
        <v>3804</v>
      </c>
      <c r="H35" s="3580" t="s">
        <v>3817</v>
      </c>
      <c r="I35" s="3581" t="s">
        <v>3806</v>
      </c>
      <c r="J35" s="3582" t="s">
        <v>3818</v>
      </c>
      <c r="K35" s="3583" t="s">
        <v>3802</v>
      </c>
      <c r="L35" s="3584" t="s">
        <v>673</v>
      </c>
      <c r="M35" s="3585" t="s">
        <v>3808</v>
      </c>
      <c r="N35" s="3584" t="s">
        <v>3686</v>
      </c>
      <c r="O35" s="3584" t="s">
        <v>3819</v>
      </c>
      <c r="P35" s="3584"/>
      <c r="Q35" s="3586" t="s">
        <v>3802</v>
      </c>
      <c r="R35" s="3586" t="s">
        <v>3802</v>
      </c>
      <c r="S35" s="3622" t="s">
        <v>3820</v>
      </c>
      <c r="T35" s="3584" t="s">
        <v>3690</v>
      </c>
      <c r="U35" s="3584" t="s">
        <v>3691</v>
      </c>
      <c r="V35" s="3586" t="s">
        <v>3802</v>
      </c>
      <c r="W35" s="3586" t="s">
        <v>3802</v>
      </c>
      <c r="X35" s="3586" t="s">
        <v>3802</v>
      </c>
      <c r="Y35" s="3586" t="s">
        <v>3802</v>
      </c>
      <c r="Z35" s="3586" t="s">
        <v>3802</v>
      </c>
      <c r="AA35" s="3586" t="s">
        <v>3802</v>
      </c>
      <c r="AB35" s="3586">
        <v>2006</v>
      </c>
      <c r="AC35" s="3586" t="s">
        <v>3802</v>
      </c>
      <c r="AD35" s="3586" t="s">
        <v>3802</v>
      </c>
      <c r="AE35" s="3586" t="s">
        <v>3802</v>
      </c>
      <c r="AF35" s="3588" t="s">
        <v>3802</v>
      </c>
      <c r="AG35" s="3586" t="s">
        <v>3802</v>
      </c>
      <c r="AH35" s="3586" t="s">
        <v>3802</v>
      </c>
      <c r="AI35" s="3586" t="s">
        <v>3802</v>
      </c>
      <c r="AJ35" s="3623" t="s">
        <v>3802</v>
      </c>
      <c r="AK35" s="3589" t="s">
        <v>3802</v>
      </c>
      <c r="AL35" s="3589" t="s">
        <v>3802</v>
      </c>
      <c r="AM35" s="3584"/>
      <c r="AN35" s="3584"/>
      <c r="AO35" s="3589" t="s">
        <v>3802</v>
      </c>
      <c r="AP35" s="3589" t="s">
        <v>3802</v>
      </c>
      <c r="AQ35" s="3589">
        <v>180</v>
      </c>
      <c r="AR35" s="3590" t="s">
        <v>3802</v>
      </c>
      <c r="AS35" s="3589">
        <v>180</v>
      </c>
      <c r="AT35" s="3591" t="e">
        <f t="shared" si="1"/>
        <v>#VALUE!</v>
      </c>
      <c r="AU35" s="3624" t="s">
        <v>3802</v>
      </c>
      <c r="AV35" s="3584"/>
      <c r="AW35" s="3592"/>
      <c r="AX35" s="3589">
        <v>13.57</v>
      </c>
      <c r="AY35" s="3593">
        <f t="shared" si="2"/>
        <v>12.92</v>
      </c>
      <c r="AZ35" s="3594">
        <v>0.05</v>
      </c>
      <c r="BA35" s="3589">
        <v>0</v>
      </c>
      <c r="BB35" s="3589">
        <v>0</v>
      </c>
      <c r="BC35" s="3590" t="s">
        <v>3802</v>
      </c>
      <c r="BD35" s="3595" t="s">
        <v>3802</v>
      </c>
      <c r="BE35" s="3595" t="s">
        <v>3802</v>
      </c>
      <c r="BF35" s="3589" t="s">
        <v>3802</v>
      </c>
      <c r="BG35" s="3589" t="s">
        <v>3802</v>
      </c>
      <c r="BH35" s="3589" t="s">
        <v>3802</v>
      </c>
      <c r="BI35" s="3596" t="s">
        <v>3802</v>
      </c>
      <c r="BJ35" s="3589" t="s">
        <v>3802</v>
      </c>
      <c r="BK35" s="3584"/>
      <c r="BL35" s="3595" t="s">
        <v>3802</v>
      </c>
      <c r="BM35" s="3584"/>
      <c r="BN35" s="3625" t="s">
        <v>3802</v>
      </c>
      <c r="BO35" s="3597" t="s">
        <v>3802</v>
      </c>
      <c r="BP35" s="3598"/>
      <c r="BQ35" s="3599" t="s">
        <v>3802</v>
      </c>
      <c r="BR35" s="3599" t="s">
        <v>3802</v>
      </c>
      <c r="BS35" s="3626" t="s">
        <v>3802</v>
      </c>
      <c r="BT35" s="3601" t="s">
        <v>3802</v>
      </c>
      <c r="BU35" s="3601"/>
      <c r="BV35" s="3602"/>
      <c r="BW35" s="3600"/>
      <c r="BX35" s="3627"/>
    </row>
    <row r="36" spans="1:77" s="3629" customFormat="1" ht="14.25" thickBot="1">
      <c r="A36" s="3577" t="s">
        <v>3821</v>
      </c>
      <c r="B36" s="3578" t="s">
        <v>3822</v>
      </c>
      <c r="C36" s="3579" t="s">
        <v>3823</v>
      </c>
      <c r="D36" s="3579" t="s">
        <v>3823</v>
      </c>
      <c r="E36" s="3579" t="s">
        <v>3824</v>
      </c>
      <c r="F36" s="3579" t="s">
        <v>3824</v>
      </c>
      <c r="G36" s="3579" t="s">
        <v>3825</v>
      </c>
      <c r="H36" s="3580" t="s">
        <v>3826</v>
      </c>
      <c r="I36" s="3581" t="s">
        <v>3806</v>
      </c>
      <c r="J36" s="3582" t="s">
        <v>3684</v>
      </c>
      <c r="K36" s="3583" t="s">
        <v>3827</v>
      </c>
      <c r="L36" s="3584" t="s">
        <v>673</v>
      </c>
      <c r="M36" s="3585" t="s">
        <v>3808</v>
      </c>
      <c r="N36" s="3584" t="s">
        <v>3686</v>
      </c>
      <c r="O36" s="3584" t="s">
        <v>3819</v>
      </c>
      <c r="P36" s="3584" t="s">
        <v>3828</v>
      </c>
      <c r="Q36" s="3586">
        <v>2</v>
      </c>
      <c r="R36" s="3586">
        <v>1</v>
      </c>
      <c r="S36" s="3586">
        <v>1</v>
      </c>
      <c r="T36" s="3584" t="s">
        <v>3828</v>
      </c>
      <c r="U36" s="3584" t="s">
        <v>3691</v>
      </c>
      <c r="V36" s="3586">
        <v>20</v>
      </c>
      <c r="W36" s="3586">
        <v>20</v>
      </c>
      <c r="X36" s="3586" t="s">
        <v>3828</v>
      </c>
      <c r="Y36" s="3586" t="s">
        <v>3828</v>
      </c>
      <c r="Z36" s="3586">
        <v>3</v>
      </c>
      <c r="AA36" s="3586" t="s">
        <v>3828</v>
      </c>
      <c r="AB36" s="3586">
        <v>2006</v>
      </c>
      <c r="AC36" s="3586" t="s">
        <v>3828</v>
      </c>
      <c r="AD36" s="3586" t="s">
        <v>3828</v>
      </c>
      <c r="AE36" s="3586" t="s">
        <v>3828</v>
      </c>
      <c r="AF36" s="3588" t="s">
        <v>3828</v>
      </c>
      <c r="AG36" s="3586" t="s">
        <v>3828</v>
      </c>
      <c r="AH36" s="3586" t="s">
        <v>3828</v>
      </c>
      <c r="AI36" s="3586" t="s">
        <v>3828</v>
      </c>
      <c r="AJ36" s="3628" t="s">
        <v>3828</v>
      </c>
      <c r="AK36" s="3589" t="s">
        <v>3829</v>
      </c>
      <c r="AL36" s="3589" t="s">
        <v>3830</v>
      </c>
      <c r="AM36" s="3584" t="s">
        <v>3811</v>
      </c>
      <c r="AN36" s="3584" t="s">
        <v>3828</v>
      </c>
      <c r="AO36" s="3589" t="s">
        <v>3828</v>
      </c>
      <c r="AP36" s="3589" t="s">
        <v>3828</v>
      </c>
      <c r="AQ36" s="3589">
        <v>420</v>
      </c>
      <c r="AR36" s="3590">
        <v>400</v>
      </c>
      <c r="AS36" s="3589">
        <v>420</v>
      </c>
      <c r="AT36" s="3591">
        <f t="shared" si="1"/>
        <v>0.95238095238095233</v>
      </c>
      <c r="AU36" s="3624">
        <v>0.95</v>
      </c>
      <c r="AV36" s="3584" t="s">
        <v>3831</v>
      </c>
      <c r="AW36" s="3592" t="s">
        <v>3564</v>
      </c>
      <c r="AX36" s="3589">
        <v>14</v>
      </c>
      <c r="AY36" s="3593">
        <f t="shared" si="2"/>
        <v>13.23</v>
      </c>
      <c r="AZ36" s="3594">
        <v>0.05</v>
      </c>
      <c r="BA36" s="3589">
        <v>3.2</v>
      </c>
      <c r="BB36" s="3589">
        <v>0</v>
      </c>
      <c r="BC36" s="3590" t="s">
        <v>3828</v>
      </c>
      <c r="BD36" s="3595">
        <v>43279</v>
      </c>
      <c r="BE36" s="3595">
        <v>45470</v>
      </c>
      <c r="BF36" s="3589">
        <v>6</v>
      </c>
      <c r="BG36" s="3589">
        <v>2</v>
      </c>
      <c r="BH36" s="3589" t="s">
        <v>3832</v>
      </c>
      <c r="BI36" s="3596">
        <v>0.01</v>
      </c>
      <c r="BJ36" s="3589" t="s">
        <v>3828</v>
      </c>
      <c r="BK36" s="3584" t="s">
        <v>3701</v>
      </c>
      <c r="BL36" s="3595">
        <v>43279</v>
      </c>
      <c r="BM36" s="3584" t="s">
        <v>3553</v>
      </c>
      <c r="BN36" s="3625" t="s">
        <v>3828</v>
      </c>
      <c r="BO36" s="3597" t="s">
        <v>3828</v>
      </c>
      <c r="BP36" s="3598" t="s">
        <v>3828</v>
      </c>
      <c r="BQ36" s="3599" t="s">
        <v>3828</v>
      </c>
      <c r="BR36" s="3599" t="s">
        <v>3828</v>
      </c>
      <c r="BS36" s="3626" t="s">
        <v>3828</v>
      </c>
      <c r="BT36" s="3601" t="s">
        <v>3828</v>
      </c>
      <c r="BU36" s="3601" t="s">
        <v>3833</v>
      </c>
      <c r="BV36" s="3602">
        <v>45030</v>
      </c>
      <c r="BW36" s="3601" t="s">
        <v>3834</v>
      </c>
      <c r="BX36" s="3602">
        <v>45034</v>
      </c>
    </row>
    <row r="37" spans="1:77" s="3629" customFormat="1" ht="14.25" thickBot="1">
      <c r="A37" s="3577" t="s">
        <v>3835</v>
      </c>
      <c r="B37" s="3578" t="s">
        <v>3836</v>
      </c>
      <c r="C37" s="3579" t="s">
        <v>3837</v>
      </c>
      <c r="D37" s="3579" t="s">
        <v>3837</v>
      </c>
      <c r="E37" s="3579" t="s">
        <v>3838</v>
      </c>
      <c r="F37" s="3579" t="s">
        <v>3838</v>
      </c>
      <c r="G37" s="3579" t="s">
        <v>3839</v>
      </c>
      <c r="H37" s="3580" t="s">
        <v>3840</v>
      </c>
      <c r="I37" s="3581" t="s">
        <v>3806</v>
      </c>
      <c r="J37" s="3582" t="s">
        <v>3818</v>
      </c>
      <c r="K37" s="3583" t="s">
        <v>3841</v>
      </c>
      <c r="L37" s="3584" t="s">
        <v>673</v>
      </c>
      <c r="M37" s="3585" t="s">
        <v>3808</v>
      </c>
      <c r="N37" s="3584" t="s">
        <v>3695</v>
      </c>
      <c r="O37" s="3584" t="s">
        <v>3819</v>
      </c>
      <c r="P37" s="3584" t="s">
        <v>3695</v>
      </c>
      <c r="Q37" s="3586" t="s">
        <v>3695</v>
      </c>
      <c r="R37" s="3586" t="s">
        <v>3695</v>
      </c>
      <c r="S37" s="3586">
        <v>1</v>
      </c>
      <c r="T37" s="3584" t="s">
        <v>3695</v>
      </c>
      <c r="U37" s="3584" t="s">
        <v>3691</v>
      </c>
      <c r="V37" s="3586" t="s">
        <v>3695</v>
      </c>
      <c r="W37" s="3586" t="s">
        <v>3695</v>
      </c>
      <c r="X37" s="3586" t="s">
        <v>3695</v>
      </c>
      <c r="Y37" s="3586" t="s">
        <v>3695</v>
      </c>
      <c r="Z37" s="3586">
        <v>3</v>
      </c>
      <c r="AA37" s="3586" t="s">
        <v>3695</v>
      </c>
      <c r="AB37" s="3586" t="s">
        <v>3695</v>
      </c>
      <c r="AC37" s="3586">
        <v>2006</v>
      </c>
      <c r="AD37" s="3586" t="s">
        <v>3695</v>
      </c>
      <c r="AE37" s="3586" t="s">
        <v>3695</v>
      </c>
      <c r="AF37" s="3588" t="s">
        <v>3695</v>
      </c>
      <c r="AG37" s="3586" t="s">
        <v>3695</v>
      </c>
      <c r="AH37" s="3586" t="s">
        <v>3695</v>
      </c>
      <c r="AI37" s="3586" t="s">
        <v>3695</v>
      </c>
      <c r="AJ37" s="3628" t="s">
        <v>3695</v>
      </c>
      <c r="AK37" s="3589" t="s">
        <v>3695</v>
      </c>
      <c r="AL37" s="3589" t="s">
        <v>3695</v>
      </c>
      <c r="AM37" s="3584" t="s">
        <v>3695</v>
      </c>
      <c r="AN37" s="3584" t="s">
        <v>3695</v>
      </c>
      <c r="AO37" s="3589" t="s">
        <v>3695</v>
      </c>
      <c r="AP37" s="3589" t="s">
        <v>3695</v>
      </c>
      <c r="AQ37" s="3589">
        <v>300</v>
      </c>
      <c r="AR37" s="3590">
        <v>220</v>
      </c>
      <c r="AS37" s="3589">
        <v>300</v>
      </c>
      <c r="AT37" s="3591">
        <f t="shared" si="1"/>
        <v>0.73333333333333328</v>
      </c>
      <c r="AU37" s="3624">
        <v>0.75</v>
      </c>
      <c r="AV37" s="3584" t="s">
        <v>3698</v>
      </c>
      <c r="AW37" s="3592" t="s">
        <v>3842</v>
      </c>
      <c r="AX37" s="3589">
        <v>10</v>
      </c>
      <c r="AY37" s="3593">
        <f t="shared" si="2"/>
        <v>9.42</v>
      </c>
      <c r="AZ37" s="3594">
        <v>0.05</v>
      </c>
      <c r="BA37" s="3589">
        <v>3.2</v>
      </c>
      <c r="BB37" s="3589">
        <v>0</v>
      </c>
      <c r="BC37" s="3590" t="s">
        <v>3695</v>
      </c>
      <c r="BD37" s="3595" t="s">
        <v>3695</v>
      </c>
      <c r="BE37" s="3595" t="s">
        <v>3695</v>
      </c>
      <c r="BF37" s="3589" t="s">
        <v>3695</v>
      </c>
      <c r="BG37" s="3589" t="s">
        <v>3695</v>
      </c>
      <c r="BH37" s="3589" t="s">
        <v>3695</v>
      </c>
      <c r="BI37" s="3596" t="s">
        <v>3695</v>
      </c>
      <c r="BJ37" s="3589" t="s">
        <v>3695</v>
      </c>
      <c r="BK37" s="3584" t="s">
        <v>3843</v>
      </c>
      <c r="BL37" s="3595" t="s">
        <v>3695</v>
      </c>
      <c r="BM37" s="3584" t="s">
        <v>3553</v>
      </c>
      <c r="BN37" s="3625" t="s">
        <v>3695</v>
      </c>
      <c r="BO37" s="3597" t="s">
        <v>3695</v>
      </c>
      <c r="BP37" s="3584" t="s">
        <v>3695</v>
      </c>
      <c r="BQ37" s="3599" t="s">
        <v>3695</v>
      </c>
      <c r="BR37" s="3599" t="s">
        <v>3695</v>
      </c>
      <c r="BS37" s="3626" t="s">
        <v>3695</v>
      </c>
      <c r="BT37" s="3601" t="s">
        <v>3844</v>
      </c>
      <c r="BU37" s="3601" t="s">
        <v>3845</v>
      </c>
      <c r="BV37" s="3602">
        <v>45030</v>
      </c>
      <c r="BW37" s="3601" t="s">
        <v>3846</v>
      </c>
      <c r="BX37" s="3602">
        <v>45034</v>
      </c>
    </row>
    <row r="38" spans="1:77" s="3629" customFormat="1" ht="14.25" thickBot="1">
      <c r="A38" s="3630" t="s">
        <v>3847</v>
      </c>
      <c r="B38" s="3578" t="s">
        <v>3848</v>
      </c>
      <c r="C38" s="3579" t="s">
        <v>3802</v>
      </c>
      <c r="D38" s="3579" t="s">
        <v>3849</v>
      </c>
      <c r="E38" s="3579" t="s">
        <v>3850</v>
      </c>
      <c r="F38" s="3579" t="s">
        <v>3803</v>
      </c>
      <c r="G38" s="3579" t="s">
        <v>3851</v>
      </c>
      <c r="H38" s="3580" t="s">
        <v>3852</v>
      </c>
      <c r="I38" s="3581" t="s">
        <v>3683</v>
      </c>
      <c r="J38" s="3582" t="s">
        <v>3818</v>
      </c>
      <c r="K38" s="3583" t="s">
        <v>3853</v>
      </c>
      <c r="L38" s="3584" t="s">
        <v>673</v>
      </c>
      <c r="M38" s="3585" t="s">
        <v>3686</v>
      </c>
      <c r="N38" s="3584"/>
      <c r="O38" s="3584" t="s">
        <v>3809</v>
      </c>
      <c r="P38" s="3584"/>
      <c r="Q38" s="3586">
        <v>1</v>
      </c>
      <c r="R38" s="3586" t="s">
        <v>3802</v>
      </c>
      <c r="S38" s="3622">
        <v>1</v>
      </c>
      <c r="T38" s="3584"/>
      <c r="U38" s="3584" t="s">
        <v>3691</v>
      </c>
      <c r="V38" s="3586" t="s">
        <v>3802</v>
      </c>
      <c r="W38" s="3586" t="s">
        <v>3802</v>
      </c>
      <c r="X38" s="3586" t="s">
        <v>3802</v>
      </c>
      <c r="Y38" s="3586" t="s">
        <v>3802</v>
      </c>
      <c r="Z38" s="3586">
        <v>3</v>
      </c>
      <c r="AA38" s="3586" t="s">
        <v>3802</v>
      </c>
      <c r="AB38" s="3586" t="s">
        <v>3802</v>
      </c>
      <c r="AC38" s="3586" t="s">
        <v>3802</v>
      </c>
      <c r="AD38" s="3586" t="s">
        <v>3802</v>
      </c>
      <c r="AE38" s="3586" t="s">
        <v>3802</v>
      </c>
      <c r="AF38" s="3588" t="s">
        <v>3802</v>
      </c>
      <c r="AG38" s="3586" t="s">
        <v>3802</v>
      </c>
      <c r="AH38" s="3586" t="s">
        <v>3802</v>
      </c>
      <c r="AI38" s="3586" t="s">
        <v>3802</v>
      </c>
      <c r="AJ38" s="3628" t="s">
        <v>3802</v>
      </c>
      <c r="AK38" s="3589" t="s">
        <v>3802</v>
      </c>
      <c r="AL38" s="3589" t="s">
        <v>3802</v>
      </c>
      <c r="AM38" s="3584" t="s">
        <v>3854</v>
      </c>
      <c r="AN38" s="3584"/>
      <c r="AO38" s="3589" t="s">
        <v>3802</v>
      </c>
      <c r="AP38" s="3589" t="s">
        <v>3802</v>
      </c>
      <c r="AQ38" s="3589">
        <v>430</v>
      </c>
      <c r="AR38" s="3590"/>
      <c r="AS38" s="3589">
        <v>430</v>
      </c>
      <c r="AT38" s="3591" t="str">
        <f t="shared" si="1"/>
        <v>/</v>
      </c>
      <c r="AU38" s="3590"/>
      <c r="AV38" s="3584" t="s">
        <v>3812</v>
      </c>
      <c r="AW38" s="3592" t="s">
        <v>3564</v>
      </c>
      <c r="AX38" s="3589">
        <v>11</v>
      </c>
      <c r="AY38" s="3593">
        <f t="shared" si="2"/>
        <v>10.48</v>
      </c>
      <c r="AZ38" s="3594">
        <v>0.05</v>
      </c>
      <c r="BA38" s="3589"/>
      <c r="BB38" s="3589"/>
      <c r="BC38" s="3590"/>
      <c r="BD38" s="3595" t="s">
        <v>3802</v>
      </c>
      <c r="BE38" s="3595" t="s">
        <v>3802</v>
      </c>
      <c r="BF38" s="3589" t="s">
        <v>3802</v>
      </c>
      <c r="BG38" s="3589"/>
      <c r="BH38" s="3589" t="s">
        <v>3802</v>
      </c>
      <c r="BI38" s="3596" t="s">
        <v>3802</v>
      </c>
      <c r="BJ38" s="3589"/>
      <c r="BK38" s="3584" t="s">
        <v>3843</v>
      </c>
      <c r="BL38" s="3595">
        <v>45167</v>
      </c>
      <c r="BM38" s="3584" t="s">
        <v>3553</v>
      </c>
      <c r="BN38" s="3625"/>
      <c r="BO38" s="3597"/>
      <c r="BP38" s="3598"/>
      <c r="BQ38" s="3599"/>
      <c r="BR38" s="3599"/>
      <c r="BS38" s="3626"/>
      <c r="BT38" s="3601"/>
      <c r="BU38" s="3601" t="s">
        <v>3855</v>
      </c>
      <c r="BV38" s="3602">
        <v>45167</v>
      </c>
      <c r="BW38" s="3600"/>
      <c r="BX38" s="3627"/>
    </row>
    <row r="39" spans="1:77" s="3629" customFormat="1" ht="14.25" thickBot="1">
      <c r="A39" s="3630" t="s">
        <v>3847</v>
      </c>
      <c r="B39" s="3578" t="s">
        <v>3856</v>
      </c>
      <c r="C39" s="3579" t="s">
        <v>3802</v>
      </c>
      <c r="D39" s="3579" t="s">
        <v>3857</v>
      </c>
      <c r="E39" s="3579" t="s">
        <v>3850</v>
      </c>
      <c r="F39" s="3579" t="s">
        <v>3803</v>
      </c>
      <c r="G39" s="3579" t="s">
        <v>3851</v>
      </c>
      <c r="H39" s="3580" t="s">
        <v>3858</v>
      </c>
      <c r="I39" s="3581" t="s">
        <v>3806</v>
      </c>
      <c r="J39" s="3582" t="s">
        <v>3818</v>
      </c>
      <c r="K39" s="3583" t="s">
        <v>3853</v>
      </c>
      <c r="L39" s="3584" t="s">
        <v>673</v>
      </c>
      <c r="M39" s="3585" t="s">
        <v>3686</v>
      </c>
      <c r="N39" s="3584"/>
      <c r="O39" s="3584" t="s">
        <v>3819</v>
      </c>
      <c r="P39" s="3584"/>
      <c r="Q39" s="3586">
        <v>1</v>
      </c>
      <c r="R39" s="3586" t="s">
        <v>3802</v>
      </c>
      <c r="S39" s="3622">
        <v>1</v>
      </c>
      <c r="T39" s="3584"/>
      <c r="U39" s="3584" t="s">
        <v>3691</v>
      </c>
      <c r="V39" s="3586" t="s">
        <v>3802</v>
      </c>
      <c r="W39" s="3586" t="s">
        <v>3802</v>
      </c>
      <c r="X39" s="3586" t="s">
        <v>3802</v>
      </c>
      <c r="Y39" s="3586" t="s">
        <v>3802</v>
      </c>
      <c r="Z39" s="3586">
        <v>3</v>
      </c>
      <c r="AA39" s="3586" t="s">
        <v>3802</v>
      </c>
      <c r="AB39" s="3586" t="s">
        <v>3802</v>
      </c>
      <c r="AC39" s="3586" t="s">
        <v>3802</v>
      </c>
      <c r="AD39" s="3586" t="s">
        <v>3802</v>
      </c>
      <c r="AE39" s="3586" t="s">
        <v>3802</v>
      </c>
      <c r="AF39" s="3588" t="s">
        <v>3802</v>
      </c>
      <c r="AG39" s="3586" t="s">
        <v>3802</v>
      </c>
      <c r="AH39" s="3586" t="s">
        <v>3802</v>
      </c>
      <c r="AI39" s="3586" t="s">
        <v>3802</v>
      </c>
      <c r="AJ39" s="3628" t="s">
        <v>3802</v>
      </c>
      <c r="AK39" s="3589" t="s">
        <v>3802</v>
      </c>
      <c r="AL39" s="3589" t="s">
        <v>3802</v>
      </c>
      <c r="AM39" s="3584" t="s">
        <v>3859</v>
      </c>
      <c r="AN39" s="3584"/>
      <c r="AO39" s="3589" t="s">
        <v>3802</v>
      </c>
      <c r="AP39" s="3589" t="s">
        <v>3802</v>
      </c>
      <c r="AQ39" s="3589">
        <v>312.10000000000002</v>
      </c>
      <c r="AR39" s="3590"/>
      <c r="AS39" s="3589">
        <v>312.10000000000002</v>
      </c>
      <c r="AT39" s="3591" t="str">
        <f t="shared" si="1"/>
        <v>/</v>
      </c>
      <c r="AU39" s="3590"/>
      <c r="AV39" s="3584" t="s">
        <v>3812</v>
      </c>
      <c r="AW39" s="3592" t="s">
        <v>3564</v>
      </c>
      <c r="AX39" s="3589">
        <v>10</v>
      </c>
      <c r="AY39" s="3593">
        <f t="shared" si="2"/>
        <v>9.52</v>
      </c>
      <c r="AZ39" s="3594">
        <v>0.05</v>
      </c>
      <c r="BA39" s="3589"/>
      <c r="BB39" s="3589"/>
      <c r="BC39" s="3590"/>
      <c r="BD39" s="3595" t="s">
        <v>3802</v>
      </c>
      <c r="BE39" s="3595" t="s">
        <v>3802</v>
      </c>
      <c r="BF39" s="3589" t="s">
        <v>3802</v>
      </c>
      <c r="BG39" s="3589"/>
      <c r="BH39" s="3589" t="s">
        <v>3802</v>
      </c>
      <c r="BI39" s="3596" t="s">
        <v>3802</v>
      </c>
      <c r="BJ39" s="3589"/>
      <c r="BK39" s="3584" t="s">
        <v>3843</v>
      </c>
      <c r="BL39" s="3595">
        <v>45167</v>
      </c>
      <c r="BM39" s="3584" t="s">
        <v>3553</v>
      </c>
      <c r="BN39" s="3625"/>
      <c r="BO39" s="3597"/>
      <c r="BP39" s="3598"/>
      <c r="BQ39" s="3599"/>
      <c r="BR39" s="3599"/>
      <c r="BS39" s="3626"/>
      <c r="BT39" s="3601"/>
      <c r="BU39" s="3601" t="s">
        <v>3855</v>
      </c>
      <c r="BV39" s="3602">
        <v>45167</v>
      </c>
      <c r="BW39" s="3600"/>
      <c r="BX39" s="3627"/>
      <c r="BY39" s="3627"/>
    </row>
    <row r="40" spans="1:77" s="3605" customFormat="1" ht="12.75" thickBot="1">
      <c r="A40" s="3577" t="s">
        <v>3862</v>
      </c>
      <c r="B40" s="3578" t="s">
        <v>3863</v>
      </c>
      <c r="C40" s="3579" t="s">
        <v>3864</v>
      </c>
      <c r="D40" s="3579" t="str">
        <f t="shared" ref="D40:D43" si="3">C40</f>
        <v>西城区太平桥大街8号院3号楼1至2层10</v>
      </c>
      <c r="E40" s="3579" t="s">
        <v>3865</v>
      </c>
      <c r="F40" s="3579" t="s">
        <v>3865</v>
      </c>
      <c r="G40" s="3579" t="s">
        <v>3866</v>
      </c>
      <c r="H40" s="3580" t="s">
        <v>3867</v>
      </c>
      <c r="I40" s="3581" t="s">
        <v>3868</v>
      </c>
      <c r="J40" s="3582" t="s">
        <v>3818</v>
      </c>
      <c r="K40" s="3583" t="s">
        <v>3869</v>
      </c>
      <c r="L40" s="3584" t="s">
        <v>673</v>
      </c>
      <c r="M40" s="3585" t="s">
        <v>3686</v>
      </c>
      <c r="N40" s="3584" t="s">
        <v>3686</v>
      </c>
      <c r="O40" s="3584" t="s">
        <v>3819</v>
      </c>
      <c r="P40" s="3584" t="s">
        <v>3870</v>
      </c>
      <c r="Q40" s="3586">
        <v>8</v>
      </c>
      <c r="R40" s="3586">
        <v>0</v>
      </c>
      <c r="S40" s="3638" t="s">
        <v>3871</v>
      </c>
      <c r="T40" s="3584" t="s">
        <v>3690</v>
      </c>
      <c r="U40" s="3584" t="s">
        <v>3691</v>
      </c>
      <c r="V40" s="3586">
        <v>8</v>
      </c>
      <c r="W40" s="3586">
        <v>20</v>
      </c>
      <c r="X40" s="3586" t="s">
        <v>3870</v>
      </c>
      <c r="Y40" s="3586" t="s">
        <v>3870</v>
      </c>
      <c r="Z40" s="3586">
        <v>3</v>
      </c>
      <c r="AA40" s="3586" t="s">
        <v>3870</v>
      </c>
      <c r="AB40" s="3586">
        <v>2008</v>
      </c>
      <c r="AC40" s="3586" t="s">
        <v>3870</v>
      </c>
      <c r="AD40" s="3586" t="s">
        <v>3870</v>
      </c>
      <c r="AE40" s="3586" t="s">
        <v>3870</v>
      </c>
      <c r="AF40" s="3586" t="s">
        <v>3870</v>
      </c>
      <c r="AG40" s="3586" t="s">
        <v>3870</v>
      </c>
      <c r="AH40" s="3586" t="s">
        <v>3870</v>
      </c>
      <c r="AI40" s="3586" t="s">
        <v>3870</v>
      </c>
      <c r="AJ40" s="3586" t="s">
        <v>3870</v>
      </c>
      <c r="AK40" s="3586" t="s">
        <v>3870</v>
      </c>
      <c r="AL40" s="3586" t="s">
        <v>3870</v>
      </c>
      <c r="AM40" s="3584" t="s">
        <v>3872</v>
      </c>
      <c r="AN40" s="3584" t="s">
        <v>3870</v>
      </c>
      <c r="AO40" s="3586" t="s">
        <v>3870</v>
      </c>
      <c r="AP40" s="3586" t="s">
        <v>3870</v>
      </c>
      <c r="AQ40" s="3589">
        <v>400</v>
      </c>
      <c r="AR40" s="3590">
        <f t="shared" ref="AR40:AS42" si="4">AQ40</f>
        <v>400</v>
      </c>
      <c r="AS40" s="3589">
        <f t="shared" si="4"/>
        <v>400</v>
      </c>
      <c r="AT40" s="3591">
        <f t="shared" si="1"/>
        <v>1</v>
      </c>
      <c r="AU40" s="3586" t="s">
        <v>3870</v>
      </c>
      <c r="AV40" s="3584" t="s">
        <v>3831</v>
      </c>
      <c r="AW40" s="3592" t="s">
        <v>3870</v>
      </c>
      <c r="AX40" s="3589">
        <v>6.67</v>
      </c>
      <c r="AY40" s="3593">
        <f t="shared" si="2"/>
        <v>6.67</v>
      </c>
      <c r="AZ40" s="3594">
        <v>0</v>
      </c>
      <c r="BA40" s="3589">
        <v>0</v>
      </c>
      <c r="BB40" s="3589">
        <v>0</v>
      </c>
      <c r="BC40" s="3586" t="s">
        <v>3870</v>
      </c>
      <c r="BD40" s="3586" t="s">
        <v>3870</v>
      </c>
      <c r="BE40" s="3586" t="s">
        <v>3870</v>
      </c>
      <c r="BF40" s="3586" t="s">
        <v>3870</v>
      </c>
      <c r="BG40" s="3586" t="s">
        <v>3870</v>
      </c>
      <c r="BH40" s="3586" t="s">
        <v>3870</v>
      </c>
      <c r="BI40" s="3586" t="s">
        <v>3870</v>
      </c>
      <c r="BJ40" s="3586" t="s">
        <v>3873</v>
      </c>
      <c r="BK40" s="3584" t="s">
        <v>3843</v>
      </c>
      <c r="BL40" s="3586" t="s">
        <v>3870</v>
      </c>
      <c r="BM40" s="3584" t="s">
        <v>3553</v>
      </c>
      <c r="BN40" s="3586" t="s">
        <v>3870</v>
      </c>
      <c r="BO40" s="3599" t="s">
        <v>3870</v>
      </c>
      <c r="BP40" s="3598" t="s">
        <v>3870</v>
      </c>
      <c r="BQ40" s="3599" t="s">
        <v>3870</v>
      </c>
      <c r="BR40" s="3599" t="s">
        <v>3870</v>
      </c>
      <c r="BS40" s="3599" t="s">
        <v>3870</v>
      </c>
      <c r="BT40" s="3601" t="s">
        <v>3874</v>
      </c>
      <c r="BU40" s="3601" t="s">
        <v>3875</v>
      </c>
      <c r="BV40" s="3602">
        <v>45089</v>
      </c>
      <c r="BW40" s="3600" t="s">
        <v>3876</v>
      </c>
      <c r="BX40" s="3627">
        <v>45089</v>
      </c>
    </row>
    <row r="41" spans="1:77" s="3605" customFormat="1" ht="12.75" thickBot="1">
      <c r="A41" s="3577" t="s">
        <v>3862</v>
      </c>
      <c r="B41" s="3578" t="s">
        <v>3863</v>
      </c>
      <c r="C41" s="3579" t="s">
        <v>3864</v>
      </c>
      <c r="D41" s="3579" t="str">
        <f t="shared" si="3"/>
        <v>西城区太平桥大街8号院3号楼1至2层10</v>
      </c>
      <c r="E41" s="3579" t="s">
        <v>3865</v>
      </c>
      <c r="F41" s="3579" t="s">
        <v>3865</v>
      </c>
      <c r="G41" s="3579" t="s">
        <v>3866</v>
      </c>
      <c r="H41" s="3580" t="s">
        <v>3867</v>
      </c>
      <c r="I41" s="3581" t="s">
        <v>3868</v>
      </c>
      <c r="J41" s="3582" t="s">
        <v>3818</v>
      </c>
      <c r="K41" s="3583" t="s">
        <v>3869</v>
      </c>
      <c r="L41" s="3584" t="s">
        <v>673</v>
      </c>
      <c r="M41" s="3585" t="s">
        <v>3686</v>
      </c>
      <c r="N41" s="3584" t="s">
        <v>3686</v>
      </c>
      <c r="O41" s="3584" t="s">
        <v>3819</v>
      </c>
      <c r="P41" s="3584" t="s">
        <v>3870</v>
      </c>
      <c r="Q41" s="3586">
        <v>8</v>
      </c>
      <c r="R41" s="3586">
        <v>0</v>
      </c>
      <c r="S41" s="3638" t="s">
        <v>3871</v>
      </c>
      <c r="T41" s="3584" t="s">
        <v>3690</v>
      </c>
      <c r="U41" s="3584" t="s">
        <v>3691</v>
      </c>
      <c r="V41" s="3586">
        <v>8</v>
      </c>
      <c r="W41" s="3586">
        <v>20</v>
      </c>
      <c r="X41" s="3586" t="s">
        <v>3870</v>
      </c>
      <c r="Y41" s="3586" t="s">
        <v>3870</v>
      </c>
      <c r="Z41" s="3586">
        <v>3</v>
      </c>
      <c r="AA41" s="3586" t="s">
        <v>3870</v>
      </c>
      <c r="AB41" s="3586">
        <v>2008</v>
      </c>
      <c r="AC41" s="3586" t="s">
        <v>3870</v>
      </c>
      <c r="AD41" s="3586" t="s">
        <v>3870</v>
      </c>
      <c r="AE41" s="3586" t="s">
        <v>3870</v>
      </c>
      <c r="AF41" s="3586" t="s">
        <v>3870</v>
      </c>
      <c r="AG41" s="3586" t="s">
        <v>3870</v>
      </c>
      <c r="AH41" s="3586" t="s">
        <v>3870</v>
      </c>
      <c r="AI41" s="3586" t="s">
        <v>3870</v>
      </c>
      <c r="AJ41" s="3586" t="s">
        <v>3870</v>
      </c>
      <c r="AK41" s="3586" t="s">
        <v>3870</v>
      </c>
      <c r="AL41" s="3586" t="s">
        <v>3870</v>
      </c>
      <c r="AM41" s="3584" t="s">
        <v>3872</v>
      </c>
      <c r="AN41" s="3584" t="s">
        <v>3870</v>
      </c>
      <c r="AO41" s="3586" t="s">
        <v>3870</v>
      </c>
      <c r="AP41" s="3586" t="s">
        <v>3870</v>
      </c>
      <c r="AQ41" s="3589">
        <v>400</v>
      </c>
      <c r="AR41" s="3590">
        <f t="shared" si="4"/>
        <v>400</v>
      </c>
      <c r="AS41" s="3589">
        <f t="shared" si="4"/>
        <v>400</v>
      </c>
      <c r="AT41" s="3591">
        <f t="shared" si="1"/>
        <v>1</v>
      </c>
      <c r="AU41" s="3586" t="s">
        <v>3870</v>
      </c>
      <c r="AV41" s="3584" t="s">
        <v>3831</v>
      </c>
      <c r="AW41" s="3592" t="s">
        <v>3870</v>
      </c>
      <c r="AX41" s="3589">
        <v>8.33</v>
      </c>
      <c r="AY41" s="3593">
        <f t="shared" si="2"/>
        <v>8.33</v>
      </c>
      <c r="AZ41" s="3594">
        <v>0</v>
      </c>
      <c r="BA41" s="3589">
        <v>0</v>
      </c>
      <c r="BB41" s="3589">
        <v>0</v>
      </c>
      <c r="BC41" s="3586" t="s">
        <v>3870</v>
      </c>
      <c r="BD41" s="3586" t="s">
        <v>3870</v>
      </c>
      <c r="BE41" s="3586" t="s">
        <v>3870</v>
      </c>
      <c r="BF41" s="3586" t="s">
        <v>3870</v>
      </c>
      <c r="BG41" s="3586" t="s">
        <v>3870</v>
      </c>
      <c r="BH41" s="3586" t="s">
        <v>3870</v>
      </c>
      <c r="BI41" s="3586" t="s">
        <v>3870</v>
      </c>
      <c r="BJ41" s="3586" t="s">
        <v>3873</v>
      </c>
      <c r="BK41" s="3584" t="s">
        <v>3843</v>
      </c>
      <c r="BL41" s="3586" t="s">
        <v>3870</v>
      </c>
      <c r="BM41" s="3584" t="s">
        <v>3553</v>
      </c>
      <c r="BN41" s="3586" t="s">
        <v>3870</v>
      </c>
      <c r="BO41" s="3599" t="s">
        <v>3870</v>
      </c>
      <c r="BP41" s="3598" t="s">
        <v>3870</v>
      </c>
      <c r="BQ41" s="3599" t="s">
        <v>3870</v>
      </c>
      <c r="BR41" s="3599" t="s">
        <v>3870</v>
      </c>
      <c r="BS41" s="3599" t="s">
        <v>3870</v>
      </c>
      <c r="BT41" s="3601" t="s">
        <v>3874</v>
      </c>
      <c r="BU41" s="3601" t="s">
        <v>3875</v>
      </c>
      <c r="BV41" s="3602">
        <v>45089</v>
      </c>
      <c r="BW41" s="3600" t="s">
        <v>3876</v>
      </c>
      <c r="BX41" s="3627">
        <v>45089</v>
      </c>
    </row>
    <row r="42" spans="1:77" s="3605" customFormat="1" ht="12.75" thickBot="1">
      <c r="A42" s="3577" t="s">
        <v>3862</v>
      </c>
      <c r="B42" s="3578" t="s">
        <v>3863</v>
      </c>
      <c r="C42" s="3579" t="s">
        <v>3877</v>
      </c>
      <c r="D42" s="3579" t="str">
        <f t="shared" si="3"/>
        <v>西城区太平桥大街8号院</v>
      </c>
      <c r="E42" s="3579" t="s">
        <v>3865</v>
      </c>
      <c r="F42" s="3579" t="s">
        <v>3865</v>
      </c>
      <c r="G42" s="3579" t="s">
        <v>3866</v>
      </c>
      <c r="H42" s="3580" t="s">
        <v>3867</v>
      </c>
      <c r="I42" s="3581" t="s">
        <v>3868</v>
      </c>
      <c r="J42" s="3582" t="s">
        <v>3818</v>
      </c>
      <c r="K42" s="3583" t="s">
        <v>3869</v>
      </c>
      <c r="L42" s="3584" t="s">
        <v>673</v>
      </c>
      <c r="M42" s="3585" t="s">
        <v>3686</v>
      </c>
      <c r="N42" s="3584" t="s">
        <v>3686</v>
      </c>
      <c r="O42" s="3584" t="s">
        <v>3819</v>
      </c>
      <c r="P42" s="3584" t="s">
        <v>3870</v>
      </c>
      <c r="Q42" s="3586">
        <v>8</v>
      </c>
      <c r="R42" s="3586">
        <v>1</v>
      </c>
      <c r="S42" s="3638" t="s">
        <v>3878</v>
      </c>
      <c r="T42" s="3584" t="s">
        <v>3690</v>
      </c>
      <c r="U42" s="3584" t="s">
        <v>3691</v>
      </c>
      <c r="V42" s="3586">
        <v>5</v>
      </c>
      <c r="W42" s="3586">
        <v>20</v>
      </c>
      <c r="X42" s="3586" t="s">
        <v>3870</v>
      </c>
      <c r="Y42" s="3586" t="s">
        <v>3870</v>
      </c>
      <c r="Z42" s="3586">
        <v>3</v>
      </c>
      <c r="AA42" s="3586" t="s">
        <v>3870</v>
      </c>
      <c r="AB42" s="3586">
        <v>2008</v>
      </c>
      <c r="AC42" s="3586" t="s">
        <v>3870</v>
      </c>
      <c r="AD42" s="3586" t="s">
        <v>3870</v>
      </c>
      <c r="AE42" s="3586" t="s">
        <v>3870</v>
      </c>
      <c r="AF42" s="3586" t="s">
        <v>3870</v>
      </c>
      <c r="AG42" s="3586" t="s">
        <v>3870</v>
      </c>
      <c r="AH42" s="3586" t="s">
        <v>3870</v>
      </c>
      <c r="AI42" s="3586" t="s">
        <v>3870</v>
      </c>
      <c r="AJ42" s="3586" t="s">
        <v>3870</v>
      </c>
      <c r="AK42" s="3586" t="s">
        <v>3870</v>
      </c>
      <c r="AL42" s="3586" t="s">
        <v>3870</v>
      </c>
      <c r="AM42" s="3584" t="s">
        <v>3879</v>
      </c>
      <c r="AN42" s="3639" t="s">
        <v>3880</v>
      </c>
      <c r="AO42" s="3586" t="s">
        <v>3870</v>
      </c>
      <c r="AP42" s="3586" t="s">
        <v>3870</v>
      </c>
      <c r="AQ42" s="3589">
        <v>260</v>
      </c>
      <c r="AR42" s="3590">
        <f t="shared" si="4"/>
        <v>260</v>
      </c>
      <c r="AS42" s="3589">
        <f t="shared" si="4"/>
        <v>260</v>
      </c>
      <c r="AT42" s="3591">
        <f t="shared" si="1"/>
        <v>1</v>
      </c>
      <c r="AU42" s="3586" t="s">
        <v>3870</v>
      </c>
      <c r="AV42" s="3584" t="s">
        <v>3831</v>
      </c>
      <c r="AW42" s="3592" t="s">
        <v>3870</v>
      </c>
      <c r="AX42" s="3589">
        <v>12.65</v>
      </c>
      <c r="AY42" s="3593">
        <f t="shared" si="2"/>
        <v>12.65</v>
      </c>
      <c r="AZ42" s="3594">
        <v>0</v>
      </c>
      <c r="BA42" s="3589">
        <v>0</v>
      </c>
      <c r="BB42" s="3589">
        <v>0</v>
      </c>
      <c r="BC42" s="3586" t="s">
        <v>3870</v>
      </c>
      <c r="BD42" s="3586" t="s">
        <v>3870</v>
      </c>
      <c r="BE42" s="3586" t="s">
        <v>3870</v>
      </c>
      <c r="BF42" s="3586" t="s">
        <v>3870</v>
      </c>
      <c r="BG42" s="3586" t="s">
        <v>3870</v>
      </c>
      <c r="BH42" s="3586" t="s">
        <v>3870</v>
      </c>
      <c r="BI42" s="3586" t="s">
        <v>3870</v>
      </c>
      <c r="BJ42" s="3586" t="s">
        <v>3870</v>
      </c>
      <c r="BK42" s="3584" t="s">
        <v>3843</v>
      </c>
      <c r="BL42" s="3586" t="s">
        <v>3870</v>
      </c>
      <c r="BM42" s="3584" t="s">
        <v>3553</v>
      </c>
      <c r="BN42" s="3586" t="s">
        <v>3870</v>
      </c>
      <c r="BO42" s="3599" t="s">
        <v>3870</v>
      </c>
      <c r="BP42" s="3598" t="s">
        <v>3870</v>
      </c>
      <c r="BQ42" s="3599" t="s">
        <v>3870</v>
      </c>
      <c r="BR42" s="3599" t="s">
        <v>3870</v>
      </c>
      <c r="BS42" s="3599" t="s">
        <v>3870</v>
      </c>
      <c r="BT42" s="3601" t="s">
        <v>3881</v>
      </c>
      <c r="BU42" s="3601" t="s">
        <v>3875</v>
      </c>
      <c r="BV42" s="3602">
        <v>45089</v>
      </c>
      <c r="BW42" s="3600" t="s">
        <v>3876</v>
      </c>
      <c r="BX42" s="3627">
        <v>45089</v>
      </c>
    </row>
    <row r="43" spans="1:77" s="3605" customFormat="1" ht="12.75" thickBot="1">
      <c r="A43" s="3577" t="s">
        <v>3882</v>
      </c>
      <c r="B43" s="3578" t="s">
        <v>3883</v>
      </c>
      <c r="C43" s="3579" t="s">
        <v>3884</v>
      </c>
      <c r="D43" s="3579" t="str">
        <f t="shared" si="3"/>
        <v>西城区西绒线胡同26号院1-13号1层10、13号,2层11、12号商业用房；西城区油坊胡同2号楼1层101、2层210商业及办公用房</v>
      </c>
      <c r="E43" s="3579" t="s">
        <v>3865</v>
      </c>
      <c r="F43" s="3579" t="s">
        <v>3865</v>
      </c>
      <c r="G43" s="3579" t="s">
        <v>3866</v>
      </c>
      <c r="H43" s="3580" t="s">
        <v>3867</v>
      </c>
      <c r="I43" s="3581" t="s">
        <v>3868</v>
      </c>
      <c r="J43" s="3582" t="s">
        <v>3684</v>
      </c>
      <c r="K43" s="3583" t="s">
        <v>3885</v>
      </c>
      <c r="L43" s="3584" t="s">
        <v>21</v>
      </c>
      <c r="M43" s="3585" t="s">
        <v>3808</v>
      </c>
      <c r="N43" s="3584" t="s">
        <v>3686</v>
      </c>
      <c r="O43" s="3584" t="s">
        <v>3819</v>
      </c>
      <c r="P43" s="3584" t="s">
        <v>3870</v>
      </c>
      <c r="Q43" s="3586">
        <v>16</v>
      </c>
      <c r="R43" s="3586">
        <v>0</v>
      </c>
      <c r="S43" s="3622" t="s">
        <v>3871</v>
      </c>
      <c r="T43" s="3584" t="s">
        <v>3690</v>
      </c>
      <c r="U43" s="3584" t="s">
        <v>3691</v>
      </c>
      <c r="V43" s="3586">
        <v>20</v>
      </c>
      <c r="W43" s="3586">
        <v>35</v>
      </c>
      <c r="X43" s="3586" t="s">
        <v>3870</v>
      </c>
      <c r="Y43" s="3586" t="s">
        <v>3870</v>
      </c>
      <c r="Z43" s="3586">
        <v>3</v>
      </c>
      <c r="AA43" s="3586" t="s">
        <v>3870</v>
      </c>
      <c r="AB43" s="3586">
        <v>2008</v>
      </c>
      <c r="AC43" s="3586" t="s">
        <v>3870</v>
      </c>
      <c r="AD43" s="3586" t="s">
        <v>3870</v>
      </c>
      <c r="AE43" s="3586" t="s">
        <v>3870</v>
      </c>
      <c r="AF43" s="3586" t="s">
        <v>3870</v>
      </c>
      <c r="AG43" s="3586" t="s">
        <v>3870</v>
      </c>
      <c r="AH43" s="3586" t="s">
        <v>3870</v>
      </c>
      <c r="AI43" s="3586" t="s">
        <v>3870</v>
      </c>
      <c r="AJ43" s="3586" t="s">
        <v>3870</v>
      </c>
      <c r="AK43" s="3589" t="s">
        <v>3886</v>
      </c>
      <c r="AL43" s="3586" t="s">
        <v>3870</v>
      </c>
      <c r="AM43" s="3584" t="s">
        <v>3887</v>
      </c>
      <c r="AN43" s="3584" t="s">
        <v>3870</v>
      </c>
      <c r="AO43" s="3586" t="s">
        <v>3870</v>
      </c>
      <c r="AP43" s="3586" t="s">
        <v>3870</v>
      </c>
      <c r="AQ43" s="3589">
        <v>1677.41</v>
      </c>
      <c r="AR43" s="3590">
        <f>AQ43</f>
        <v>1677.41</v>
      </c>
      <c r="AS43" s="3589">
        <f>AR43</f>
        <v>1677.41</v>
      </c>
      <c r="AT43" s="3591">
        <f t="shared" si="1"/>
        <v>1</v>
      </c>
      <c r="AU43" s="3586" t="s">
        <v>3870</v>
      </c>
      <c r="AV43" s="3584" t="s">
        <v>3698</v>
      </c>
      <c r="AW43" s="3592" t="s">
        <v>3842</v>
      </c>
      <c r="AX43" s="3589">
        <v>7</v>
      </c>
      <c r="AY43" s="3593">
        <f t="shared" si="2"/>
        <v>7</v>
      </c>
      <c r="AZ43" s="3594">
        <v>0</v>
      </c>
      <c r="BA43" s="3589">
        <v>0</v>
      </c>
      <c r="BB43" s="3589">
        <v>0</v>
      </c>
      <c r="BC43" s="3586" t="s">
        <v>3870</v>
      </c>
      <c r="BD43" s="3595">
        <v>44866</v>
      </c>
      <c r="BE43" s="3595">
        <v>48518</v>
      </c>
      <c r="BF43" s="3589">
        <v>10</v>
      </c>
      <c r="BG43" s="3589">
        <v>6</v>
      </c>
      <c r="BH43" s="3589" t="s">
        <v>3888</v>
      </c>
      <c r="BI43" s="3596">
        <v>1.77E-2</v>
      </c>
      <c r="BJ43" s="3586" t="s">
        <v>3873</v>
      </c>
      <c r="BK43" s="3584" t="s">
        <v>3701</v>
      </c>
      <c r="BL43" s="3595">
        <v>44866</v>
      </c>
      <c r="BM43" s="3584" t="s">
        <v>3553</v>
      </c>
      <c r="BN43" s="3586" t="s">
        <v>3870</v>
      </c>
      <c r="BO43" s="3599" t="s">
        <v>3870</v>
      </c>
      <c r="BP43" s="3598" t="s">
        <v>3870</v>
      </c>
      <c r="BQ43" s="3599" t="s">
        <v>3870</v>
      </c>
      <c r="BR43" s="3599" t="s">
        <v>3870</v>
      </c>
      <c r="BS43" s="3599" t="s">
        <v>3870</v>
      </c>
      <c r="BT43" s="3599" t="s">
        <v>3870</v>
      </c>
      <c r="BU43" s="3601" t="s">
        <v>3875</v>
      </c>
      <c r="BV43" s="3602">
        <v>45105</v>
      </c>
      <c r="BW43" s="3603"/>
      <c r="BX43" s="3604"/>
    </row>
  </sheetData>
  <mergeCells count="51">
    <mergeCell ref="O1:O2"/>
    <mergeCell ref="B1:C1"/>
    <mergeCell ref="D1:D2"/>
    <mergeCell ref="I1:J1"/>
    <mergeCell ref="K1:L1"/>
    <mergeCell ref="M1:M2"/>
    <mergeCell ref="G31:G32"/>
    <mergeCell ref="B3:B4"/>
    <mergeCell ref="B5:B6"/>
    <mergeCell ref="B7:B9"/>
    <mergeCell ref="B14:B15"/>
    <mergeCell ref="B16:B24"/>
    <mergeCell ref="B25:B26"/>
    <mergeCell ref="A31:A32"/>
    <mergeCell ref="B31:B32"/>
    <mergeCell ref="C31:D31"/>
    <mergeCell ref="E31:E32"/>
    <mergeCell ref="F31:F32"/>
    <mergeCell ref="AF31:AG31"/>
    <mergeCell ref="H31:H32"/>
    <mergeCell ref="I31:I32"/>
    <mergeCell ref="J31:J32"/>
    <mergeCell ref="K31:L31"/>
    <mergeCell ref="M31:N31"/>
    <mergeCell ref="O31:P31"/>
    <mergeCell ref="Q31:T31"/>
    <mergeCell ref="U31:Y31"/>
    <mergeCell ref="Z31:AA31"/>
    <mergeCell ref="AB31:AC31"/>
    <mergeCell ref="AD31:AE31"/>
    <mergeCell ref="BH31:BI31"/>
    <mergeCell ref="AH31:AI31"/>
    <mergeCell ref="AJ31:AJ32"/>
    <mergeCell ref="AK31:AL31"/>
    <mergeCell ref="AM31:AN31"/>
    <mergeCell ref="AO31:AP31"/>
    <mergeCell ref="AQ31:AU31"/>
    <mergeCell ref="AV31:AV32"/>
    <mergeCell ref="AW31:AW32"/>
    <mergeCell ref="AX31:BB31"/>
    <mergeCell ref="BD31:BF31"/>
    <mergeCell ref="BG31:BG32"/>
    <mergeCell ref="BV31:BV32"/>
    <mergeCell ref="BW31:BW32"/>
    <mergeCell ref="BX31:BX32"/>
    <mergeCell ref="BJ31:BJ32"/>
    <mergeCell ref="BK31:BL31"/>
    <mergeCell ref="BM31:BN31"/>
    <mergeCell ref="BO31:BS31"/>
    <mergeCell ref="BT31:BT32"/>
    <mergeCell ref="BU31:BU32"/>
  </mergeCells>
  <phoneticPr fontId="134" type="noConversion"/>
  <pageMargins left="0.75" right="0.75" top="1" bottom="1" header="0.5" footer="0.5"/>
  <pageSetup paperSize="9" scale="63"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tabSelected="1" view="pageBreakPreview" topLeftCell="A13" zoomScale="90" zoomScaleSheetLayoutView="90" workbookViewId="0">
      <selection activeCell="L36" sqref="L36"/>
    </sheetView>
  </sheetViews>
  <sheetFormatPr defaultColWidth="9" defaultRowHeight="13.5"/>
  <cols>
    <col min="1" max="1" width="6.375" style="3451" customWidth="1"/>
    <col min="2" max="2" width="19.375" style="3526" customWidth="1"/>
    <col min="3" max="3" width="10.125" style="3512" customWidth="1"/>
    <col min="4" max="4" width="6.375" style="3512" customWidth="1"/>
    <col min="5" max="5" width="7.375" style="3512" customWidth="1"/>
    <col min="6" max="6" width="6.5" style="3512" customWidth="1"/>
    <col min="7" max="7" width="19.375" style="3527" customWidth="1"/>
    <col min="8" max="8" width="19.5" style="3451" customWidth="1"/>
    <col min="9" max="9" width="8.625" style="3451" customWidth="1"/>
    <col min="10" max="10" width="10.5" style="3447" customWidth="1"/>
    <col min="11" max="11" width="7.75" style="3480" customWidth="1"/>
    <col min="12" max="12" width="16.375" style="3480" customWidth="1"/>
    <col min="13" max="16" width="8.125" style="3451" customWidth="1"/>
    <col min="17" max="17" width="9" style="3451"/>
    <col min="18" max="18" width="20.375" style="3451" customWidth="1"/>
    <col min="19" max="20" width="9" style="3451"/>
    <col min="21" max="21" width="15.625" style="3451" customWidth="1"/>
    <col min="22" max="16384" width="9" style="3451"/>
  </cols>
  <sheetData>
    <row r="1" spans="1:16">
      <c r="A1" s="4158" t="s">
        <v>3368</v>
      </c>
      <c r="B1" s="4158"/>
      <c r="C1" s="4158"/>
      <c r="D1" s="4158"/>
      <c r="E1" s="4158"/>
      <c r="F1" s="4158"/>
      <c r="G1" s="4158"/>
      <c r="H1" s="4158"/>
      <c r="I1" s="4158"/>
      <c r="K1" s="4159" t="s">
        <v>3369</v>
      </c>
      <c r="L1" s="3448" t="s">
        <v>3370</v>
      </c>
      <c r="M1" s="3449">
        <v>0</v>
      </c>
      <c r="N1" s="3450"/>
      <c r="O1" s="3450"/>
    </row>
    <row r="2" spans="1:16" ht="15.75" customHeight="1">
      <c r="A2" s="3452" t="s">
        <v>3371</v>
      </c>
      <c r="B2" s="3453" t="s">
        <v>3372</v>
      </c>
      <c r="C2" s="4123" t="s">
        <v>3373</v>
      </c>
      <c r="D2" s="4124"/>
      <c r="E2" s="4124"/>
      <c r="F2" s="4125"/>
      <c r="G2" s="3454" t="s">
        <v>3374</v>
      </c>
      <c r="H2" s="4134" t="s">
        <v>3375</v>
      </c>
      <c r="I2" s="4134"/>
      <c r="K2" s="4159"/>
      <c r="L2" s="3448" t="s">
        <v>3376</v>
      </c>
      <c r="M2" s="3455" t="s">
        <v>3377</v>
      </c>
      <c r="N2" s="3456"/>
      <c r="O2" s="3456"/>
    </row>
    <row r="3" spans="1:16">
      <c r="A3" s="3457" t="s">
        <v>3378</v>
      </c>
      <c r="B3" s="3458" t="s">
        <v>3379</v>
      </c>
      <c r="C3" s="4123">
        <f>'比较法-商业售价'!B2*10000</f>
        <v>22330099</v>
      </c>
      <c r="D3" s="4124"/>
      <c r="E3" s="4124"/>
      <c r="F3" s="4125"/>
      <c r="G3" s="3457" t="s">
        <v>3380</v>
      </c>
      <c r="H3" s="3459" t="s">
        <v>3381</v>
      </c>
      <c r="I3" s="3460">
        <f>'数据-汇总表'!E3</f>
        <v>468.48</v>
      </c>
      <c r="J3" s="3447">
        <f>C3/I3</f>
        <v>47664.999573087429</v>
      </c>
      <c r="K3" s="4159"/>
      <c r="L3" s="3448" t="s">
        <v>3382</v>
      </c>
      <c r="M3" s="3455" t="s">
        <v>3383</v>
      </c>
      <c r="N3" s="3456"/>
      <c r="O3" s="3461"/>
    </row>
    <row r="4" spans="1:16">
      <c r="A4" s="4126" t="s">
        <v>3384</v>
      </c>
      <c r="B4" s="4127" t="s">
        <v>3385</v>
      </c>
      <c r="C4" s="4160">
        <f>ROUND(C3*(I4-I6)/(1-((1+I6)/(1+I4))^I5),0)</f>
        <v>1309612</v>
      </c>
      <c r="D4" s="4161"/>
      <c r="E4" s="4161"/>
      <c r="F4" s="4162"/>
      <c r="G4" s="4126" t="s">
        <v>3386</v>
      </c>
      <c r="H4" s="3462" t="s">
        <v>3387</v>
      </c>
      <c r="I4" s="3463">
        <v>7.0000000000000007E-2</v>
      </c>
      <c r="J4" s="3447">
        <f>'比较法-商业'!C49*365/J3</f>
        <v>9.5720130931797487E-2</v>
      </c>
      <c r="K4" s="4159"/>
      <c r="L4" s="3448" t="s">
        <v>3388</v>
      </c>
      <c r="M4" s="3464">
        <f>ROUND(1-(1-M1)*M2/M3,2)</f>
        <v>0.57999999999999996</v>
      </c>
      <c r="N4" s="3456"/>
      <c r="O4" s="3456"/>
    </row>
    <row r="5" spans="1:16" s="3468" customFormat="1" ht="18" customHeight="1">
      <c r="A5" s="4126"/>
      <c r="B5" s="4127"/>
      <c r="C5" s="4163"/>
      <c r="D5" s="4164"/>
      <c r="E5" s="4164"/>
      <c r="F5" s="4165"/>
      <c r="G5" s="4126"/>
      <c r="H5" s="3458" t="s">
        <v>3389</v>
      </c>
      <c r="I5" s="3465">
        <f>'数据-取费表'!F6</f>
        <v>40</v>
      </c>
      <c r="J5" s="3466"/>
      <c r="K5" s="4159"/>
      <c r="L5" s="3448" t="s">
        <v>3390</v>
      </c>
      <c r="M5" s="3467">
        <v>0.5</v>
      </c>
      <c r="N5" s="3456"/>
      <c r="O5" s="3456"/>
    </row>
    <row r="6" spans="1:16" s="3468" customFormat="1" ht="18" customHeight="1">
      <c r="A6" s="4126"/>
      <c r="B6" s="4127"/>
      <c r="C6" s="4166"/>
      <c r="D6" s="4167"/>
      <c r="E6" s="4167"/>
      <c r="F6" s="4168"/>
      <c r="G6" s="4126"/>
      <c r="H6" s="3458" t="s">
        <v>3391</v>
      </c>
      <c r="I6" s="3463">
        <v>0.02</v>
      </c>
      <c r="J6" s="3469"/>
      <c r="K6" s="4169" t="s">
        <v>3392</v>
      </c>
      <c r="L6" s="3470" t="s">
        <v>3393</v>
      </c>
      <c r="M6" s="3471" t="s">
        <v>3394</v>
      </c>
      <c r="N6" s="3471" t="s">
        <v>3395</v>
      </c>
      <c r="O6" s="3471" t="s">
        <v>3396</v>
      </c>
      <c r="P6" s="3471" t="s">
        <v>3397</v>
      </c>
    </row>
    <row r="7" spans="1:16" s="3468" customFormat="1" ht="17.25" customHeight="1">
      <c r="A7" s="3457" t="s">
        <v>3398</v>
      </c>
      <c r="B7" s="3458" t="s">
        <v>3399</v>
      </c>
      <c r="C7" s="4123">
        <f ca="1">ROUND(C23*I7,0)</f>
        <v>2195645</v>
      </c>
      <c r="D7" s="4124"/>
      <c r="E7" s="4124"/>
      <c r="F7" s="4125"/>
      <c r="G7" s="3454" t="s">
        <v>3400</v>
      </c>
      <c r="H7" s="3458" t="s">
        <v>3401</v>
      </c>
      <c r="I7" s="3472">
        <f>'数据-取费表'!N6</f>
        <v>0.7</v>
      </c>
      <c r="K7" s="4169"/>
      <c r="L7" s="3470" t="s">
        <v>3402</v>
      </c>
      <c r="M7" s="3471">
        <v>100</v>
      </c>
      <c r="N7" s="3471" t="s">
        <v>3403</v>
      </c>
      <c r="O7" s="3471">
        <v>60</v>
      </c>
      <c r="P7" s="3473">
        <v>0.3</v>
      </c>
    </row>
    <row r="8" spans="1:16" s="3468" customFormat="1" ht="23.25" customHeight="1">
      <c r="A8" s="3452" t="s">
        <v>3404</v>
      </c>
      <c r="B8" s="3458" t="s">
        <v>3405</v>
      </c>
      <c r="C8" s="4123">
        <f>ROUND(I8*I3,0)</f>
        <v>2108160</v>
      </c>
      <c r="D8" s="4124"/>
      <c r="E8" s="4124"/>
      <c r="F8" s="4125"/>
      <c r="G8" s="3454" t="s">
        <v>3406</v>
      </c>
      <c r="H8" s="3458" t="s">
        <v>3407</v>
      </c>
      <c r="I8" s="3474">
        <f>'数据-取费表'!L6</f>
        <v>4500</v>
      </c>
      <c r="J8" s="3475">
        <f>D36</f>
        <v>12.5</v>
      </c>
      <c r="K8" s="4169"/>
      <c r="L8" s="3470" t="s">
        <v>3408</v>
      </c>
      <c r="M8" s="3471">
        <v>100</v>
      </c>
      <c r="N8" s="3471" t="s">
        <v>3403</v>
      </c>
      <c r="O8" s="3471">
        <v>60</v>
      </c>
      <c r="P8" s="3473">
        <v>0.5</v>
      </c>
    </row>
    <row r="9" spans="1:16" s="3468" customFormat="1" ht="18" customHeight="1">
      <c r="A9" s="3452" t="s">
        <v>3409</v>
      </c>
      <c r="B9" s="3458" t="s">
        <v>3410</v>
      </c>
      <c r="C9" s="4123">
        <f>ROUND(C8*H9,0)</f>
        <v>63245</v>
      </c>
      <c r="D9" s="4124"/>
      <c r="E9" s="4124"/>
      <c r="F9" s="4125"/>
      <c r="G9" s="3454" t="s">
        <v>3411</v>
      </c>
      <c r="H9" s="4155">
        <f>'数据-取费表'!B33</f>
        <v>0.03</v>
      </c>
      <c r="I9" s="4155"/>
      <c r="J9" s="3475">
        <f>D37</f>
        <v>11.4</v>
      </c>
      <c r="K9" s="4169"/>
      <c r="L9" s="3470" t="s">
        <v>3412</v>
      </c>
      <c r="M9" s="3471">
        <v>100</v>
      </c>
      <c r="N9" s="3471" t="s">
        <v>3403</v>
      </c>
      <c r="O9" s="3471">
        <v>60</v>
      </c>
      <c r="P9" s="3473">
        <f>1-P7-P8</f>
        <v>0.19999999999999996</v>
      </c>
    </row>
    <row r="10" spans="1:16" s="3468" customFormat="1" ht="18" customHeight="1">
      <c r="A10" s="3452" t="s">
        <v>3413</v>
      </c>
      <c r="B10" s="3458" t="s">
        <v>3414</v>
      </c>
      <c r="C10" s="4123">
        <f>ROUND(C8*H10,0)</f>
        <v>0</v>
      </c>
      <c r="D10" s="4124"/>
      <c r="E10" s="4124"/>
      <c r="F10" s="4125"/>
      <c r="G10" s="3454" t="s">
        <v>3411</v>
      </c>
      <c r="H10" s="4155">
        <v>0</v>
      </c>
      <c r="I10" s="4155"/>
      <c r="J10" s="3475">
        <f>D38</f>
        <v>11.95</v>
      </c>
      <c r="K10" s="4169"/>
      <c r="L10" s="3476" t="s">
        <v>3390</v>
      </c>
      <c r="M10" s="3477">
        <f>1-M5</f>
        <v>0.5</v>
      </c>
      <c r="N10" s="3471" t="s">
        <v>3388</v>
      </c>
      <c r="O10" s="3478">
        <f>ROUND((O7*P7+O8*P8+O9*P9)/100,2)</f>
        <v>0.6</v>
      </c>
      <c r="P10" s="3479"/>
    </row>
    <row r="11" spans="1:16" s="3468" customFormat="1" ht="29.25" customHeight="1">
      <c r="A11" s="3452" t="s">
        <v>3415</v>
      </c>
      <c r="B11" s="3458" t="s">
        <v>3416</v>
      </c>
      <c r="C11" s="4123">
        <f>ROUND(I11*I3,0)</f>
        <v>93696</v>
      </c>
      <c r="D11" s="4124"/>
      <c r="E11" s="4124"/>
      <c r="F11" s="4125"/>
      <c r="G11" s="3454" t="s">
        <v>3417</v>
      </c>
      <c r="H11" s="3458" t="s">
        <v>3418</v>
      </c>
      <c r="I11" s="3454">
        <f>'数据-取费表'!B35</f>
        <v>200</v>
      </c>
      <c r="J11" s="3466"/>
      <c r="K11" s="3480"/>
      <c r="L11" s="3480"/>
      <c r="N11" s="3468">
        <f>(M4+O10)/2</f>
        <v>0.59</v>
      </c>
    </row>
    <row r="12" spans="1:16" s="3468" customFormat="1" ht="18" customHeight="1">
      <c r="A12" s="3452" t="s">
        <v>3419</v>
      </c>
      <c r="B12" s="3458" t="s">
        <v>3420</v>
      </c>
      <c r="C12" s="4123">
        <f>ROUND(C8*H12,0)</f>
        <v>31622</v>
      </c>
      <c r="D12" s="4124"/>
      <c r="E12" s="4124"/>
      <c r="F12" s="4125"/>
      <c r="G12" s="3454" t="s">
        <v>3411</v>
      </c>
      <c r="H12" s="4155">
        <f>'数据-取费表'!B36</f>
        <v>1.4999999999999999E-2</v>
      </c>
      <c r="I12" s="4155"/>
      <c r="J12" s="3481" t="s">
        <v>3421</v>
      </c>
      <c r="L12" s="3482"/>
    </row>
    <row r="13" spans="1:16" s="3468" customFormat="1" ht="18" customHeight="1">
      <c r="A13" s="3452" t="s">
        <v>438</v>
      </c>
      <c r="B13" s="3458" t="s">
        <v>3422</v>
      </c>
      <c r="C13" s="4123">
        <f>SUM(C8:F12)</f>
        <v>2296723</v>
      </c>
      <c r="D13" s="4124"/>
      <c r="E13" s="4124"/>
      <c r="F13" s="4125"/>
      <c r="G13" s="4134" t="s">
        <v>3423</v>
      </c>
      <c r="H13" s="4134"/>
      <c r="I13" s="4134"/>
      <c r="J13" s="3481" t="s">
        <v>3424</v>
      </c>
      <c r="L13" s="3482"/>
    </row>
    <row r="14" spans="1:16" s="3468" customFormat="1" ht="18" customHeight="1">
      <c r="A14" s="3452" t="s">
        <v>3425</v>
      </c>
      <c r="B14" s="3458" t="s">
        <v>3426</v>
      </c>
      <c r="C14" s="4123">
        <f>ROUND(C13*H14,0)</f>
        <v>45934</v>
      </c>
      <c r="D14" s="4124"/>
      <c r="E14" s="4124"/>
      <c r="F14" s="4125"/>
      <c r="G14" s="3454" t="s">
        <v>3427</v>
      </c>
      <c r="H14" s="4155">
        <v>0.02</v>
      </c>
      <c r="I14" s="4155"/>
      <c r="J14" s="3466"/>
      <c r="L14" s="3482"/>
    </row>
    <row r="15" spans="1:16" s="3468" customFormat="1" ht="18" customHeight="1">
      <c r="A15" s="3452" t="s">
        <v>393</v>
      </c>
      <c r="B15" s="3458" t="s">
        <v>3428</v>
      </c>
      <c r="C15" s="4137">
        <f>H15</f>
        <v>0.02</v>
      </c>
      <c r="D15" s="4138"/>
      <c r="E15" s="4153" t="str">
        <f>E18</f>
        <v>V</v>
      </c>
      <c r="F15" s="4154"/>
      <c r="G15" s="3454" t="s">
        <v>3429</v>
      </c>
      <c r="H15" s="4155">
        <v>0.02</v>
      </c>
      <c r="I15" s="4155"/>
      <c r="J15" s="3483"/>
      <c r="K15" s="3484"/>
    </row>
    <row r="16" spans="1:16" s="3468" customFormat="1" ht="18" customHeight="1">
      <c r="A16" s="3485" t="s">
        <v>394</v>
      </c>
      <c r="B16" s="3486" t="s">
        <v>3430</v>
      </c>
      <c r="C16" s="3487">
        <f ca="1">C17</f>
        <v>80822</v>
      </c>
      <c r="D16" s="3488" t="s">
        <v>3431</v>
      </c>
      <c r="E16" s="3489">
        <f ca="1">C18</f>
        <v>6.9000000000000008E-4</v>
      </c>
      <c r="F16" s="3490" t="str">
        <f>E18</f>
        <v>V</v>
      </c>
      <c r="G16" s="4123" t="s">
        <v>3432</v>
      </c>
      <c r="H16" s="4124"/>
      <c r="I16" s="4125"/>
      <c r="J16" s="3466"/>
      <c r="K16" s="3480"/>
    </row>
    <row r="17" spans="1:21" s="3468" customFormat="1" ht="18" customHeight="1">
      <c r="A17" s="3452" t="s">
        <v>3433</v>
      </c>
      <c r="B17" s="3458" t="s">
        <v>3434</v>
      </c>
      <c r="C17" s="4123">
        <f ca="1">ROUND((C13+C14)*I18*(I17/2),0)</f>
        <v>80822</v>
      </c>
      <c r="D17" s="4124"/>
      <c r="E17" s="4124"/>
      <c r="F17" s="4125"/>
      <c r="G17" s="3487" t="s">
        <v>3435</v>
      </c>
      <c r="H17" s="3458" t="s">
        <v>3436</v>
      </c>
      <c r="I17" s="3491">
        <f>'数据-取费表'!B21</f>
        <v>2</v>
      </c>
      <c r="J17" s="3481" t="s">
        <v>3437</v>
      </c>
      <c r="K17" s="3480"/>
      <c r="L17" s="3480"/>
    </row>
    <row r="18" spans="1:21" s="3468" customFormat="1" ht="18" customHeight="1">
      <c r="A18" s="3452" t="s">
        <v>3438</v>
      </c>
      <c r="B18" s="3458" t="s">
        <v>3439</v>
      </c>
      <c r="C18" s="4156">
        <f ca="1">H15*I18*I17/2</f>
        <v>6.9000000000000008E-4</v>
      </c>
      <c r="D18" s="4157"/>
      <c r="E18" s="4153" t="s">
        <v>3441</v>
      </c>
      <c r="F18" s="4154"/>
      <c r="G18" s="3487" t="s">
        <v>3442</v>
      </c>
      <c r="H18" s="3458" t="s">
        <v>3443</v>
      </c>
      <c r="I18" s="3492">
        <f ca="1">'数据-取费表'!B40</f>
        <v>3.4500000000000003E-2</v>
      </c>
      <c r="J18" s="3481" t="s">
        <v>3444</v>
      </c>
      <c r="K18" s="3480"/>
      <c r="L18" s="3480"/>
    </row>
    <row r="19" spans="1:21" s="3468" customFormat="1" ht="27" customHeight="1">
      <c r="A19" s="3452" t="s">
        <v>395</v>
      </c>
      <c r="B19" s="3458" t="s">
        <v>3445</v>
      </c>
      <c r="C19" s="3487">
        <f>C20</f>
        <v>468531</v>
      </c>
      <c r="D19" s="3488" t="s">
        <v>3431</v>
      </c>
      <c r="E19" s="3488">
        <f>C21</f>
        <v>4.0000000000000001E-3</v>
      </c>
      <c r="F19" s="3490" t="str">
        <f>E21</f>
        <v>V</v>
      </c>
      <c r="G19" s="4123" t="s">
        <v>3446</v>
      </c>
      <c r="H19" s="4124"/>
      <c r="I19" s="4125"/>
      <c r="J19" s="3466"/>
      <c r="K19" s="3480"/>
      <c r="L19" s="3480"/>
    </row>
    <row r="20" spans="1:21" s="3468" customFormat="1" ht="26.25" customHeight="1">
      <c r="A20" s="3452" t="s">
        <v>3447</v>
      </c>
      <c r="B20" s="3458" t="s">
        <v>3448</v>
      </c>
      <c r="C20" s="4123">
        <f>ROUND((C13+C14)*I20,0)</f>
        <v>468531</v>
      </c>
      <c r="D20" s="4124"/>
      <c r="E20" s="4124"/>
      <c r="F20" s="4125"/>
      <c r="G20" s="3454" t="s">
        <v>3449</v>
      </c>
      <c r="H20" s="4148" t="s">
        <v>3450</v>
      </c>
      <c r="I20" s="4150">
        <v>0.2</v>
      </c>
      <c r="J20" s="3481" t="s">
        <v>3451</v>
      </c>
      <c r="K20" s="3480"/>
      <c r="L20" s="3480"/>
      <c r="R20" s="3468" t="s">
        <v>3902</v>
      </c>
      <c r="S20" s="3468">
        <v>12</v>
      </c>
      <c r="T20" s="3468">
        <v>12</v>
      </c>
      <c r="U20" s="3646">
        <f>ROUND(U21*U22/365/0.8,1)</f>
        <v>11.4</v>
      </c>
    </row>
    <row r="21" spans="1:21" s="3468" customFormat="1" ht="27" customHeight="1">
      <c r="A21" s="3452" t="s">
        <v>3447</v>
      </c>
      <c r="B21" s="3458" t="s">
        <v>3452</v>
      </c>
      <c r="C21" s="4151">
        <f>H15*I20</f>
        <v>4.0000000000000001E-3</v>
      </c>
      <c r="D21" s="4152"/>
      <c r="E21" s="4153" t="s">
        <v>3440</v>
      </c>
      <c r="F21" s="4154"/>
      <c r="G21" s="3454" t="s">
        <v>3453</v>
      </c>
      <c r="H21" s="4149"/>
      <c r="I21" s="4150"/>
      <c r="J21" s="3466"/>
      <c r="K21" s="3480"/>
      <c r="L21" s="3480"/>
      <c r="R21" s="3468" t="s">
        <v>3899</v>
      </c>
      <c r="S21" s="3468">
        <f>S20*365*0.8/S22</f>
        <v>70080</v>
      </c>
      <c r="T21" s="3468">
        <v>50000</v>
      </c>
      <c r="U21" s="3468">
        <f>'比较法-商业售价'!C49</f>
        <v>47665</v>
      </c>
    </row>
    <row r="22" spans="1:21" s="3468" customFormat="1" ht="18" customHeight="1">
      <c r="A22" s="3452" t="s">
        <v>396</v>
      </c>
      <c r="B22" s="3458" t="s">
        <v>3454</v>
      </c>
      <c r="C22" s="4151">
        <f>ROUND(H22/1.05,4)</f>
        <v>5.33E-2</v>
      </c>
      <c r="D22" s="4152"/>
      <c r="E22" s="4153" t="s">
        <v>3440</v>
      </c>
      <c r="F22" s="4154"/>
      <c r="G22" s="3454" t="s">
        <v>3455</v>
      </c>
      <c r="H22" s="4155">
        <f>'数据-取费表'!B41</f>
        <v>5.6000000000000001E-2</v>
      </c>
      <c r="I22" s="4155"/>
      <c r="J22" s="3493"/>
      <c r="K22" s="3480"/>
      <c r="L22" s="3480"/>
      <c r="R22" s="3468" t="s">
        <v>3900</v>
      </c>
      <c r="S22" s="3649">
        <v>0.05</v>
      </c>
      <c r="T22" s="3649">
        <f>T20*365*0.8/T21</f>
        <v>7.0080000000000003E-2</v>
      </c>
      <c r="U22" s="3650">
        <v>7.0000000000000007E-2</v>
      </c>
    </row>
    <row r="23" spans="1:21" s="3468" customFormat="1" ht="18" customHeight="1">
      <c r="A23" s="3452" t="s">
        <v>3456</v>
      </c>
      <c r="B23" s="3458" t="s">
        <v>3457</v>
      </c>
      <c r="C23" s="4123">
        <f ca="1">ROUND((C13+C14+C17+C20)/(1-H15-C18-C21-C22),0)</f>
        <v>3136636</v>
      </c>
      <c r="D23" s="4124"/>
      <c r="E23" s="4124"/>
      <c r="F23" s="4125"/>
      <c r="G23" s="4123" t="s">
        <v>3458</v>
      </c>
      <c r="H23" s="4124"/>
      <c r="I23" s="4125"/>
      <c r="J23" s="3493"/>
      <c r="K23" s="3480"/>
      <c r="L23" s="3480"/>
      <c r="R23" s="3468" t="s">
        <v>3901</v>
      </c>
    </row>
    <row r="24" spans="1:21" s="3468" customFormat="1" ht="18" customHeight="1">
      <c r="A24" s="3452" t="s">
        <v>3459</v>
      </c>
      <c r="B24" s="3458" t="s">
        <v>3460</v>
      </c>
      <c r="C24" s="3494">
        <f ca="1">C27+C28</f>
        <v>17879</v>
      </c>
      <c r="D24" s="3495" t="s">
        <v>3461</v>
      </c>
      <c r="E24" s="4147">
        <f>H29+E26+H25</f>
        <v>0.18028571428571427</v>
      </c>
      <c r="F24" s="4140"/>
      <c r="G24" s="4134" t="s">
        <v>3462</v>
      </c>
      <c r="H24" s="4134"/>
      <c r="I24" s="4134"/>
      <c r="J24" s="3493"/>
      <c r="K24" s="3648">
        <f ca="1">C4/C30</f>
        <v>0.80867402386974396</v>
      </c>
      <c r="L24" s="3480"/>
    </row>
    <row r="25" spans="1:21" s="3468" customFormat="1" ht="18" customHeight="1">
      <c r="A25" s="3452" t="s">
        <v>438</v>
      </c>
      <c r="B25" s="3458" t="s">
        <v>3463</v>
      </c>
      <c r="C25" s="4137" t="s">
        <v>3464</v>
      </c>
      <c r="D25" s="4138"/>
      <c r="E25" s="4141">
        <f>ROUND(H25/1.05,4)</f>
        <v>5.33E-2</v>
      </c>
      <c r="F25" s="4142"/>
      <c r="G25" s="3454" t="s">
        <v>3465</v>
      </c>
      <c r="H25" s="4135">
        <f>'数据-取费表'!B41</f>
        <v>5.6000000000000001E-2</v>
      </c>
      <c r="I25" s="4135"/>
      <c r="J25" s="3483"/>
      <c r="K25" s="3480"/>
      <c r="L25" s="3480"/>
    </row>
    <row r="26" spans="1:21" s="3468" customFormat="1" ht="18" customHeight="1">
      <c r="A26" s="3452" t="s">
        <v>3425</v>
      </c>
      <c r="B26" s="3458" t="s">
        <v>3466</v>
      </c>
      <c r="C26" s="4137" t="s">
        <v>3464</v>
      </c>
      <c r="D26" s="4138"/>
      <c r="E26" s="4143">
        <f>H26/1.05</f>
        <v>0.11428571428571428</v>
      </c>
      <c r="F26" s="4144"/>
      <c r="G26" s="3454"/>
      <c r="H26" s="4145">
        <f>'数据-取费表'!B51</f>
        <v>0.12</v>
      </c>
      <c r="I26" s="4146"/>
      <c r="J26" s="3483"/>
      <c r="K26" s="3480"/>
      <c r="L26" s="3480"/>
      <c r="M26" s="3647">
        <f>15*365*0.8/0.05</f>
        <v>87600</v>
      </c>
    </row>
    <row r="27" spans="1:21" s="3468" customFormat="1" ht="18" customHeight="1">
      <c r="A27" s="3452" t="s">
        <v>393</v>
      </c>
      <c r="B27" s="3458" t="s">
        <v>3467</v>
      </c>
      <c r="C27" s="4123">
        <f ca="1">ROUND(C23*H27,0)</f>
        <v>15683</v>
      </c>
      <c r="D27" s="4124"/>
      <c r="E27" s="4124"/>
      <c r="F27" s="4125"/>
      <c r="G27" s="3454" t="s">
        <v>3468</v>
      </c>
      <c r="H27" s="4135">
        <v>5.0000000000000001E-3</v>
      </c>
      <c r="I27" s="4135"/>
      <c r="J27" s="3483"/>
      <c r="K27" s="3480"/>
      <c r="L27" s="3480"/>
      <c r="M27" s="3468">
        <v>65000</v>
      </c>
      <c r="N27" s="3647">
        <f>15*365/0.09</f>
        <v>60833.333333333336</v>
      </c>
    </row>
    <row r="28" spans="1:21" s="3468" customFormat="1" ht="18" customHeight="1">
      <c r="A28" s="3452" t="s">
        <v>394</v>
      </c>
      <c r="B28" s="3458" t="s">
        <v>3469</v>
      </c>
      <c r="C28" s="4123">
        <f ca="1">ROUND(C7*H28,0)</f>
        <v>2196</v>
      </c>
      <c r="D28" s="4124"/>
      <c r="E28" s="4124"/>
      <c r="F28" s="4125"/>
      <c r="G28" s="3454" t="s">
        <v>3470</v>
      </c>
      <c r="H28" s="4136">
        <v>1E-3</v>
      </c>
      <c r="I28" s="4136"/>
      <c r="J28" s="3466"/>
      <c r="K28" s="3480"/>
      <c r="L28" s="3480"/>
      <c r="M28" s="3645">
        <f>M27/M26</f>
        <v>0.74200913242009137</v>
      </c>
    </row>
    <row r="29" spans="1:21" s="3468" customFormat="1" ht="18" customHeight="1">
      <c r="A29" s="3452" t="s">
        <v>395</v>
      </c>
      <c r="B29" s="3458" t="s">
        <v>3471</v>
      </c>
      <c r="C29" s="4137" t="s">
        <v>3464</v>
      </c>
      <c r="D29" s="4138"/>
      <c r="E29" s="4139">
        <f>H29</f>
        <v>0.01</v>
      </c>
      <c r="F29" s="4140"/>
      <c r="G29" s="3454" t="s">
        <v>3472</v>
      </c>
      <c r="H29" s="4135">
        <v>0.01</v>
      </c>
      <c r="I29" s="4135"/>
      <c r="J29" s="3496"/>
      <c r="K29" s="3480"/>
      <c r="L29" s="3480"/>
    </row>
    <row r="30" spans="1:21" s="3468" customFormat="1" ht="18" customHeight="1">
      <c r="A30" s="3457" t="s">
        <v>3473</v>
      </c>
      <c r="B30" s="3458" t="s">
        <v>3474</v>
      </c>
      <c r="C30" s="4123">
        <f ca="1">ROUND((C4+C24)/(1-E24),0)</f>
        <v>1619456</v>
      </c>
      <c r="D30" s="4124"/>
      <c r="E30" s="4124"/>
      <c r="F30" s="4125"/>
      <c r="G30" s="4126" t="s">
        <v>3475</v>
      </c>
      <c r="H30" s="4126"/>
      <c r="I30" s="4126"/>
      <c r="J30" s="3497" t="s">
        <v>3476</v>
      </c>
      <c r="K30" s="3480"/>
      <c r="L30" s="3480"/>
    </row>
    <row r="31" spans="1:21" s="3468" customFormat="1" ht="18" customHeight="1">
      <c r="A31" s="4126" t="s">
        <v>3477</v>
      </c>
      <c r="B31" s="4127" t="s">
        <v>3478</v>
      </c>
      <c r="C31" s="4128">
        <f ca="1">ROUND(C30/I31/I32/I3,2)</f>
        <v>10.52</v>
      </c>
      <c r="D31" s="4129"/>
      <c r="E31" s="4129"/>
      <c r="F31" s="4130"/>
      <c r="G31" s="4134" t="s">
        <v>3479</v>
      </c>
      <c r="H31" s="3458" t="s">
        <v>3480</v>
      </c>
      <c r="I31" s="3454">
        <v>365</v>
      </c>
      <c r="J31" s="3498"/>
      <c r="K31" s="3480"/>
      <c r="L31" s="3480"/>
    </row>
    <row r="32" spans="1:21" s="3468" customFormat="1" ht="18" customHeight="1">
      <c r="A32" s="4126"/>
      <c r="B32" s="4127"/>
      <c r="C32" s="4131"/>
      <c r="D32" s="4132"/>
      <c r="E32" s="4132"/>
      <c r="F32" s="4133"/>
      <c r="G32" s="4134"/>
      <c r="H32" s="3458" t="s">
        <v>3481</v>
      </c>
      <c r="I32" s="3499">
        <v>0.9</v>
      </c>
      <c r="J32" s="3500"/>
      <c r="K32" s="3480"/>
      <c r="L32" s="3501"/>
    </row>
    <row r="33" spans="1:13" s="3468" customFormat="1" ht="18" customHeight="1">
      <c r="A33" s="3451"/>
      <c r="B33" s="3502"/>
      <c r="C33" s="3503"/>
      <c r="D33" s="3503"/>
      <c r="E33" s="3503"/>
      <c r="F33" s="3503"/>
      <c r="G33" s="3504"/>
      <c r="H33" s="3505"/>
      <c r="I33" s="3451"/>
      <c r="J33" s="3506"/>
      <c r="K33" s="3480"/>
      <c r="L33" s="3501"/>
    </row>
    <row r="34" spans="1:13" s="3468" customFormat="1" ht="18" customHeight="1">
      <c r="A34" s="3451"/>
      <c r="B34" s="4116" t="s">
        <v>3482</v>
      </c>
      <c r="C34" s="4116"/>
      <c r="D34" s="4116"/>
      <c r="E34" s="4116"/>
      <c r="F34" s="4116"/>
      <c r="G34" s="3507"/>
      <c r="H34" s="3508"/>
      <c r="I34" s="3509"/>
      <c r="J34" s="3466"/>
      <c r="K34" s="3480"/>
      <c r="L34" s="3480"/>
      <c r="M34" s="3451"/>
    </row>
    <row r="35" spans="1:13" s="3468" customFormat="1" ht="18" customHeight="1">
      <c r="A35" s="3451"/>
      <c r="B35" s="3510" t="s">
        <v>3483</v>
      </c>
      <c r="C35" s="3511" t="s">
        <v>3397</v>
      </c>
      <c r="D35" s="4117" t="s">
        <v>3484</v>
      </c>
      <c r="E35" s="4117"/>
      <c r="F35" s="4117"/>
      <c r="G35" s="3507"/>
      <c r="H35" s="3508"/>
      <c r="I35" s="3512"/>
      <c r="J35" s="3493"/>
      <c r="K35" s="3451"/>
      <c r="L35" s="3451"/>
      <c r="M35" s="3451"/>
    </row>
    <row r="36" spans="1:13">
      <c r="B36" s="3510" t="s">
        <v>3485</v>
      </c>
      <c r="C36" s="3513">
        <v>0.5</v>
      </c>
      <c r="D36" s="4118">
        <f>'比较法-商业'!C49</f>
        <v>12.5</v>
      </c>
      <c r="E36" s="4118"/>
      <c r="F36" s="4118"/>
      <c r="G36" s="3507"/>
      <c r="H36" s="3508"/>
      <c r="I36" s="3512"/>
      <c r="K36" s="3451"/>
      <c r="L36" s="3451"/>
    </row>
    <row r="37" spans="1:13" ht="20.100000000000001" customHeight="1">
      <c r="B37" s="3510" t="s">
        <v>3486</v>
      </c>
      <c r="C37" s="3513">
        <f>1-C36</f>
        <v>0.5</v>
      </c>
      <c r="D37" s="4118">
        <f>U20</f>
        <v>11.4</v>
      </c>
      <c r="E37" s="4118"/>
      <c r="F37" s="4118"/>
      <c r="G37" s="3514">
        <f>(D37-D36)/D37</f>
        <v>-9.6491228070175405E-2</v>
      </c>
      <c r="H37" s="3515"/>
      <c r="I37" s="3516"/>
      <c r="J37" s="3451"/>
      <c r="K37" s="3451"/>
      <c r="L37" s="3451"/>
    </row>
    <row r="38" spans="1:13" ht="22.5" customHeight="1">
      <c r="B38" s="4119" t="s">
        <v>3487</v>
      </c>
      <c r="C38" s="4119"/>
      <c r="D38" s="4120">
        <f>ROUND(D36*C36+D37*C37,2)</f>
        <v>11.95</v>
      </c>
      <c r="E38" s="4121"/>
      <c r="F38" s="4122"/>
      <c r="G38" s="3507"/>
      <c r="H38" s="3515"/>
      <c r="I38" s="3516"/>
      <c r="J38" s="3451">
        <f>8.2*365</f>
        <v>2992.9999999999995</v>
      </c>
      <c r="K38" s="3451"/>
      <c r="L38" s="3451"/>
    </row>
    <row r="39" spans="1:13" ht="22.5" customHeight="1">
      <c r="B39" s="3510" t="s">
        <v>3488</v>
      </c>
      <c r="C39" s="3517">
        <f>ROUND(D38*0.9,1)</f>
        <v>10.8</v>
      </c>
      <c r="D39" s="3518" t="s">
        <v>3489</v>
      </c>
      <c r="E39" s="4114">
        <f>ROUND(D38*1.1,1)</f>
        <v>13.1</v>
      </c>
      <c r="F39" s="4114"/>
      <c r="G39" s="3519"/>
      <c r="H39" s="3520"/>
      <c r="J39" s="3451" t="e">
        <f ca="1">'成本法 (元)'!B3</f>
        <v>#DIV/0!</v>
      </c>
      <c r="K39" s="3451"/>
      <c r="L39" s="3451"/>
    </row>
    <row r="40" spans="1:13" ht="18" customHeight="1">
      <c r="B40" s="3510" t="s">
        <v>3490</v>
      </c>
      <c r="C40" s="3521">
        <f>ROUND(C39*365/12,0)</f>
        <v>329</v>
      </c>
      <c r="D40" s="3518" t="s">
        <v>3489</v>
      </c>
      <c r="E40" s="4115">
        <f>ROUND(E39*365/12,0)</f>
        <v>398</v>
      </c>
      <c r="F40" s="4115"/>
      <c r="G40" s="3522" t="s">
        <v>3491</v>
      </c>
      <c r="H40" s="3522">
        <f>ROUND(65*12/365,2)</f>
        <v>2.14</v>
      </c>
      <c r="J40" s="3451" t="e">
        <f ca="1">J38/J39</f>
        <v>#DIV/0!</v>
      </c>
      <c r="K40" s="3451"/>
      <c r="L40" s="3451"/>
    </row>
    <row r="41" spans="1:13" ht="18" customHeight="1">
      <c r="B41" s="3523"/>
      <c r="C41" s="3524"/>
      <c r="D41" s="3508"/>
      <c r="E41" s="3508"/>
      <c r="F41" s="3508"/>
      <c r="G41" s="3519"/>
      <c r="H41" s="3525"/>
      <c r="J41" s="3451"/>
    </row>
    <row r="42" spans="1:13" ht="18" customHeight="1">
      <c r="B42" s="3519" t="s">
        <v>3492</v>
      </c>
      <c r="C42" s="3508"/>
      <c r="D42" s="3508"/>
      <c r="E42" s="3519" t="s">
        <v>3493</v>
      </c>
      <c r="F42" s="3508"/>
      <c r="G42" s="3519"/>
      <c r="H42" s="3519" t="s">
        <v>3494</v>
      </c>
      <c r="J42" s="3451"/>
    </row>
    <row r="43" spans="1:13" ht="29.25" customHeight="1"/>
    <row r="45" spans="1:13" ht="175.5">
      <c r="C45" s="3512" t="s">
        <v>3904</v>
      </c>
      <c r="D45" s="3512" t="s">
        <v>3903</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2588</v>
      </c>
      <c r="B1" s="3070" t="s">
        <v>2589</v>
      </c>
      <c r="C1" s="3070" t="s">
        <v>2590</v>
      </c>
      <c r="D1" s="3070" t="s">
        <v>2591</v>
      </c>
      <c r="E1" s="3070" t="s">
        <v>2592</v>
      </c>
      <c r="F1" s="3070" t="s">
        <v>2593</v>
      </c>
      <c r="G1" s="3070" t="s">
        <v>2594</v>
      </c>
      <c r="H1" s="3070" t="s">
        <v>2595</v>
      </c>
      <c r="I1" s="3070" t="s">
        <v>2596</v>
      </c>
      <c r="J1" s="3070" t="s">
        <v>2597</v>
      </c>
      <c r="K1" s="3070" t="s">
        <v>2598</v>
      </c>
      <c r="L1" s="3070" t="s">
        <v>2599</v>
      </c>
      <c r="M1" s="3071" t="s">
        <v>2600</v>
      </c>
    </row>
    <row r="2" spans="1:13" ht="19.5" customHeight="1">
      <c r="A2" s="3073" t="s">
        <v>2601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2617</v>
      </c>
      <c r="B18" s="3095"/>
      <c r="C18" s="3096"/>
      <c r="D18" s="3096"/>
      <c r="E18" s="3095"/>
      <c r="F18" s="3096"/>
      <c r="G18" s="3096"/>
    </row>
    <row r="19" spans="1:13" ht="19.5" customHeight="1" thickBot="1">
      <c r="A19" s="3093" t="s">
        <v>2618</v>
      </c>
      <c r="B19" s="3098" t="s">
        <v>2619</v>
      </c>
      <c r="C19" s="3098" t="s">
        <v>2620</v>
      </c>
      <c r="D19" s="3099"/>
      <c r="E19" s="3093" t="s">
        <v>2621</v>
      </c>
      <c r="F19" s="3100"/>
      <c r="G19" s="3100"/>
    </row>
    <row r="20" spans="1:13" ht="19.5" customHeight="1">
      <c r="A20" s="4179" t="s">
        <v>2601</v>
      </c>
      <c r="B20" s="4174" t="s">
        <v>2622</v>
      </c>
      <c r="C20" s="3101" t="s">
        <v>2433</v>
      </c>
      <c r="D20" s="3102"/>
      <c r="E20" s="3103">
        <v>1</v>
      </c>
      <c r="F20" s="3104" t="s">
        <v>2434</v>
      </c>
      <c r="G20" s="3104"/>
    </row>
    <row r="21" spans="1:13" ht="19.5" customHeight="1">
      <c r="A21" s="4180"/>
      <c r="B21" s="4173"/>
      <c r="C21" s="3105" t="s">
        <v>2435</v>
      </c>
      <c r="D21" s="3106"/>
      <c r="E21" s="3107">
        <v>1</v>
      </c>
      <c r="F21" s="3104" t="s">
        <v>2436</v>
      </c>
      <c r="G21" s="3104"/>
    </row>
    <row r="22" spans="1:13" ht="19.5" customHeight="1">
      <c r="A22" s="4180"/>
      <c r="B22" s="4173"/>
      <c r="C22" s="3105" t="s">
        <v>2437</v>
      </c>
      <c r="D22" s="3106"/>
      <c r="E22" s="3107">
        <v>0.9</v>
      </c>
      <c r="F22" s="3104" t="s">
        <v>2438</v>
      </c>
      <c r="G22" s="3104"/>
    </row>
    <row r="23" spans="1:13" ht="19.5" customHeight="1">
      <c r="A23" s="4180"/>
      <c r="B23" s="4173"/>
      <c r="C23" s="3105" t="s">
        <v>2439</v>
      </c>
      <c r="D23" s="3106"/>
      <c r="E23" s="3107">
        <v>0.9</v>
      </c>
      <c r="F23" s="3104" t="s">
        <v>2440</v>
      </c>
      <c r="G23" s="3104"/>
    </row>
    <row r="24" spans="1:13" ht="19.5" customHeight="1">
      <c r="A24" s="4180"/>
      <c r="B24" s="4173"/>
      <c r="C24" s="3105" t="s">
        <v>2441</v>
      </c>
      <c r="D24" s="3106"/>
      <c r="E24" s="3107">
        <v>0.8</v>
      </c>
      <c r="F24" s="3104" t="s">
        <v>2442</v>
      </c>
      <c r="G24" s="3104"/>
    </row>
    <row r="25" spans="1:13" ht="19.5" customHeight="1" thickBot="1">
      <c r="A25" s="4181"/>
      <c r="B25" s="4175"/>
      <c r="C25" s="3108" t="s">
        <v>2443</v>
      </c>
      <c r="D25" s="3109"/>
      <c r="E25" s="3110">
        <v>0.8</v>
      </c>
      <c r="F25" s="3104" t="s">
        <v>2444</v>
      </c>
      <c r="G25" s="3104"/>
    </row>
    <row r="26" spans="1:13" ht="19.5" customHeight="1" thickBot="1">
      <c r="A26" s="3111" t="s">
        <v>2623</v>
      </c>
      <c r="B26" s="3112" t="s">
        <v>2622</v>
      </c>
      <c r="C26" s="3113" t="s">
        <v>2624</v>
      </c>
      <c r="D26" s="3114"/>
      <c r="E26" s="3115">
        <v>1</v>
      </c>
      <c r="F26" s="3104" t="s">
        <v>2445</v>
      </c>
      <c r="G26" s="3104"/>
    </row>
    <row r="27" spans="1:13" ht="19.5" customHeight="1">
      <c r="A27" s="4176" t="s">
        <v>2625</v>
      </c>
      <c r="B27" s="4174" t="s">
        <v>2606</v>
      </c>
      <c r="C27" s="3101" t="s">
        <v>2446</v>
      </c>
      <c r="D27" s="3102"/>
      <c r="E27" s="3103">
        <v>1</v>
      </c>
      <c r="F27" s="3104" t="s">
        <v>2447</v>
      </c>
      <c r="G27" s="3104"/>
    </row>
    <row r="28" spans="1:13" ht="19.5" customHeight="1">
      <c r="A28" s="4177"/>
      <c r="B28" s="4173"/>
      <c r="C28" s="3105" t="s">
        <v>2448</v>
      </c>
      <c r="D28" s="3106"/>
      <c r="E28" s="3107">
        <v>1</v>
      </c>
      <c r="F28" s="3104" t="s">
        <v>2449</v>
      </c>
      <c r="G28" s="3104"/>
    </row>
    <row r="29" spans="1:13" ht="19.5" customHeight="1">
      <c r="A29" s="4177"/>
      <c r="B29" s="4173"/>
      <c r="C29" s="3105" t="s">
        <v>2450</v>
      </c>
      <c r="D29" s="3106"/>
      <c r="E29" s="3107">
        <v>0.8</v>
      </c>
      <c r="F29" s="3104" t="s">
        <v>2451</v>
      </c>
      <c r="G29" s="3104"/>
    </row>
    <row r="30" spans="1:13" ht="19.5" customHeight="1">
      <c r="A30" s="4177"/>
      <c r="B30" s="4173"/>
      <c r="C30" s="3105" t="s">
        <v>2452</v>
      </c>
      <c r="D30" s="3106"/>
      <c r="E30" s="3107">
        <v>0.8</v>
      </c>
      <c r="F30" s="3104" t="s">
        <v>2453</v>
      </c>
      <c r="G30" s="3104"/>
    </row>
    <row r="31" spans="1:13" ht="19.5" customHeight="1">
      <c r="A31" s="4177"/>
      <c r="B31" s="4173"/>
      <c r="C31" s="3105" t="s">
        <v>2454</v>
      </c>
      <c r="D31" s="3106"/>
      <c r="E31" s="3107">
        <v>0.8</v>
      </c>
      <c r="F31" s="3104" t="s">
        <v>2455</v>
      </c>
      <c r="G31" s="3104"/>
    </row>
    <row r="32" spans="1:13" ht="19.5" customHeight="1">
      <c r="A32" s="4177"/>
      <c r="B32" s="4173"/>
      <c r="C32" s="3105" t="s">
        <v>2456</v>
      </c>
      <c r="D32" s="3106"/>
      <c r="E32" s="3107">
        <v>0.7</v>
      </c>
      <c r="F32" s="3104" t="s">
        <v>2457</v>
      </c>
      <c r="G32" s="3104"/>
    </row>
    <row r="33" spans="1:7" ht="19.5" customHeight="1">
      <c r="A33" s="4177"/>
      <c r="B33" s="4173"/>
      <c r="C33" s="3105" t="s">
        <v>2458</v>
      </c>
      <c r="D33" s="3106"/>
      <c r="E33" s="3107">
        <v>0.8</v>
      </c>
      <c r="F33" s="3104" t="s">
        <v>2459</v>
      </c>
      <c r="G33" s="3104"/>
    </row>
    <row r="34" spans="1:7" ht="19.5" customHeight="1">
      <c r="A34" s="4177"/>
      <c r="B34" s="4173"/>
      <c r="C34" s="3105" t="s">
        <v>2460</v>
      </c>
      <c r="D34" s="3106"/>
      <c r="E34" s="3107">
        <v>0.6</v>
      </c>
      <c r="F34" s="3104" t="s">
        <v>2461</v>
      </c>
      <c r="G34" s="3104"/>
    </row>
    <row r="35" spans="1:7" ht="19.5" customHeight="1">
      <c r="A35" s="4177"/>
      <c r="B35" s="4173"/>
      <c r="C35" s="3105" t="s">
        <v>2462</v>
      </c>
      <c r="D35" s="3106"/>
      <c r="E35" s="3107">
        <v>0.2</v>
      </c>
      <c r="F35" s="3104" t="s">
        <v>2463</v>
      </c>
      <c r="G35" s="3104"/>
    </row>
    <row r="36" spans="1:7" ht="19.5" customHeight="1">
      <c r="A36" s="4177"/>
      <c r="B36" s="4173"/>
      <c r="C36" s="3105" t="s">
        <v>2464</v>
      </c>
      <c r="D36" s="3106"/>
      <c r="E36" s="3107">
        <v>0.2</v>
      </c>
      <c r="F36" s="3104" t="s">
        <v>2465</v>
      </c>
      <c r="G36" s="3104"/>
    </row>
    <row r="37" spans="1:7" ht="19.5" customHeight="1">
      <c r="A37" s="4177"/>
      <c r="B37" s="4171" t="s">
        <v>2626</v>
      </c>
      <c r="C37" s="3105" t="s">
        <v>2466</v>
      </c>
      <c r="D37" s="3106"/>
      <c r="E37" s="3107">
        <v>0.6</v>
      </c>
      <c r="F37" s="3104" t="s">
        <v>2467</v>
      </c>
      <c r="G37" s="3104"/>
    </row>
    <row r="38" spans="1:7" ht="19.5" customHeight="1">
      <c r="A38" s="4177"/>
      <c r="B38" s="4173"/>
      <c r="C38" s="3105" t="s">
        <v>2468</v>
      </c>
      <c r="D38" s="3106"/>
      <c r="E38" s="3107">
        <v>0.6</v>
      </c>
      <c r="F38" s="3104" t="s">
        <v>2469</v>
      </c>
      <c r="G38" s="3104"/>
    </row>
    <row r="39" spans="1:7" ht="19.5" customHeight="1" thickBot="1">
      <c r="A39" s="4178"/>
      <c r="B39" s="4175"/>
      <c r="C39" s="3108" t="s">
        <v>2470</v>
      </c>
      <c r="D39" s="3109"/>
      <c r="E39" s="3110">
        <v>0.6</v>
      </c>
      <c r="F39" s="3104" t="s">
        <v>2471</v>
      </c>
      <c r="G39" s="3104"/>
    </row>
    <row r="40" spans="1:7" ht="19.5" customHeight="1" thickBot="1">
      <c r="A40" s="3111" t="s">
        <v>2603</v>
      </c>
      <c r="B40" s="3112" t="s">
        <v>2603</v>
      </c>
      <c r="C40" s="3113" t="s">
        <v>2627</v>
      </c>
      <c r="D40" s="3114"/>
      <c r="E40" s="3115">
        <v>1</v>
      </c>
      <c r="F40" s="3104" t="s">
        <v>2472</v>
      </c>
      <c r="G40" s="3104"/>
    </row>
    <row r="41" spans="1:7" ht="19.5" customHeight="1">
      <c r="A41" s="4179" t="s">
        <v>2604</v>
      </c>
      <c r="B41" s="4174" t="s">
        <v>2628</v>
      </c>
      <c r="C41" s="3101" t="s">
        <v>2473</v>
      </c>
      <c r="D41" s="3102"/>
      <c r="E41" s="3103">
        <v>1</v>
      </c>
      <c r="F41" s="3104" t="s">
        <v>2474</v>
      </c>
      <c r="G41" s="3104"/>
    </row>
    <row r="42" spans="1:7" ht="19.5" customHeight="1">
      <c r="A42" s="4180"/>
      <c r="B42" s="4173"/>
      <c r="C42" s="3105" t="s">
        <v>2475</v>
      </c>
      <c r="D42" s="3106"/>
      <c r="E42" s="3107">
        <v>1</v>
      </c>
      <c r="F42" s="3104" t="s">
        <v>2476</v>
      </c>
      <c r="G42" s="3104"/>
    </row>
    <row r="43" spans="1:7" ht="19.5" customHeight="1">
      <c r="A43" s="4180"/>
      <c r="B43" s="4172"/>
      <c r="C43" s="3105" t="s">
        <v>2477</v>
      </c>
      <c r="D43" s="3106"/>
      <c r="E43" s="3107">
        <v>1.5</v>
      </c>
      <c r="F43" s="3104" t="s">
        <v>2478</v>
      </c>
      <c r="G43" s="3104"/>
    </row>
    <row r="44" spans="1:7" ht="19.5" customHeight="1">
      <c r="A44" s="4180"/>
      <c r="B44" s="3116" t="s">
        <v>2629</v>
      </c>
      <c r="C44" s="3105" t="s">
        <v>2630</v>
      </c>
      <c r="D44" s="3106"/>
      <c r="E44" s="3107">
        <v>2</v>
      </c>
      <c r="F44" s="3104" t="s">
        <v>2479</v>
      </c>
      <c r="G44" s="3104"/>
    </row>
    <row r="45" spans="1:7" ht="19.5" customHeight="1">
      <c r="A45" s="4180"/>
      <c r="B45" s="4171" t="s">
        <v>2631</v>
      </c>
      <c r="C45" s="3105" t="s">
        <v>2480</v>
      </c>
      <c r="D45" s="3106"/>
      <c r="E45" s="3107">
        <v>1</v>
      </c>
      <c r="F45" s="3104" t="s">
        <v>2481</v>
      </c>
      <c r="G45" s="3104"/>
    </row>
    <row r="46" spans="1:7" ht="19.5" customHeight="1">
      <c r="A46" s="4180"/>
      <c r="B46" s="4173"/>
      <c r="C46" s="3105" t="s">
        <v>2482</v>
      </c>
      <c r="D46" s="3106"/>
      <c r="E46" s="3107">
        <v>1</v>
      </c>
      <c r="F46" s="3104" t="s">
        <v>2483</v>
      </c>
      <c r="G46" s="3104"/>
    </row>
    <row r="47" spans="1:7" ht="19.5" customHeight="1">
      <c r="A47" s="4180"/>
      <c r="B47" s="4173"/>
      <c r="C47" s="3105" t="s">
        <v>2484</v>
      </c>
      <c r="D47" s="3106"/>
      <c r="E47" s="3107">
        <v>1</v>
      </c>
      <c r="F47" s="3104" t="s">
        <v>2485</v>
      </c>
      <c r="G47" s="3104"/>
    </row>
    <row r="48" spans="1:7" ht="19.5" customHeight="1">
      <c r="A48" s="4180"/>
      <c r="B48" s="4173"/>
      <c r="C48" s="3105" t="s">
        <v>2486</v>
      </c>
      <c r="D48" s="3106"/>
      <c r="E48" s="3107">
        <v>1</v>
      </c>
      <c r="F48" s="3104" t="s">
        <v>2487</v>
      </c>
      <c r="G48" s="3104"/>
    </row>
    <row r="49" spans="1:7" ht="19.5" customHeight="1">
      <c r="A49" s="4180"/>
      <c r="B49" s="4173"/>
      <c r="C49" s="3105" t="s">
        <v>2488</v>
      </c>
      <c r="D49" s="3106"/>
      <c r="E49" s="3107">
        <v>1</v>
      </c>
      <c r="F49" s="3104" t="s">
        <v>2489</v>
      </c>
      <c r="G49" s="3104"/>
    </row>
    <row r="50" spans="1:7" ht="19.5" customHeight="1">
      <c r="A50" s="4180"/>
      <c r="B50" s="4173"/>
      <c r="C50" s="3105" t="s">
        <v>2490</v>
      </c>
      <c r="D50" s="3106"/>
      <c r="E50" s="3107">
        <v>1</v>
      </c>
      <c r="F50" s="3104" t="s">
        <v>2491</v>
      </c>
      <c r="G50" s="3104"/>
    </row>
    <row r="51" spans="1:7" ht="19.5" customHeight="1" thickBot="1">
      <c r="A51" s="4181"/>
      <c r="B51" s="4175"/>
      <c r="C51" s="3108" t="s">
        <v>2492</v>
      </c>
      <c r="D51" s="3109"/>
      <c r="E51" s="3110">
        <v>1</v>
      </c>
      <c r="F51" s="3104" t="s">
        <v>2493</v>
      </c>
      <c r="G51" s="3104"/>
    </row>
    <row r="52" spans="1:7" ht="19.5" customHeight="1">
      <c r="A52" s="3117"/>
      <c r="B52" s="3117"/>
      <c r="C52" s="3117"/>
      <c r="D52" s="3117"/>
      <c r="E52" s="3117"/>
      <c r="F52" s="3117"/>
      <c r="G52" s="3117"/>
    </row>
    <row r="54" spans="1:7" ht="19.5" customHeight="1">
      <c r="A54" s="3118"/>
      <c r="B54" s="3090" t="s">
        <v>2632</v>
      </c>
      <c r="C54" s="3090" t="s">
        <v>2632</v>
      </c>
      <c r="D54" s="3090" t="s">
        <v>2632</v>
      </c>
      <c r="E54" s="3093" t="s">
        <v>2632</v>
      </c>
      <c r="F54" s="3093" t="s">
        <v>2633</v>
      </c>
      <c r="G54" s="3093" t="s">
        <v>2634</v>
      </c>
    </row>
    <row r="55" spans="1:7" ht="19.5" customHeight="1">
      <c r="A55" s="3119"/>
      <c r="B55" s="3093" t="s">
        <v>2601</v>
      </c>
      <c r="C55" s="3093" t="s">
        <v>2601</v>
      </c>
      <c r="D55" s="3093" t="s">
        <v>2601</v>
      </c>
      <c r="E55" s="3090" t="s">
        <v>2602</v>
      </c>
      <c r="F55" s="3090" t="s">
        <v>2604</v>
      </c>
      <c r="G55" s="3090" t="s">
        <v>2635</v>
      </c>
    </row>
    <row r="56" spans="1:7" ht="19.5" customHeight="1">
      <c r="A56" s="3120"/>
      <c r="B56" s="3090">
        <v>1</v>
      </c>
      <c r="C56" s="3090">
        <v>2</v>
      </c>
      <c r="D56" s="3090">
        <v>3</v>
      </c>
      <c r="E56" s="3121" t="s">
        <v>2636</v>
      </c>
      <c r="F56" s="3121" t="s">
        <v>2636</v>
      </c>
      <c r="G56" s="3121" t="s">
        <v>2636</v>
      </c>
    </row>
    <row r="57" spans="1:7" ht="19.5" customHeight="1">
      <c r="A57" s="3122" t="s">
        <v>2589</v>
      </c>
      <c r="B57" s="3090">
        <v>0.7</v>
      </c>
      <c r="C57" s="3090">
        <v>0.4</v>
      </c>
      <c r="D57" s="3090">
        <v>0.3</v>
      </c>
      <c r="E57" s="3121">
        <v>0.3</v>
      </c>
      <c r="F57" s="3090">
        <v>0.3</v>
      </c>
      <c r="G57" s="3090">
        <v>0.2</v>
      </c>
    </row>
    <row r="58" spans="1:7" ht="19.5" customHeight="1">
      <c r="A58" s="3122" t="s">
        <v>2590</v>
      </c>
      <c r="B58" s="3090">
        <v>0.7</v>
      </c>
      <c r="C58" s="3090">
        <v>0.4</v>
      </c>
      <c r="D58" s="3090">
        <v>0.3</v>
      </c>
      <c r="E58" s="3090">
        <v>0.3</v>
      </c>
      <c r="F58" s="3090">
        <v>0.3</v>
      </c>
      <c r="G58" s="3090">
        <v>0.2</v>
      </c>
    </row>
    <row r="59" spans="1:7" ht="19.5" customHeight="1">
      <c r="A59" s="3122" t="s">
        <v>2591</v>
      </c>
      <c r="B59" s="3090">
        <v>0.6</v>
      </c>
      <c r="C59" s="3090">
        <v>0.3</v>
      </c>
      <c r="D59" s="3090">
        <v>0.25</v>
      </c>
      <c r="E59" s="3090">
        <v>0.25</v>
      </c>
      <c r="F59" s="3090">
        <v>0.25</v>
      </c>
      <c r="G59" s="3090">
        <v>0.15</v>
      </c>
    </row>
    <row r="60" spans="1:7" ht="19.5" customHeight="1">
      <c r="A60" s="3122" t="s">
        <v>2592</v>
      </c>
      <c r="B60" s="3090">
        <v>0.6</v>
      </c>
      <c r="C60" s="3090">
        <v>0.3</v>
      </c>
      <c r="D60" s="3090">
        <v>0.25</v>
      </c>
      <c r="E60" s="3090">
        <v>0.25</v>
      </c>
      <c r="F60" s="3090">
        <v>0.25</v>
      </c>
      <c r="G60" s="3090">
        <v>0.15</v>
      </c>
    </row>
    <row r="61" spans="1:7" ht="19.5" customHeight="1">
      <c r="A61" s="3122" t="s">
        <v>2593</v>
      </c>
      <c r="B61" s="3090">
        <v>0.6</v>
      </c>
      <c r="C61" s="3090">
        <v>0.3</v>
      </c>
      <c r="D61" s="3090">
        <v>0.25</v>
      </c>
      <c r="E61" s="3090">
        <v>0.25</v>
      </c>
      <c r="F61" s="3090">
        <v>0.25</v>
      </c>
      <c r="G61" s="3090">
        <v>0.15</v>
      </c>
    </row>
    <row r="62" spans="1:7" ht="19.5" customHeight="1">
      <c r="A62" s="3122" t="s">
        <v>2594</v>
      </c>
      <c r="B62" s="3090">
        <v>0.6</v>
      </c>
      <c r="C62" s="3090">
        <v>0.3</v>
      </c>
      <c r="D62" s="3090">
        <v>0.25</v>
      </c>
      <c r="E62" s="3090">
        <v>0.25</v>
      </c>
      <c r="F62" s="3090">
        <v>0.25</v>
      </c>
      <c r="G62" s="3090">
        <v>0.15</v>
      </c>
    </row>
    <row r="63" spans="1:7" ht="19.5" customHeight="1">
      <c r="A63" s="3122" t="s">
        <v>2595</v>
      </c>
      <c r="B63" s="3090">
        <v>0.6</v>
      </c>
      <c r="C63" s="3090">
        <v>0.3</v>
      </c>
      <c r="D63" s="3090">
        <v>0.25</v>
      </c>
      <c r="E63" s="3090">
        <v>0.25</v>
      </c>
      <c r="F63" s="3090">
        <v>0.25</v>
      </c>
      <c r="G63" s="3090">
        <v>0.15</v>
      </c>
    </row>
    <row r="64" spans="1:7" ht="19.5" customHeight="1">
      <c r="A64" s="3122" t="s">
        <v>2596</v>
      </c>
      <c r="B64" s="3090">
        <v>0.5</v>
      </c>
      <c r="C64" s="3090">
        <v>0.2</v>
      </c>
      <c r="D64" s="3090">
        <v>0.2</v>
      </c>
      <c r="E64" s="3090">
        <v>0.2</v>
      </c>
      <c r="F64" s="3090">
        <v>0.2</v>
      </c>
      <c r="G64" s="3090">
        <v>0.1</v>
      </c>
    </row>
    <row r="65" spans="1:7" ht="19.5" customHeight="1">
      <c r="A65" s="3122" t="s">
        <v>2597</v>
      </c>
      <c r="B65" s="3090">
        <v>0.5</v>
      </c>
      <c r="C65" s="3090">
        <v>0.2</v>
      </c>
      <c r="D65" s="3090">
        <v>0.2</v>
      </c>
      <c r="E65" s="3090">
        <v>0.2</v>
      </c>
      <c r="F65" s="3090">
        <v>0.2</v>
      </c>
      <c r="G65" s="3090">
        <v>0.1</v>
      </c>
    </row>
    <row r="66" spans="1:7" ht="19.5" customHeight="1">
      <c r="A66" s="3122" t="s">
        <v>2598</v>
      </c>
      <c r="B66" s="3090">
        <v>0.5</v>
      </c>
      <c r="C66" s="3090">
        <v>0.2</v>
      </c>
      <c r="D66" s="3090">
        <v>0.2</v>
      </c>
      <c r="E66" s="3090">
        <v>0.2</v>
      </c>
      <c r="F66" s="3090">
        <v>0.2</v>
      </c>
      <c r="G66" s="3090">
        <v>0.1</v>
      </c>
    </row>
    <row r="67" spans="1:7" ht="19.5" customHeight="1">
      <c r="A67" s="3122" t="s">
        <v>2599</v>
      </c>
      <c r="B67" s="3090">
        <v>0.5</v>
      </c>
      <c r="C67" s="3090">
        <v>0.2</v>
      </c>
      <c r="D67" s="3090">
        <v>0.2</v>
      </c>
      <c r="E67" s="3090">
        <v>0.2</v>
      </c>
      <c r="F67" s="3090">
        <v>0.2</v>
      </c>
      <c r="G67" s="3090">
        <v>0.1</v>
      </c>
    </row>
    <row r="68" spans="1:7" ht="19.5" customHeight="1">
      <c r="A68" s="3122" t="s">
        <v>2600</v>
      </c>
      <c r="B68" s="3090">
        <v>0.5</v>
      </c>
      <c r="C68" s="3090">
        <v>0.2</v>
      </c>
      <c r="D68" s="3090">
        <v>0.2</v>
      </c>
      <c r="E68" s="3090">
        <v>0.2</v>
      </c>
      <c r="F68" s="3090">
        <v>0.2</v>
      </c>
      <c r="G68" s="3090">
        <v>0.1</v>
      </c>
    </row>
    <row r="70" spans="1:7" ht="19.5" customHeight="1">
      <c r="A70" s="3123"/>
      <c r="B70" s="3124"/>
      <c r="C70" s="3124"/>
      <c r="D70" s="3124" t="s">
        <v>2637</v>
      </c>
      <c r="E70" s="3124"/>
      <c r="F70" s="3124"/>
    </row>
    <row r="71" spans="1:7" ht="19.5" customHeight="1">
      <c r="A71" s="3116" t="s">
        <v>2638</v>
      </c>
      <c r="B71" s="3116" t="s">
        <v>2639</v>
      </c>
      <c r="C71" s="3116" t="s">
        <v>2640</v>
      </c>
      <c r="D71" s="3116" t="s">
        <v>2641</v>
      </c>
      <c r="E71" s="3116" t="s">
        <v>2642</v>
      </c>
      <c r="F71" s="3116" t="s">
        <v>2643</v>
      </c>
    </row>
    <row r="72" spans="1:7" ht="13.5">
      <c r="A72" s="3116"/>
      <c r="B72" s="3116"/>
      <c r="C72" s="3116" t="s">
        <v>2644</v>
      </c>
      <c r="D72" s="3116"/>
      <c r="E72" s="3116" t="s">
        <v>2615</v>
      </c>
      <c r="F72" s="3116" t="s">
        <v>2615</v>
      </c>
    </row>
    <row r="73" spans="1:7" ht="13.5">
      <c r="A73" s="3116">
        <v>1</v>
      </c>
      <c r="B73" s="4171" t="s">
        <v>2645</v>
      </c>
      <c r="C73" s="3090" t="s">
        <v>2646</v>
      </c>
      <c r="D73" s="3090" t="s">
        <v>2647</v>
      </c>
      <c r="E73" s="3116">
        <v>0.2</v>
      </c>
      <c r="F73" s="3116">
        <v>25</v>
      </c>
    </row>
    <row r="74" spans="1:7" ht="24">
      <c r="A74" s="3116">
        <v>2</v>
      </c>
      <c r="B74" s="4173"/>
      <c r="C74" s="3090" t="s">
        <v>2648</v>
      </c>
      <c r="D74" s="3090" t="s">
        <v>2649</v>
      </c>
      <c r="E74" s="3116">
        <v>0.2</v>
      </c>
      <c r="F74" s="3116">
        <v>25</v>
      </c>
    </row>
    <row r="75" spans="1:7" ht="24">
      <c r="A75" s="3116">
        <v>3</v>
      </c>
      <c r="B75" s="4173"/>
      <c r="C75" s="3090" t="s">
        <v>2650</v>
      </c>
      <c r="D75" s="3090" t="s">
        <v>2651</v>
      </c>
      <c r="E75" s="3116">
        <v>0.2</v>
      </c>
      <c r="F75" s="3116">
        <v>25</v>
      </c>
    </row>
    <row r="76" spans="1:7" ht="13.5">
      <c r="A76" s="3116">
        <v>4</v>
      </c>
      <c r="B76" s="4173"/>
      <c r="C76" s="3090" t="s">
        <v>2652</v>
      </c>
      <c r="D76" s="3090" t="s">
        <v>2653</v>
      </c>
      <c r="E76" s="3116">
        <v>0.15</v>
      </c>
      <c r="F76" s="3116">
        <v>20</v>
      </c>
    </row>
    <row r="77" spans="1:7" ht="24">
      <c r="A77" s="3116">
        <v>5</v>
      </c>
      <c r="B77" s="4173"/>
      <c r="C77" s="3090" t="s">
        <v>2654</v>
      </c>
      <c r="D77" s="3090" t="s">
        <v>2655</v>
      </c>
      <c r="E77" s="3116">
        <v>0.15</v>
      </c>
      <c r="F77" s="3116">
        <v>20</v>
      </c>
    </row>
    <row r="78" spans="1:7" ht="24">
      <c r="A78" s="3116">
        <v>6</v>
      </c>
      <c r="B78" s="4173"/>
      <c r="C78" s="3090" t="s">
        <v>2656</v>
      </c>
      <c r="D78" s="3090" t="s">
        <v>2657</v>
      </c>
      <c r="E78" s="3116">
        <v>0.15</v>
      </c>
      <c r="F78" s="3116">
        <v>20</v>
      </c>
    </row>
    <row r="79" spans="1:7" ht="24">
      <c r="A79" s="3116">
        <v>7</v>
      </c>
      <c r="B79" s="4173"/>
      <c r="C79" s="3090" t="s">
        <v>2658</v>
      </c>
      <c r="D79" s="3090" t="s">
        <v>2659</v>
      </c>
      <c r="E79" s="3116">
        <v>0.15</v>
      </c>
      <c r="F79" s="3116">
        <v>20</v>
      </c>
    </row>
    <row r="80" spans="1:7" ht="24">
      <c r="A80" s="3116">
        <v>8</v>
      </c>
      <c r="B80" s="4173"/>
      <c r="C80" s="3090" t="s">
        <v>2660</v>
      </c>
      <c r="D80" s="3090" t="s">
        <v>2661</v>
      </c>
      <c r="E80" s="3116">
        <v>0.1</v>
      </c>
      <c r="F80" s="3116">
        <v>15</v>
      </c>
    </row>
    <row r="81" spans="1:6" ht="24">
      <c r="A81" s="3116">
        <v>9</v>
      </c>
      <c r="B81" s="4173"/>
      <c r="C81" s="3090" t="s">
        <v>2662</v>
      </c>
      <c r="D81" s="3090" t="s">
        <v>2663</v>
      </c>
      <c r="E81" s="3116">
        <v>0.1</v>
      </c>
      <c r="F81" s="3116">
        <v>15</v>
      </c>
    </row>
    <row r="82" spans="1:6" ht="24">
      <c r="A82" s="3116">
        <v>10</v>
      </c>
      <c r="B82" s="4173"/>
      <c r="C82" s="3090" t="s">
        <v>2664</v>
      </c>
      <c r="D82" s="3090" t="s">
        <v>2665</v>
      </c>
      <c r="E82" s="3116">
        <v>0.1</v>
      </c>
      <c r="F82" s="3116">
        <v>15</v>
      </c>
    </row>
    <row r="83" spans="1:6" ht="24">
      <c r="A83" s="3116">
        <v>11</v>
      </c>
      <c r="B83" s="4173"/>
      <c r="C83" s="3090" t="s">
        <v>2666</v>
      </c>
      <c r="D83" s="3090" t="s">
        <v>2667</v>
      </c>
      <c r="E83" s="3116">
        <v>0.1</v>
      </c>
      <c r="F83" s="3116">
        <v>15</v>
      </c>
    </row>
    <row r="84" spans="1:6" ht="24">
      <c r="A84" s="3116">
        <v>12</v>
      </c>
      <c r="B84" s="4173"/>
      <c r="C84" s="3090" t="s">
        <v>2668</v>
      </c>
      <c r="D84" s="3090" t="s">
        <v>2669</v>
      </c>
      <c r="E84" s="3116">
        <v>0.1</v>
      </c>
      <c r="F84" s="3116">
        <v>15</v>
      </c>
    </row>
    <row r="85" spans="1:6" ht="13.5">
      <c r="A85" s="3116">
        <v>13</v>
      </c>
      <c r="B85" s="4173"/>
      <c r="C85" s="3090" t="s">
        <v>2670</v>
      </c>
      <c r="D85" s="3090" t="s">
        <v>2671</v>
      </c>
      <c r="E85" s="3116">
        <v>0.1</v>
      </c>
      <c r="F85" s="3116">
        <v>15</v>
      </c>
    </row>
    <row r="86" spans="1:6" ht="13.5">
      <c r="A86" s="3116">
        <v>14</v>
      </c>
      <c r="B86" s="4173"/>
      <c r="C86" s="3090" t="s">
        <v>2672</v>
      </c>
      <c r="D86" s="3090" t="s">
        <v>2673</v>
      </c>
      <c r="E86" s="3116">
        <v>0.1</v>
      </c>
      <c r="F86" s="3116">
        <v>15</v>
      </c>
    </row>
    <row r="87" spans="1:6" ht="13.5">
      <c r="A87" s="3116">
        <v>15</v>
      </c>
      <c r="B87" s="4173"/>
      <c r="C87" s="3090" t="s">
        <v>2674</v>
      </c>
      <c r="D87" s="3090" t="s">
        <v>2675</v>
      </c>
      <c r="E87" s="3116">
        <v>0.1</v>
      </c>
      <c r="F87" s="3116">
        <v>15</v>
      </c>
    </row>
    <row r="88" spans="1:6" ht="24">
      <c r="A88" s="3116">
        <v>16</v>
      </c>
      <c r="B88" s="4173"/>
      <c r="C88" s="3090" t="s">
        <v>2676</v>
      </c>
      <c r="D88" s="3090" t="s">
        <v>2677</v>
      </c>
      <c r="E88" s="3116">
        <v>0.1</v>
      </c>
      <c r="F88" s="3116">
        <v>15</v>
      </c>
    </row>
    <row r="89" spans="1:6" ht="24">
      <c r="A89" s="3116">
        <v>17</v>
      </c>
      <c r="B89" s="4172"/>
      <c r="C89" s="3090" t="s">
        <v>2678</v>
      </c>
      <c r="D89" s="3090" t="s">
        <v>2679</v>
      </c>
      <c r="E89" s="3116">
        <v>0.1</v>
      </c>
      <c r="F89" s="3116">
        <v>15</v>
      </c>
    </row>
    <row r="90" spans="1:6" ht="13.5">
      <c r="A90" s="3116">
        <v>18</v>
      </c>
      <c r="B90" s="4171" t="s">
        <v>2680</v>
      </c>
      <c r="C90" s="3090" t="s">
        <v>2681</v>
      </c>
      <c r="D90" s="3090" t="s">
        <v>2682</v>
      </c>
      <c r="E90" s="3116">
        <v>0.2</v>
      </c>
      <c r="F90" s="3116">
        <v>25</v>
      </c>
    </row>
    <row r="91" spans="1:6" ht="24">
      <c r="A91" s="3116">
        <v>19</v>
      </c>
      <c r="B91" s="4173"/>
      <c r="C91" s="3090" t="s">
        <v>2683</v>
      </c>
      <c r="D91" s="3090" t="s">
        <v>2684</v>
      </c>
      <c r="E91" s="3116">
        <v>0.2</v>
      </c>
      <c r="F91" s="3116">
        <v>25</v>
      </c>
    </row>
    <row r="92" spans="1:6" ht="13.5">
      <c r="A92" s="3116">
        <v>20</v>
      </c>
      <c r="B92" s="4173"/>
      <c r="C92" s="3090" t="s">
        <v>2685</v>
      </c>
      <c r="D92" s="3090" t="s">
        <v>2686</v>
      </c>
      <c r="E92" s="3116">
        <v>0.15</v>
      </c>
      <c r="F92" s="3116">
        <v>20</v>
      </c>
    </row>
    <row r="93" spans="1:6" ht="13.5">
      <c r="A93" s="3116">
        <v>21</v>
      </c>
      <c r="B93" s="4173"/>
      <c r="C93" s="3090" t="s">
        <v>2687</v>
      </c>
      <c r="D93" s="3090" t="s">
        <v>2688</v>
      </c>
      <c r="E93" s="3116">
        <v>0.15</v>
      </c>
      <c r="F93" s="3116">
        <v>20</v>
      </c>
    </row>
    <row r="94" spans="1:6" ht="13.5">
      <c r="A94" s="3116">
        <v>22</v>
      </c>
      <c r="B94" s="4173"/>
      <c r="C94" s="3090" t="s">
        <v>2689</v>
      </c>
      <c r="D94" s="3090" t="s">
        <v>2690</v>
      </c>
      <c r="E94" s="3116">
        <v>0.15</v>
      </c>
      <c r="F94" s="3116">
        <v>20</v>
      </c>
    </row>
    <row r="95" spans="1:6" ht="36">
      <c r="A95" s="3116">
        <v>23</v>
      </c>
      <c r="B95" s="4173"/>
      <c r="C95" s="3090" t="s">
        <v>2691</v>
      </c>
      <c r="D95" s="3090" t="s">
        <v>2692</v>
      </c>
      <c r="E95" s="3116">
        <v>0.15</v>
      </c>
      <c r="F95" s="3116">
        <v>20</v>
      </c>
    </row>
    <row r="96" spans="1:6" ht="13.5">
      <c r="A96" s="3116">
        <v>24</v>
      </c>
      <c r="B96" s="4173"/>
      <c r="C96" s="3090" t="s">
        <v>2693</v>
      </c>
      <c r="D96" s="3090" t="s">
        <v>2694</v>
      </c>
      <c r="E96" s="3116">
        <v>0.1</v>
      </c>
      <c r="F96" s="3116">
        <v>15</v>
      </c>
    </row>
    <row r="97" spans="1:6" ht="13.5">
      <c r="A97" s="3116">
        <v>25</v>
      </c>
      <c r="B97" s="4173"/>
      <c r="C97" s="3090" t="s">
        <v>2695</v>
      </c>
      <c r="D97" s="3090" t="s">
        <v>2696</v>
      </c>
      <c r="E97" s="3116">
        <v>0.1</v>
      </c>
      <c r="F97" s="3116">
        <v>15</v>
      </c>
    </row>
    <row r="98" spans="1:6" ht="24">
      <c r="A98" s="3116">
        <v>26</v>
      </c>
      <c r="B98" s="4173"/>
      <c r="C98" s="3090" t="s">
        <v>2697</v>
      </c>
      <c r="D98" s="3090" t="s">
        <v>2698</v>
      </c>
      <c r="E98" s="3116">
        <v>0.1</v>
      </c>
      <c r="F98" s="3116">
        <v>15</v>
      </c>
    </row>
    <row r="99" spans="1:6" ht="24">
      <c r="A99" s="3116">
        <v>27</v>
      </c>
      <c r="B99" s="4173"/>
      <c r="C99" s="3090" t="s">
        <v>2699</v>
      </c>
      <c r="D99" s="3090" t="s">
        <v>2700</v>
      </c>
      <c r="E99" s="3116">
        <v>0.1</v>
      </c>
      <c r="F99" s="3116">
        <v>15</v>
      </c>
    </row>
    <row r="100" spans="1:6" ht="13.5">
      <c r="A100" s="3116">
        <v>28</v>
      </c>
      <c r="B100" s="4173"/>
      <c r="C100" s="3090" t="s">
        <v>2701</v>
      </c>
      <c r="D100" s="3090" t="s">
        <v>2702</v>
      </c>
      <c r="E100" s="3116">
        <v>0.1</v>
      </c>
      <c r="F100" s="3116">
        <v>15</v>
      </c>
    </row>
    <row r="101" spans="1:6" ht="13.5">
      <c r="A101" s="3116">
        <v>29</v>
      </c>
      <c r="B101" s="4173"/>
      <c r="C101" s="3090" t="s">
        <v>2703</v>
      </c>
      <c r="D101" s="3090" t="s">
        <v>2704</v>
      </c>
      <c r="E101" s="3116">
        <v>0.1</v>
      </c>
      <c r="F101" s="3116">
        <v>15</v>
      </c>
    </row>
    <row r="102" spans="1:6" ht="13.5">
      <c r="A102" s="3116">
        <v>30</v>
      </c>
      <c r="B102" s="4173"/>
      <c r="C102" s="3090" t="s">
        <v>2705</v>
      </c>
      <c r="D102" s="3090" t="s">
        <v>2706</v>
      </c>
      <c r="E102" s="3116">
        <v>0.1</v>
      </c>
      <c r="F102" s="3116">
        <v>15</v>
      </c>
    </row>
    <row r="103" spans="1:6" ht="24">
      <c r="A103" s="3116">
        <v>31</v>
      </c>
      <c r="B103" s="4173"/>
      <c r="C103" s="3090" t="s">
        <v>2707</v>
      </c>
      <c r="D103" s="3090" t="s">
        <v>2708</v>
      </c>
      <c r="E103" s="3116">
        <v>0.1</v>
      </c>
      <c r="F103" s="3116">
        <v>15</v>
      </c>
    </row>
    <row r="104" spans="1:6" ht="24">
      <c r="A104" s="3116">
        <v>32</v>
      </c>
      <c r="B104" s="4173"/>
      <c r="C104" s="3090" t="s">
        <v>2709</v>
      </c>
      <c r="D104" s="3090" t="s">
        <v>2710</v>
      </c>
      <c r="E104" s="3116">
        <v>0.1</v>
      </c>
      <c r="F104" s="3116">
        <v>15</v>
      </c>
    </row>
    <row r="105" spans="1:6" ht="24">
      <c r="A105" s="3116">
        <v>33</v>
      </c>
      <c r="B105" s="4173"/>
      <c r="C105" s="3090" t="s">
        <v>2711</v>
      </c>
      <c r="D105" s="3090" t="s">
        <v>2712</v>
      </c>
      <c r="E105" s="3116">
        <v>0.1</v>
      </c>
      <c r="F105" s="3116">
        <v>15</v>
      </c>
    </row>
    <row r="106" spans="1:6" ht="24">
      <c r="A106" s="3116">
        <v>34</v>
      </c>
      <c r="B106" s="4172"/>
      <c r="C106" s="3090" t="s">
        <v>2713</v>
      </c>
      <c r="D106" s="3090" t="s">
        <v>2714</v>
      </c>
      <c r="E106" s="3116">
        <v>0.1</v>
      </c>
      <c r="F106" s="3116">
        <v>15</v>
      </c>
    </row>
    <row r="107" spans="1:6" ht="24">
      <c r="A107" s="3116">
        <v>35</v>
      </c>
      <c r="B107" s="4171" t="s">
        <v>2715</v>
      </c>
      <c r="C107" s="3116" t="s">
        <v>2716</v>
      </c>
      <c r="D107" s="3090" t="s">
        <v>2717</v>
      </c>
      <c r="E107" s="3116">
        <v>0.15</v>
      </c>
      <c r="F107" s="3116">
        <v>20</v>
      </c>
    </row>
    <row r="108" spans="1:6" ht="13.5">
      <c r="A108" s="3116">
        <v>36</v>
      </c>
      <c r="B108" s="4173"/>
      <c r="C108" s="3116" t="s">
        <v>2718</v>
      </c>
      <c r="D108" s="3090" t="s">
        <v>2719</v>
      </c>
      <c r="E108" s="3116">
        <v>0.15</v>
      </c>
      <c r="F108" s="3116">
        <v>20</v>
      </c>
    </row>
    <row r="109" spans="1:6" ht="13.5">
      <c r="A109" s="3116">
        <v>37</v>
      </c>
      <c r="B109" s="4173"/>
      <c r="C109" s="3116" t="s">
        <v>2720</v>
      </c>
      <c r="D109" s="3090" t="s">
        <v>2721</v>
      </c>
      <c r="E109" s="3116">
        <v>0.15</v>
      </c>
      <c r="F109" s="3116">
        <v>20</v>
      </c>
    </row>
    <row r="110" spans="1:6" ht="13.5">
      <c r="A110" s="3116">
        <v>38</v>
      </c>
      <c r="B110" s="4173"/>
      <c r="C110" s="3116" t="s">
        <v>2722</v>
      </c>
      <c r="D110" s="3090" t="s">
        <v>2723</v>
      </c>
      <c r="E110" s="3116">
        <v>0.1</v>
      </c>
      <c r="F110" s="3116">
        <v>15</v>
      </c>
    </row>
    <row r="111" spans="1:6" ht="24">
      <c r="A111" s="3116">
        <v>39</v>
      </c>
      <c r="B111" s="4173"/>
      <c r="C111" s="3116" t="s">
        <v>2724</v>
      </c>
      <c r="D111" s="3090" t="s">
        <v>2725</v>
      </c>
      <c r="E111" s="3116">
        <v>0.1</v>
      </c>
      <c r="F111" s="3116">
        <v>15</v>
      </c>
    </row>
    <row r="112" spans="1:6" ht="24">
      <c r="A112" s="3116">
        <v>40</v>
      </c>
      <c r="B112" s="4172"/>
      <c r="C112" s="3116" t="s">
        <v>2726</v>
      </c>
      <c r="D112" s="3090" t="s">
        <v>2727</v>
      </c>
      <c r="E112" s="3116">
        <v>0.1</v>
      </c>
      <c r="F112" s="3116">
        <v>15</v>
      </c>
    </row>
    <row r="113" spans="1:6" ht="13.5">
      <c r="A113" s="3116">
        <v>41</v>
      </c>
      <c r="B113" s="4170" t="s">
        <v>2728</v>
      </c>
      <c r="C113" s="3116" t="s">
        <v>2729</v>
      </c>
      <c r="D113" s="3090" t="s">
        <v>2730</v>
      </c>
      <c r="E113" s="3116">
        <v>0.1</v>
      </c>
      <c r="F113" s="3116">
        <v>15</v>
      </c>
    </row>
    <row r="114" spans="1:6" ht="13.5">
      <c r="A114" s="3116">
        <v>42</v>
      </c>
      <c r="B114" s="4170"/>
      <c r="C114" s="3116" t="s">
        <v>2731</v>
      </c>
      <c r="D114" s="3090" t="s">
        <v>2732</v>
      </c>
      <c r="E114" s="3116">
        <v>0.1</v>
      </c>
      <c r="F114" s="3116">
        <v>15</v>
      </c>
    </row>
    <row r="115" spans="1:6" ht="24">
      <c r="A115" s="3116">
        <v>43</v>
      </c>
      <c r="B115" s="4170"/>
      <c r="C115" s="3116" t="s">
        <v>2733</v>
      </c>
      <c r="D115" s="3090" t="s">
        <v>2734</v>
      </c>
      <c r="E115" s="3116">
        <v>0.1</v>
      </c>
      <c r="F115" s="3116">
        <v>15</v>
      </c>
    </row>
    <row r="116" spans="1:6" ht="13.5">
      <c r="A116" s="3116">
        <v>44</v>
      </c>
      <c r="B116" s="4171" t="s">
        <v>2735</v>
      </c>
      <c r="C116" s="3116" t="s">
        <v>2736</v>
      </c>
      <c r="D116" s="3090" t="s">
        <v>2737</v>
      </c>
      <c r="E116" s="3116">
        <v>0.1</v>
      </c>
      <c r="F116" s="3116">
        <v>15</v>
      </c>
    </row>
    <row r="117" spans="1:6" ht="24">
      <c r="A117" s="3116">
        <v>45</v>
      </c>
      <c r="B117" s="4172"/>
      <c r="C117" s="3090" t="s">
        <v>2738</v>
      </c>
      <c r="D117" s="3090" t="s">
        <v>2739</v>
      </c>
      <c r="E117" s="3116">
        <v>0.1</v>
      </c>
      <c r="F117" s="3116">
        <v>15</v>
      </c>
    </row>
    <row r="118" spans="1:6" ht="24">
      <c r="A118" s="3116">
        <v>46</v>
      </c>
      <c r="B118" s="4171" t="s">
        <v>2740</v>
      </c>
      <c r="C118" s="3116" t="s">
        <v>2741</v>
      </c>
      <c r="D118" s="3090" t="s">
        <v>2742</v>
      </c>
      <c r="E118" s="3116">
        <v>0.1</v>
      </c>
      <c r="F118" s="3116">
        <v>15</v>
      </c>
    </row>
    <row r="119" spans="1:6" ht="24">
      <c r="A119" s="3116">
        <v>47</v>
      </c>
      <c r="B119" s="4172"/>
      <c r="C119" s="3116" t="s">
        <v>2743</v>
      </c>
      <c r="D119" s="3090" t="s">
        <v>2744</v>
      </c>
      <c r="E119" s="3116">
        <v>0.1</v>
      </c>
      <c r="F119" s="3116">
        <v>15</v>
      </c>
    </row>
    <row r="120" spans="1:6" ht="13.5">
      <c r="A120" s="3116">
        <v>48</v>
      </c>
      <c r="B120" s="4171" t="s">
        <v>2745</v>
      </c>
      <c r="C120" s="3116" t="s">
        <v>2746</v>
      </c>
      <c r="D120" s="3090" t="s">
        <v>2747</v>
      </c>
      <c r="E120" s="3116">
        <v>0.1</v>
      </c>
      <c r="F120" s="3116">
        <v>15</v>
      </c>
    </row>
    <row r="121" spans="1:6" ht="13.5">
      <c r="A121" s="3116">
        <v>49</v>
      </c>
      <c r="B121" s="4172"/>
      <c r="C121" s="3116" t="s">
        <v>2748</v>
      </c>
      <c r="D121" s="3090" t="s">
        <v>2749</v>
      </c>
      <c r="E121" s="3116">
        <v>0.1</v>
      </c>
      <c r="F121" s="3116">
        <v>15</v>
      </c>
    </row>
    <row r="122" spans="1:6" ht="24">
      <c r="A122" s="3116">
        <v>50</v>
      </c>
      <c r="B122" s="4170" t="s">
        <v>2750</v>
      </c>
      <c r="C122" s="3116" t="s">
        <v>2751</v>
      </c>
      <c r="D122" s="3090" t="s">
        <v>2752</v>
      </c>
      <c r="E122" s="3116">
        <v>0.1</v>
      </c>
      <c r="F122" s="3116">
        <v>15</v>
      </c>
    </row>
    <row r="123" spans="1:6" ht="24">
      <c r="A123" s="3116">
        <v>51</v>
      </c>
      <c r="B123" s="4170"/>
      <c r="C123" s="3116" t="s">
        <v>2753</v>
      </c>
      <c r="D123" s="3090" t="s">
        <v>2754</v>
      </c>
      <c r="E123" s="3116">
        <v>0.1</v>
      </c>
      <c r="F123" s="3116">
        <v>15</v>
      </c>
    </row>
    <row r="124" spans="1:6" ht="24">
      <c r="A124" s="3116">
        <v>52</v>
      </c>
      <c r="B124" s="4170" t="s">
        <v>2755</v>
      </c>
      <c r="C124" s="3116" t="s">
        <v>2756</v>
      </c>
      <c r="D124" s="3090" t="s">
        <v>2757</v>
      </c>
      <c r="E124" s="3116">
        <v>0.1</v>
      </c>
      <c r="F124" s="3116">
        <v>15</v>
      </c>
    </row>
    <row r="125" spans="1:6" ht="24">
      <c r="A125" s="3116">
        <v>53</v>
      </c>
      <c r="B125" s="4170"/>
      <c r="C125" s="3116" t="s">
        <v>2758</v>
      </c>
      <c r="D125" s="3090" t="s">
        <v>2759</v>
      </c>
      <c r="E125" s="3116">
        <v>0.1</v>
      </c>
      <c r="F125" s="3116">
        <v>15</v>
      </c>
    </row>
    <row r="126" spans="1:6" ht="13.5">
      <c r="A126" s="3116">
        <v>54</v>
      </c>
      <c r="B126" s="3116" t="s">
        <v>2760</v>
      </c>
      <c r="C126" s="3116" t="s">
        <v>2761</v>
      </c>
      <c r="D126" s="3090" t="s">
        <v>2762</v>
      </c>
      <c r="E126" s="3116">
        <v>0.1</v>
      </c>
      <c r="F126" s="3116">
        <v>15</v>
      </c>
    </row>
    <row r="127" spans="1:6" ht="13.5">
      <c r="A127" s="3116">
        <v>55</v>
      </c>
      <c r="B127" s="4170" t="s">
        <v>2763</v>
      </c>
      <c r="C127" s="3116" t="s">
        <v>2764</v>
      </c>
      <c r="D127" s="3090" t="s">
        <v>2765</v>
      </c>
      <c r="E127" s="3116">
        <v>0.1</v>
      </c>
      <c r="F127" s="3116">
        <v>15</v>
      </c>
    </row>
    <row r="128" spans="1:6" ht="13.5">
      <c r="A128" s="3116">
        <v>56</v>
      </c>
      <c r="B128" s="4170"/>
      <c r="C128" s="3116" t="s">
        <v>2766</v>
      </c>
      <c r="D128" s="3090" t="s">
        <v>2767</v>
      </c>
      <c r="E128" s="3116">
        <v>0.1</v>
      </c>
      <c r="F128" s="3116">
        <v>15</v>
      </c>
    </row>
    <row r="129" spans="1:6" ht="24">
      <c r="A129" s="3116">
        <v>57</v>
      </c>
      <c r="B129" s="4170"/>
      <c r="C129" s="3116" t="s">
        <v>2768</v>
      </c>
      <c r="D129" s="3090" t="s">
        <v>2769</v>
      </c>
      <c r="E129" s="3116">
        <v>0.1</v>
      </c>
      <c r="F129" s="3116">
        <v>15</v>
      </c>
    </row>
    <row r="130" spans="1:6" ht="24">
      <c r="A130" s="3116">
        <v>58</v>
      </c>
      <c r="B130" s="4170" t="s">
        <v>2770</v>
      </c>
      <c r="C130" s="3116" t="s">
        <v>2771</v>
      </c>
      <c r="D130" s="3090" t="s">
        <v>2772</v>
      </c>
      <c r="E130" s="3116">
        <v>0.1</v>
      </c>
      <c r="F130" s="3116">
        <v>15</v>
      </c>
    </row>
    <row r="131" spans="1:6" ht="13.5">
      <c r="A131" s="3116">
        <v>59</v>
      </c>
      <c r="B131" s="4170"/>
      <c r="C131" s="3116" t="s">
        <v>2773</v>
      </c>
      <c r="D131" s="3090" t="s">
        <v>2774</v>
      </c>
      <c r="E131" s="3116">
        <v>0.1</v>
      </c>
      <c r="F131" s="3116">
        <v>15</v>
      </c>
    </row>
    <row r="132" spans="1:6" ht="13.5">
      <c r="A132" s="3116">
        <v>60</v>
      </c>
      <c r="B132" s="4171" t="s">
        <v>2775</v>
      </c>
      <c r="C132" s="3116" t="s">
        <v>2776</v>
      </c>
      <c r="D132" s="3090" t="s">
        <v>2777</v>
      </c>
      <c r="E132" s="3116">
        <v>0.1</v>
      </c>
      <c r="F132" s="3116">
        <v>15</v>
      </c>
    </row>
    <row r="133" spans="1:6" ht="13.5">
      <c r="A133" s="3116">
        <v>61</v>
      </c>
      <c r="B133" s="4172"/>
      <c r="C133" s="3116" t="s">
        <v>2778</v>
      </c>
      <c r="D133" s="3090" t="s">
        <v>2779</v>
      </c>
      <c r="E133" s="3116">
        <v>0.1</v>
      </c>
      <c r="F133" s="3116">
        <v>15</v>
      </c>
    </row>
    <row r="134" spans="1:6" ht="24">
      <c r="A134" s="3116">
        <v>62</v>
      </c>
      <c r="B134" s="3116" t="s">
        <v>2780</v>
      </c>
      <c r="C134" s="3116" t="s">
        <v>2781</v>
      </c>
      <c r="D134" s="3090" t="s">
        <v>2782</v>
      </c>
      <c r="E134" s="3116">
        <v>0.1</v>
      </c>
      <c r="F134" s="3116">
        <v>15</v>
      </c>
    </row>
    <row r="135" spans="1:6" ht="13.5">
      <c r="A135" s="3116">
        <v>63</v>
      </c>
      <c r="B135" s="4170" t="s">
        <v>2783</v>
      </c>
      <c r="C135" s="3116" t="s">
        <v>2784</v>
      </c>
      <c r="D135" s="3090" t="s">
        <v>2785</v>
      </c>
      <c r="E135" s="3116">
        <v>0.1</v>
      </c>
      <c r="F135" s="3116">
        <v>15</v>
      </c>
    </row>
    <row r="136" spans="1:6" ht="13.5">
      <c r="A136" s="3116">
        <v>64</v>
      </c>
      <c r="B136" s="4170"/>
      <c r="C136" s="3116" t="s">
        <v>2786</v>
      </c>
      <c r="D136" s="3090" t="s">
        <v>2787</v>
      </c>
      <c r="E136" s="3116">
        <v>0.1</v>
      </c>
      <c r="F136" s="3116">
        <v>15</v>
      </c>
    </row>
    <row r="137" spans="1:6" ht="13.5">
      <c r="A137" s="3116">
        <v>65</v>
      </c>
      <c r="B137" s="3116" t="s">
        <v>2788</v>
      </c>
      <c r="C137" s="3116" t="s">
        <v>2789</v>
      </c>
      <c r="D137" s="3090" t="s">
        <v>2790</v>
      </c>
      <c r="E137" s="3116">
        <v>0.1</v>
      </c>
      <c r="F137" s="3116">
        <v>15</v>
      </c>
    </row>
    <row r="138" spans="1:6" ht="13.5">
      <c r="A138" s="3116"/>
      <c r="B138" s="3116"/>
      <c r="C138" s="3116"/>
      <c r="D138" s="3116"/>
      <c r="E138" s="3116" t="s">
        <v>2791</v>
      </c>
      <c r="F138" s="3116"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7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84"/>
      <c r="C2" s="3784"/>
      <c r="D2" s="3784"/>
      <c r="E2" s="3784"/>
    </row>
    <row r="3" spans="1:5" ht="18">
      <c r="A3" s="3785" t="str">
        <f>IF(项目基本情况!B9="房地产市场价值","估价结果一览表（市场价值不需“结果表-1”）","估价结果一览表")</f>
        <v>估价结果一览表（市场价值不需“结果表-1”）</v>
      </c>
      <c r="B3" s="3785"/>
      <c r="C3" s="3785"/>
      <c r="D3" s="3785"/>
      <c r="E3" s="3785"/>
    </row>
    <row r="4" spans="1:5" ht="19.5" thickBot="1">
      <c r="A4" s="1493"/>
      <c r="B4" s="3783" t="s">
        <v>917</v>
      </c>
      <c r="C4" s="3783"/>
      <c r="D4" s="3783"/>
      <c r="E4" s="1493"/>
    </row>
    <row r="5" spans="1:5" ht="16.5" thickTop="1">
      <c r="A5" s="1491"/>
      <c r="B5" s="3781" t="s">
        <v>909</v>
      </c>
      <c r="C5" s="1494" t="s">
        <v>910</v>
      </c>
      <c r="D5" s="850" t="e">
        <f ca="1">结果表!H101</f>
        <v>#REF!</v>
      </c>
      <c r="E5" s="1491"/>
    </row>
    <row r="6" spans="1:5" ht="15.75">
      <c r="A6" s="1491"/>
      <c r="B6" s="3781"/>
      <c r="C6" s="1494" t="s">
        <v>911</v>
      </c>
      <c r="D6" s="850" t="e">
        <f ca="1">NUMBERSTRING(INT(D5*10000),2)&amp;"元整"</f>
        <v>#REF!</v>
      </c>
      <c r="E6" s="1491"/>
    </row>
    <row r="7" spans="1:5" ht="15.75">
      <c r="A7" s="1491"/>
      <c r="B7" s="3786"/>
      <c r="C7" s="1495" t="s">
        <v>912</v>
      </c>
      <c r="D7" s="851" t="e">
        <f ca="1">结果表!H102</f>
        <v>#REF!</v>
      </c>
      <c r="E7" s="1491"/>
    </row>
    <row r="8" spans="1:5" ht="15.75">
      <c r="A8" s="1491"/>
      <c r="B8" s="3787" t="str">
        <f>结果表!E103</f>
        <v>2.估价师知悉的法定优先受偿款</v>
      </c>
      <c r="C8" s="1496" t="s">
        <v>913</v>
      </c>
      <c r="D8" s="851">
        <f>结果表!H103</f>
        <v>0</v>
      </c>
      <c r="E8" s="1491"/>
    </row>
    <row r="9" spans="1:5" ht="15.75">
      <c r="A9" s="1491"/>
      <c r="B9" s="378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780" t="str">
        <f>结果表!E107</f>
        <v>3.房地产抵押价值</v>
      </c>
      <c r="C13" s="1499" t="s">
        <v>910</v>
      </c>
      <c r="D13" s="853" t="e">
        <f ca="1">结果表!H107</f>
        <v>#REF!</v>
      </c>
      <c r="E13" s="1491"/>
    </row>
    <row r="14" spans="1:5" ht="15.75">
      <c r="A14" s="1491"/>
      <c r="B14" s="3781"/>
      <c r="C14" s="1494" t="s">
        <v>911</v>
      </c>
      <c r="D14" s="850" t="e">
        <f ca="1">NUMBERSTRING(INT(D13*10000),2)&amp;"元整"</f>
        <v>#REF!</v>
      </c>
      <c r="E14" s="1491"/>
    </row>
    <row r="15" spans="1:5" ht="15">
      <c r="A15" s="1491"/>
      <c r="B15" s="3786"/>
      <c r="C15" s="1495" t="s">
        <v>921</v>
      </c>
      <c r="D15" s="859" t="e">
        <f ca="1">结果表!H108</f>
        <v>#REF!</v>
      </c>
      <c r="E15" s="1491"/>
    </row>
    <row r="16" spans="1:5" ht="15">
      <c r="A16" s="1491"/>
      <c r="B16" s="3787" t="str">
        <f>结果表!E109</f>
        <v>——</v>
      </c>
      <c r="C16" s="1499" t="s">
        <v>922</v>
      </c>
      <c r="D16" s="1500" t="str">
        <f>结果表!H109</f>
        <v>——</v>
      </c>
      <c r="E16" s="1491"/>
    </row>
    <row r="17" spans="1:5" ht="15.75">
      <c r="A17" s="1491"/>
      <c r="B17" s="3788"/>
      <c r="C17" s="1494" t="s">
        <v>923</v>
      </c>
      <c r="D17" s="850" t="e">
        <f>NUMBERSTRING(INT(D16*10000),2)&amp;"元整"</f>
        <v>#VALUE!</v>
      </c>
      <c r="E17" s="1491"/>
    </row>
    <row r="18" spans="1:5" ht="15">
      <c r="A18" s="1491"/>
      <c r="B18" s="3789"/>
      <c r="C18" s="1495" t="s">
        <v>912</v>
      </c>
      <c r="D18" s="859" t="str">
        <f>结果表!H110</f>
        <v>——</v>
      </c>
      <c r="E18" s="1491"/>
    </row>
    <row r="19" spans="1:5" ht="15.75">
      <c r="A19" s="1491"/>
      <c r="B19" s="3780" t="str">
        <f>结果表!E111</f>
        <v>——</v>
      </c>
      <c r="C19" s="1499" t="s">
        <v>910</v>
      </c>
      <c r="D19" s="851" t="str">
        <f>结果表!H111</f>
        <v>——</v>
      </c>
      <c r="E19" s="1491"/>
    </row>
    <row r="20" spans="1:5" ht="15.75">
      <c r="A20" s="1491"/>
      <c r="B20" s="3781"/>
      <c r="C20" s="1494" t="s">
        <v>923</v>
      </c>
      <c r="D20" s="850" t="e">
        <f>NUMBERSTRING(INT(D19*10000),2)&amp;"元整"</f>
        <v>#VALUE!</v>
      </c>
      <c r="E20" s="1491"/>
    </row>
    <row r="21" spans="1:5" ht="15.75" thickBot="1">
      <c r="A21" s="1491"/>
      <c r="B21" s="378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2792</v>
      </c>
      <c r="B1" s="3125"/>
      <c r="C1" s="3125"/>
      <c r="D1" s="3125"/>
      <c r="E1" s="3125"/>
      <c r="F1" s="3125"/>
      <c r="G1" s="3125"/>
      <c r="H1" s="3125"/>
      <c r="I1" s="3125"/>
      <c r="J1" s="3125"/>
      <c r="K1" s="3125"/>
      <c r="L1" s="3125"/>
      <c r="M1" s="3125"/>
      <c r="N1" s="749"/>
    </row>
    <row r="2" spans="1:20">
      <c r="A2" s="3126" t="s">
        <v>2793</v>
      </c>
      <c r="B2" s="3127" t="s">
        <v>2589</v>
      </c>
      <c r="C2" s="3127" t="s">
        <v>2590</v>
      </c>
      <c r="D2" s="3127" t="s">
        <v>2591</v>
      </c>
      <c r="E2" s="3127" t="s">
        <v>2592</v>
      </c>
      <c r="F2" s="3127" t="s">
        <v>2593</v>
      </c>
      <c r="G2" s="3127" t="s">
        <v>2594</v>
      </c>
      <c r="H2" s="3128" t="s">
        <v>2595</v>
      </c>
      <c r="I2" s="3128" t="s">
        <v>2596</v>
      </c>
      <c r="J2" s="3129" t="s">
        <v>2597</v>
      </c>
      <c r="K2" s="3129" t="s">
        <v>2598</v>
      </c>
      <c r="L2" s="3129" t="s">
        <v>2599</v>
      </c>
      <c r="M2" s="3130" t="s">
        <v>2600</v>
      </c>
      <c r="Q2" s="3140" t="s">
        <v>2798</v>
      </c>
      <c r="R2" s="3140" t="s">
        <v>2799</v>
      </c>
      <c r="S2" s="3140" t="s">
        <v>2800</v>
      </c>
      <c r="T2" s="3140" t="s">
        <v>2801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2794</v>
      </c>
      <c r="B93" s="3125"/>
      <c r="C93" s="3125"/>
      <c r="D93" s="3125"/>
      <c r="E93" s="3125"/>
      <c r="F93" s="3125"/>
      <c r="G93" s="3125"/>
      <c r="H93" s="3125"/>
      <c r="I93" s="3125"/>
      <c r="J93" s="3125"/>
      <c r="K93" s="3125"/>
      <c r="L93" s="3125"/>
      <c r="M93" s="3125"/>
    </row>
    <row r="94" spans="1:20">
      <c r="A94" s="3126" t="s">
        <v>2793</v>
      </c>
      <c r="B94" s="3127" t="s">
        <v>2589</v>
      </c>
      <c r="C94" s="3127" t="s">
        <v>2590</v>
      </c>
      <c r="D94" s="3127" t="s">
        <v>2591</v>
      </c>
      <c r="E94" s="3127" t="s">
        <v>2592</v>
      </c>
      <c r="F94" s="3127" t="s">
        <v>2593</v>
      </c>
      <c r="G94" s="3127" t="s">
        <v>2594</v>
      </c>
      <c r="H94" s="3128" t="s">
        <v>2595</v>
      </c>
      <c r="I94" s="3128" t="s">
        <v>2596</v>
      </c>
      <c r="J94" s="3129" t="s">
        <v>2597</v>
      </c>
      <c r="K94" s="3129" t="s">
        <v>2598</v>
      </c>
      <c r="L94" s="3129" t="s">
        <v>2599</v>
      </c>
      <c r="M94" s="3130" t="s">
        <v>2600</v>
      </c>
      <c r="N94" s="750">
        <f>SUMPRODUCT((A95:A184=ROUNDDOWN(基准地价修正!G3,1))*(B94:M94=基准地价修正!G2)*(B95:M184))</f>
        <v>0</v>
      </c>
      <c r="Q94" s="3140" t="s">
        <v>2798</v>
      </c>
      <c r="R94" s="3140" t="s">
        <v>2799</v>
      </c>
      <c r="S94" s="3140" t="s">
        <v>2800</v>
      </c>
      <c r="T94" s="3140" t="s">
        <v>2801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2795</v>
      </c>
      <c r="B185" s="3125"/>
      <c r="C185" s="3125"/>
      <c r="D185" s="3125"/>
      <c r="E185" s="3125"/>
      <c r="F185" s="3125"/>
      <c r="G185" s="3125"/>
      <c r="H185" s="3125"/>
      <c r="I185" s="3125"/>
      <c r="J185" s="3125"/>
      <c r="K185" s="3125"/>
      <c r="L185" s="3125"/>
      <c r="M185" s="3125"/>
    </row>
    <row r="186" spans="1:20">
      <c r="A186" s="3126" t="s">
        <v>2793</v>
      </c>
      <c r="B186" s="3127" t="s">
        <v>2589</v>
      </c>
      <c r="C186" s="3127" t="s">
        <v>2590</v>
      </c>
      <c r="D186" s="3127" t="s">
        <v>2591</v>
      </c>
      <c r="E186" s="3127" t="s">
        <v>2592</v>
      </c>
      <c r="F186" s="3127" t="s">
        <v>2593</v>
      </c>
      <c r="G186" s="3127" t="s">
        <v>2594</v>
      </c>
      <c r="H186" s="3128" t="s">
        <v>2595</v>
      </c>
      <c r="I186" s="3128" t="s">
        <v>2596</v>
      </c>
      <c r="J186" s="3129" t="s">
        <v>2597</v>
      </c>
      <c r="K186" s="3129" t="s">
        <v>2598</v>
      </c>
      <c r="L186" s="3129" t="s">
        <v>2599</v>
      </c>
      <c r="M186" s="3130" t="s">
        <v>2600</v>
      </c>
      <c r="Q186" s="3140" t="s">
        <v>2798</v>
      </c>
      <c r="R186" s="3140" t="s">
        <v>2799</v>
      </c>
      <c r="S186" s="3140" t="s">
        <v>2800</v>
      </c>
      <c r="T186" s="3140" t="s">
        <v>2801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2796</v>
      </c>
      <c r="B277" s="3125"/>
      <c r="C277" s="3125"/>
      <c r="D277" s="3125"/>
      <c r="E277" s="3125"/>
      <c r="F277" s="3125"/>
      <c r="G277" s="3125"/>
      <c r="H277" s="3125"/>
      <c r="I277" s="3125"/>
      <c r="J277" s="3125"/>
      <c r="K277" s="3125"/>
      <c r="L277" s="3125"/>
      <c r="M277" s="3125"/>
    </row>
    <row r="278" spans="1:21">
      <c r="A278" s="3126" t="s">
        <v>2793</v>
      </c>
      <c r="B278" s="3127" t="s">
        <v>2589</v>
      </c>
      <c r="C278" s="3127" t="s">
        <v>2590</v>
      </c>
      <c r="D278" s="3127" t="s">
        <v>2591</v>
      </c>
      <c r="E278" s="3127" t="s">
        <v>2592</v>
      </c>
      <c r="F278" s="3127" t="s">
        <v>2593</v>
      </c>
      <c r="G278" s="3127" t="s">
        <v>2594</v>
      </c>
      <c r="H278" s="3128" t="s">
        <v>2595</v>
      </c>
      <c r="I278" s="3128" t="s">
        <v>2596</v>
      </c>
      <c r="J278" s="3129" t="s">
        <v>2597</v>
      </c>
      <c r="K278" s="3129" t="s">
        <v>2598</v>
      </c>
      <c r="L278" s="3129" t="s">
        <v>2599</v>
      </c>
      <c r="M278" s="3130" t="s">
        <v>2600</v>
      </c>
      <c r="Q278" s="3140" t="s">
        <v>2798</v>
      </c>
      <c r="R278" s="3140" t="s">
        <v>2799</v>
      </c>
      <c r="S278" s="3140" t="s">
        <v>2802</v>
      </c>
      <c r="T278" s="3140" t="s">
        <v>2803</v>
      </c>
      <c r="U278" s="3140" t="s">
        <v>2801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2797</v>
      </c>
      <c r="B369" s="3138"/>
      <c r="C369" s="3138"/>
      <c r="D369" s="3138"/>
      <c r="E369" s="3138"/>
      <c r="F369" s="3138"/>
      <c r="G369" s="3138"/>
      <c r="H369" s="3138"/>
      <c r="I369" s="3138"/>
      <c r="J369" s="3138"/>
      <c r="K369" s="3138"/>
      <c r="L369" s="3138"/>
      <c r="M369" s="3138"/>
    </row>
    <row r="370" spans="1:20">
      <c r="A370" s="3126" t="s">
        <v>2793</v>
      </c>
      <c r="B370" s="3127" t="s">
        <v>2589</v>
      </c>
      <c r="C370" s="3127" t="s">
        <v>2590</v>
      </c>
      <c r="D370" s="3127" t="s">
        <v>2591</v>
      </c>
      <c r="E370" s="3127" t="s">
        <v>2592</v>
      </c>
      <c r="F370" s="3127" t="s">
        <v>2593</v>
      </c>
      <c r="G370" s="3127" t="s">
        <v>2594</v>
      </c>
      <c r="H370" s="3128" t="s">
        <v>2595</v>
      </c>
      <c r="I370" s="3128" t="s">
        <v>2596</v>
      </c>
      <c r="J370" s="3129" t="s">
        <v>2597</v>
      </c>
      <c r="K370" s="3129" t="s">
        <v>2598</v>
      </c>
      <c r="L370" s="3129" t="s">
        <v>2599</v>
      </c>
      <c r="M370" s="3130" t="s">
        <v>2600</v>
      </c>
      <c r="N370" s="750">
        <f>SUMPRODUCT((A371:A460=ROUNDDOWN(基准地价修正!G3,1))*(B370:M370=基准地价修正!G2)*(B371:M460))</f>
        <v>0</v>
      </c>
      <c r="Q370" s="3140" t="s">
        <v>2798</v>
      </c>
      <c r="R370" s="3140" t="s">
        <v>2799</v>
      </c>
      <c r="S370" s="3140" t="s">
        <v>2800</v>
      </c>
      <c r="T370" s="3140" t="s">
        <v>2801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29178</v>
      </c>
      <c r="C2" s="2" t="s">
        <v>106</v>
      </c>
      <c r="D2" s="199"/>
      <c r="E2" s="199"/>
      <c r="F2" s="199"/>
      <c r="G2" s="199"/>
    </row>
    <row r="3" spans="1:7" s="200" customFormat="1" ht="18" customHeight="1" thickBot="1">
      <c r="A3" s="203" t="s">
        <v>58</v>
      </c>
      <c r="B3" s="204">
        <f ca="1">ROUND(B2*10000/'数据-汇总表'!E3,0)</f>
        <v>622823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v>
      </c>
      <c r="D10" s="845">
        <f>'数据-汇总表'!E6</f>
        <v>468.48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468.48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211</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468.48</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962" t="s">
        <v>94</v>
      </c>
    </row>
    <row r="43" spans="1:7" ht="13.5" customHeight="1">
      <c r="A43" s="780" t="s">
        <v>347</v>
      </c>
      <c r="B43" s="215" t="s">
        <v>426</v>
      </c>
      <c r="C43" s="238">
        <f ca="1">ROUND(IF('数据-取费表'!B22&lt;=1,C39*F22*'数据-取费表'!B21/2,C39*(POWER((1+F22),'数据-取费表'!B21/2)-1)),0)</f>
        <v>0</v>
      </c>
      <c r="D43" s="238"/>
      <c r="E43" s="238"/>
      <c r="F43" s="239"/>
      <c r="G43" s="3963"/>
    </row>
    <row r="44" spans="1:7" ht="13.5" customHeight="1">
      <c r="A44" s="780" t="s">
        <v>348</v>
      </c>
      <c r="B44" s="215" t="s">
        <v>428</v>
      </c>
      <c r="C44" s="238">
        <f ca="1">ROUND(IF('数据-取费表'!B22&lt;=1,C40*F22*'数据-取费表'!B21/2,C40*(POWER((1+F22),'数据-取费表'!B21/2)-1)),4)</f>
        <v>6.9999999999999999E-4</v>
      </c>
      <c r="D44" s="238"/>
      <c r="E44" s="238"/>
      <c r="F44" s="239"/>
      <c r="G44" s="3964"/>
    </row>
    <row r="45" spans="1:7" s="214" customFormat="1" ht="13.5" customHeight="1">
      <c r="A45" s="777" t="s">
        <v>341</v>
      </c>
      <c r="B45" s="244" t="s">
        <v>85</v>
      </c>
      <c r="C45" s="245">
        <f>C46</f>
        <v>47</v>
      </c>
      <c r="D45" s="235">
        <f>C47</f>
        <v>4.0000000000000001E-3</v>
      </c>
      <c r="E45" s="236" t="s">
        <v>102</v>
      </c>
      <c r="F45" s="246"/>
      <c r="G45" s="247" t="s">
        <v>434</v>
      </c>
    </row>
    <row r="46" spans="1:7" s="214" customFormat="1" ht="13.5" customHeight="1">
      <c r="A46" s="780" t="s">
        <v>349</v>
      </c>
      <c r="B46" s="248" t="s">
        <v>427</v>
      </c>
      <c r="C46" s="249">
        <f>ROUND((C33+C39)*F27,0)</f>
        <v>47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313</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219</v>
      </c>
      <c r="D51" s="232"/>
      <c r="E51" s="232"/>
      <c r="F51" s="264"/>
      <c r="G51" s="234" t="s">
        <v>37</v>
      </c>
    </row>
    <row r="52" spans="1:7" s="208" customFormat="1" ht="16.5" thickBot="1">
      <c r="A52" s="265" t="s">
        <v>38</v>
      </c>
      <c r="B52" s="266"/>
      <c r="C52" s="267">
        <f ca="1">C31+C51</f>
        <v>29178</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4184" t="s">
        <v>2837</v>
      </c>
      <c r="B1" s="4184"/>
      <c r="C1" s="4184"/>
      <c r="D1" s="4184"/>
      <c r="E1" s="4184"/>
      <c r="F1" s="4184"/>
      <c r="G1" s="4185"/>
      <c r="I1" s="3221" t="s">
        <v>2838</v>
      </c>
      <c r="J1" s="3222" t="s">
        <v>2839</v>
      </c>
      <c r="K1" s="3222" t="s">
        <v>2840</v>
      </c>
      <c r="L1" s="3222" t="s">
        <v>2841</v>
      </c>
      <c r="M1" s="3222" t="s">
        <v>2842</v>
      </c>
      <c r="N1" s="3222" t="s">
        <v>2843</v>
      </c>
      <c r="O1" s="3222" t="s">
        <v>2844</v>
      </c>
      <c r="P1" s="3222" t="s">
        <v>2845</v>
      </c>
      <c r="Q1" s="3222" t="s">
        <v>2846</v>
      </c>
      <c r="R1" s="3222" t="s">
        <v>2847</v>
      </c>
      <c r="S1" s="3222" t="s">
        <v>2848</v>
      </c>
      <c r="T1" s="3223" t="s">
        <v>2849</v>
      </c>
    </row>
    <row r="2" spans="1:20" ht="12" thickBot="1">
      <c r="A2" s="3225" t="s">
        <v>2850</v>
      </c>
      <c r="B2" s="3225"/>
      <c r="C2" s="3225"/>
      <c r="D2" s="3225"/>
      <c r="E2" s="3225"/>
      <c r="F2" s="3225"/>
      <c r="G2" s="3226" t="s">
        <v>2851</v>
      </c>
      <c r="I2" s="3227" t="s">
        <v>2852</v>
      </c>
      <c r="J2" s="3227" t="s">
        <v>2853</v>
      </c>
      <c r="K2" s="3227" t="s">
        <v>2854</v>
      </c>
      <c r="L2" s="3227" t="s">
        <v>2855</v>
      </c>
      <c r="M2" s="3227" t="s">
        <v>2856</v>
      </c>
      <c r="N2" s="3227" t="s">
        <v>2857</v>
      </c>
      <c r="O2" s="3227" t="s">
        <v>2858</v>
      </c>
      <c r="P2" s="3227" t="s">
        <v>2859</v>
      </c>
      <c r="Q2" s="3227" t="s">
        <v>2860</v>
      </c>
      <c r="R2" s="3227" t="s">
        <v>2861</v>
      </c>
      <c r="S2" s="3227" t="s">
        <v>2862</v>
      </c>
      <c r="T2" s="3227" t="s">
        <v>2863</v>
      </c>
    </row>
    <row r="3" spans="1:20" s="3233" customFormat="1">
      <c r="A3" s="4182" t="s">
        <v>2864</v>
      </c>
      <c r="B3" s="3228"/>
      <c r="C3" s="3229" t="s">
        <v>2805</v>
      </c>
      <c r="D3" s="3229" t="s">
        <v>2865</v>
      </c>
      <c r="E3" s="3229" t="s">
        <v>2807</v>
      </c>
      <c r="F3" s="3229" t="s">
        <v>2866</v>
      </c>
      <c r="G3" s="3229" t="s">
        <v>2625</v>
      </c>
      <c r="H3" s="3230"/>
      <c r="I3" s="3231" t="s">
        <v>2867</v>
      </c>
      <c r="J3" s="3232" t="s">
        <v>128</v>
      </c>
      <c r="K3" s="3232" t="s">
        <v>129</v>
      </c>
      <c r="L3" s="3231" t="s">
        <v>130</v>
      </c>
      <c r="M3" s="3231" t="s">
        <v>131</v>
      </c>
      <c r="N3" s="3231" t="s">
        <v>132</v>
      </c>
      <c r="O3" s="3231" t="s">
        <v>133</v>
      </c>
      <c r="P3" s="3231" t="s">
        <v>134</v>
      </c>
      <c r="Q3" s="3231" t="s">
        <v>135</v>
      </c>
      <c r="R3" s="3231" t="s">
        <v>136</v>
      </c>
      <c r="S3" s="3231" t="s">
        <v>2868</v>
      </c>
      <c r="T3" s="3231" t="s">
        <v>2869</v>
      </c>
    </row>
    <row r="4" spans="1:20" s="3233" customFormat="1" ht="12" thickBot="1">
      <c r="A4" s="4183"/>
      <c r="B4" s="3234" t="s">
        <v>2870</v>
      </c>
      <c r="C4" s="3234" t="s">
        <v>2871</v>
      </c>
      <c r="D4" s="3234" t="s">
        <v>2871</v>
      </c>
      <c r="E4" s="3234" t="s">
        <v>2871</v>
      </c>
      <c r="F4" s="3235" t="s">
        <v>2871</v>
      </c>
      <c r="G4" s="3235" t="s">
        <v>2871</v>
      </c>
      <c r="H4" s="3230"/>
      <c r="I4" s="3232" t="s">
        <v>137</v>
      </c>
      <c r="J4" s="3232" t="s">
        <v>111</v>
      </c>
      <c r="K4" s="3232" t="s">
        <v>138</v>
      </c>
      <c r="L4" s="3231" t="s">
        <v>139</v>
      </c>
      <c r="M4" s="3231" t="s">
        <v>140</v>
      </c>
      <c r="N4" s="3231" t="s">
        <v>141</v>
      </c>
      <c r="O4" s="3231" t="s">
        <v>142</v>
      </c>
      <c r="P4" s="3231" t="s">
        <v>143</v>
      </c>
      <c r="Q4" s="3231" t="s">
        <v>2872</v>
      </c>
      <c r="R4" s="3231" t="s">
        <v>2873</v>
      </c>
      <c r="S4" s="3231" t="s">
        <v>2874</v>
      </c>
      <c r="T4" s="3231" t="s">
        <v>2875</v>
      </c>
    </row>
    <row r="5" spans="1:20">
      <c r="A5" s="3236" t="s">
        <v>2838</v>
      </c>
      <c r="B5" s="3227" t="s">
        <v>2852</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2876</v>
      </c>
      <c r="R5" s="3231" t="s">
        <v>2877</v>
      </c>
      <c r="S5" s="3231" t="s">
        <v>153</v>
      </c>
      <c r="T5" s="3231" t="s">
        <v>2878</v>
      </c>
    </row>
    <row r="6" spans="1:20" ht="12" thickBot="1">
      <c r="A6" s="3231" t="s">
        <v>144</v>
      </c>
      <c r="B6" s="3231" t="s">
        <v>2867</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2879</v>
      </c>
      <c r="Q6" s="3231" t="s">
        <v>2880</v>
      </c>
      <c r="R6" s="3231" t="s">
        <v>161</v>
      </c>
      <c r="S6" s="3231" t="s">
        <v>2881</v>
      </c>
      <c r="T6" s="3231" t="s">
        <v>2882</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2883</v>
      </c>
      <c r="Q7" s="3231" t="s">
        <v>2884</v>
      </c>
      <c r="R7" s="3231" t="s">
        <v>2885</v>
      </c>
      <c r="S7" s="3231" t="s">
        <v>2886</v>
      </c>
      <c r="T7" s="3231" t="s">
        <v>2887</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2888</v>
      </c>
      <c r="Q8" s="3231" t="s">
        <v>174</v>
      </c>
      <c r="R8" s="3231" t="s">
        <v>2889</v>
      </c>
      <c r="S8" s="3231" t="s">
        <v>2890</v>
      </c>
      <c r="T8" s="3238" t="s">
        <v>2891</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2892</v>
      </c>
      <c r="Q9" s="3231" t="s">
        <v>182</v>
      </c>
      <c r="R9" s="3231" t="s">
        <v>183</v>
      </c>
      <c r="S9" s="3231" t="s">
        <v>200</v>
      </c>
    </row>
    <row r="10" spans="1:20">
      <c r="A10" s="3236" t="s">
        <v>184</v>
      </c>
      <c r="B10" s="3227" t="s">
        <v>2853</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2893</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2894</v>
      </c>
      <c r="P11" s="3231" t="s">
        <v>191</v>
      </c>
      <c r="Q11" s="3231" t="s">
        <v>199</v>
      </c>
      <c r="R11" s="3231" t="s">
        <v>2895</v>
      </c>
      <c r="S11" s="3231" t="s">
        <v>2896</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2897</v>
      </c>
      <c r="P12" s="3231" t="s">
        <v>2898</v>
      </c>
      <c r="Q12" s="3231" t="s">
        <v>2899</v>
      </c>
      <c r="R12" s="3231" t="s">
        <v>2900</v>
      </c>
      <c r="S12" s="3231" t="s">
        <v>2901</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2902</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2903</v>
      </c>
      <c r="K14" s="3232" t="s">
        <v>215</v>
      </c>
      <c r="L14" s="3231" t="s">
        <v>216</v>
      </c>
      <c r="M14" s="3231" t="s">
        <v>217</v>
      </c>
      <c r="N14" s="3231" t="s">
        <v>218</v>
      </c>
      <c r="O14" s="3231" t="s">
        <v>240</v>
      </c>
      <c r="P14" s="3231" t="s">
        <v>213</v>
      </c>
      <c r="Q14" s="3231" t="s">
        <v>2904</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2905</v>
      </c>
      <c r="P15" s="3231" t="s">
        <v>2906</v>
      </c>
      <c r="Q15" s="3231" t="s">
        <v>242</v>
      </c>
      <c r="R15" s="3231" t="s">
        <v>2907</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2908</v>
      </c>
      <c r="P16" s="3231" t="s">
        <v>227</v>
      </c>
      <c r="Q16" s="3231" t="s">
        <v>250</v>
      </c>
      <c r="R16" s="3231" t="s">
        <v>207</v>
      </c>
      <c r="S16" s="3231" t="s">
        <v>2909</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2910</v>
      </c>
      <c r="P17" s="3231" t="s">
        <v>2911</v>
      </c>
      <c r="Q17" s="3231" t="s">
        <v>256</v>
      </c>
      <c r="R17" s="3231" t="s">
        <v>2912</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2913</v>
      </c>
      <c r="P18" s="3231" t="s">
        <v>241</v>
      </c>
      <c r="Q18" s="3231" t="s">
        <v>2914</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2915</v>
      </c>
      <c r="P19" s="3231" t="s">
        <v>249</v>
      </c>
      <c r="Q19" s="3231" t="s">
        <v>2916</v>
      </c>
      <c r="R19" s="3231" t="s">
        <v>265</v>
      </c>
      <c r="S19" s="3231" t="s">
        <v>2917</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2918</v>
      </c>
      <c r="P20" s="3231" t="s">
        <v>2919</v>
      </c>
      <c r="Q20" s="3231" t="s">
        <v>290</v>
      </c>
      <c r="R20" s="3231" t="s">
        <v>2920</v>
      </c>
      <c r="S20" s="3231" t="s">
        <v>277</v>
      </c>
    </row>
    <row r="21" spans="1:19" ht="14.25" customHeight="1" thickBot="1">
      <c r="A21" s="3231" t="s">
        <v>184</v>
      </c>
      <c r="B21" s="3232" t="s">
        <v>208</v>
      </c>
      <c r="C21" s="3231">
        <v>32370</v>
      </c>
      <c r="D21" s="3231">
        <v>26730</v>
      </c>
      <c r="E21" s="3231">
        <v>26640</v>
      </c>
      <c r="F21" s="3231"/>
      <c r="G21" s="3231">
        <v>19440</v>
      </c>
      <c r="J21" s="3238" t="s">
        <v>2921</v>
      </c>
      <c r="K21" s="3232" t="s">
        <v>267</v>
      </c>
      <c r="L21" s="3231" t="s">
        <v>268</v>
      </c>
      <c r="M21" s="3231" t="s">
        <v>269</v>
      </c>
      <c r="N21" s="3231" t="s">
        <v>270</v>
      </c>
      <c r="O21" s="3231" t="s">
        <v>264</v>
      </c>
      <c r="P21" s="3231" t="s">
        <v>283</v>
      </c>
      <c r="Q21" s="3231" t="s">
        <v>293</v>
      </c>
      <c r="R21" s="3231" t="s">
        <v>2922</v>
      </c>
      <c r="S21" s="3238" t="s">
        <v>2923</v>
      </c>
    </row>
    <row r="22" spans="1:19" ht="14.25" customHeight="1">
      <c r="A22" s="3231" t="s">
        <v>184</v>
      </c>
      <c r="B22" s="3232" t="s">
        <v>2903</v>
      </c>
      <c r="C22" s="3231">
        <v>29830</v>
      </c>
      <c r="D22" s="3231">
        <v>27600</v>
      </c>
      <c r="E22" s="3231">
        <v>28150</v>
      </c>
      <c r="F22" s="3231"/>
      <c r="G22" s="3231">
        <v>20080</v>
      </c>
      <c r="K22" s="3232" t="s">
        <v>2924</v>
      </c>
      <c r="L22" s="3231" t="s">
        <v>272</v>
      </c>
      <c r="M22" s="3231" t="s">
        <v>273</v>
      </c>
      <c r="N22" s="3231" t="s">
        <v>274</v>
      </c>
      <c r="O22" s="3231" t="s">
        <v>2925</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2926</v>
      </c>
      <c r="L23" s="3231" t="s">
        <v>278</v>
      </c>
      <c r="M23" s="3231" t="s">
        <v>279</v>
      </c>
      <c r="N23" s="3231" t="s">
        <v>2927</v>
      </c>
      <c r="O23" s="3231" t="s">
        <v>2928</v>
      </c>
      <c r="P23" s="3231" t="s">
        <v>289</v>
      </c>
      <c r="Q23" s="3231" t="s">
        <v>298</v>
      </c>
      <c r="R23" s="3231" t="s">
        <v>2929</v>
      </c>
    </row>
    <row r="24" spans="1:19" ht="14.25" customHeight="1">
      <c r="A24" s="3231" t="s">
        <v>184</v>
      </c>
      <c r="B24" s="3232" t="s">
        <v>230</v>
      </c>
      <c r="C24" s="3231">
        <v>27930</v>
      </c>
      <c r="D24" s="3231">
        <v>32260</v>
      </c>
      <c r="E24" s="3231">
        <v>32120</v>
      </c>
      <c r="F24" s="3231"/>
      <c r="G24" s="3231">
        <v>23470</v>
      </c>
      <c r="K24" s="3232" t="s">
        <v>2930</v>
      </c>
      <c r="L24" s="3231" t="s">
        <v>281</v>
      </c>
      <c r="M24" s="3231" t="s">
        <v>282</v>
      </c>
      <c r="N24" s="3231" t="s">
        <v>2931</v>
      </c>
      <c r="O24" s="3231" t="s">
        <v>285</v>
      </c>
      <c r="P24" s="3231" t="s">
        <v>2932</v>
      </c>
      <c r="Q24" s="3240" t="s">
        <v>2933</v>
      </c>
      <c r="R24" s="3231" t="s">
        <v>2934</v>
      </c>
    </row>
    <row r="25" spans="1:19" ht="14.25" customHeight="1">
      <c r="A25" s="3231" t="s">
        <v>184</v>
      </c>
      <c r="B25" s="3232" t="s">
        <v>235</v>
      </c>
      <c r="C25" s="3231">
        <v>32230</v>
      </c>
      <c r="D25" s="3231">
        <v>29640</v>
      </c>
      <c r="E25" s="3231">
        <v>29510</v>
      </c>
      <c r="F25" s="3231"/>
      <c r="G25" s="3231">
        <v>21560</v>
      </c>
      <c r="K25" s="3232" t="s">
        <v>2935</v>
      </c>
      <c r="L25" s="3231" t="s">
        <v>2936</v>
      </c>
      <c r="M25" s="3231" t="s">
        <v>284</v>
      </c>
      <c r="N25" s="3231" t="s">
        <v>292</v>
      </c>
      <c r="O25" s="3231" t="s">
        <v>288</v>
      </c>
      <c r="P25" s="3231" t="s">
        <v>275</v>
      </c>
      <c r="Q25" s="3240" t="s">
        <v>271</v>
      </c>
      <c r="R25" s="3231" t="s">
        <v>2937</v>
      </c>
    </row>
    <row r="26" spans="1:19" ht="14.25" customHeight="1" thickBot="1">
      <c r="A26" s="3231" t="s">
        <v>184</v>
      </c>
      <c r="B26" s="3232" t="s">
        <v>244</v>
      </c>
      <c r="C26" s="3231">
        <v>31690</v>
      </c>
      <c r="D26" s="3231">
        <v>27650</v>
      </c>
      <c r="E26" s="3231">
        <v>28200</v>
      </c>
      <c r="F26" s="3231"/>
      <c r="G26" s="3231">
        <v>20110</v>
      </c>
      <c r="K26" s="3237" t="s">
        <v>2938</v>
      </c>
      <c r="L26" s="3231" t="s">
        <v>2939</v>
      </c>
      <c r="M26" s="3231" t="s">
        <v>287</v>
      </c>
      <c r="N26" s="3231" t="s">
        <v>294</v>
      </c>
      <c r="O26" s="3231" t="s">
        <v>2940</v>
      </c>
      <c r="P26" s="3231" t="s">
        <v>2941</v>
      </c>
      <c r="Q26" s="3240" t="s">
        <v>276</v>
      </c>
      <c r="R26" s="3231" t="s">
        <v>2942</v>
      </c>
    </row>
    <row r="27" spans="1:19" ht="14.25" customHeight="1">
      <c r="A27" s="3231" t="s">
        <v>184</v>
      </c>
      <c r="B27" s="3232" t="s">
        <v>251</v>
      </c>
      <c r="C27" s="3231">
        <v>29610</v>
      </c>
      <c r="D27" s="3231">
        <v>27770</v>
      </c>
      <c r="E27" s="3231">
        <v>28300</v>
      </c>
      <c r="F27" s="3231"/>
      <c r="G27" s="3231">
        <v>20210</v>
      </c>
      <c r="L27" s="3231" t="s">
        <v>2943</v>
      </c>
      <c r="M27" s="3231" t="s">
        <v>291</v>
      </c>
      <c r="N27" s="3231" t="s">
        <v>297</v>
      </c>
      <c r="O27" s="3231" t="s">
        <v>2944</v>
      </c>
      <c r="P27" s="3231" t="s">
        <v>2945</v>
      </c>
      <c r="Q27" s="3231" t="s">
        <v>2946</v>
      </c>
      <c r="R27" s="3231" t="s">
        <v>2947</v>
      </c>
    </row>
    <row r="28" spans="1:19" ht="14.25" customHeight="1">
      <c r="A28" s="3231" t="s">
        <v>184</v>
      </c>
      <c r="B28" s="3232" t="s">
        <v>259</v>
      </c>
      <c r="C28" s="3231"/>
      <c r="D28" s="3231">
        <v>31520</v>
      </c>
      <c r="E28" s="3231">
        <v>31410</v>
      </c>
      <c r="F28" s="3231"/>
      <c r="G28" s="3231">
        <v>22940</v>
      </c>
      <c r="L28" s="3231" t="s">
        <v>2948</v>
      </c>
      <c r="M28" s="3231" t="s">
        <v>2949</v>
      </c>
      <c r="N28" s="3231" t="s">
        <v>2950</v>
      </c>
      <c r="O28" s="3231" t="s">
        <v>2951</v>
      </c>
      <c r="P28" s="3231" t="s">
        <v>2952</v>
      </c>
      <c r="Q28" s="3231" t="s">
        <v>2953</v>
      </c>
      <c r="R28" s="3231" t="s">
        <v>2954</v>
      </c>
    </row>
    <row r="29" spans="1:19" ht="14.25" customHeight="1" thickBot="1">
      <c r="A29" s="3239" t="s">
        <v>184</v>
      </c>
      <c r="B29" s="3241" t="s">
        <v>2921</v>
      </c>
      <c r="C29" s="3242"/>
      <c r="D29" s="3242">
        <v>29460</v>
      </c>
      <c r="E29" s="3242">
        <v>28640</v>
      </c>
      <c r="F29" s="3242"/>
      <c r="G29" s="3242">
        <v>21430</v>
      </c>
      <c r="L29" s="3231" t="s">
        <v>2955</v>
      </c>
      <c r="M29" s="3231" t="s">
        <v>2956</v>
      </c>
      <c r="N29" s="3231" t="s">
        <v>2957</v>
      </c>
      <c r="O29" s="3231" t="s">
        <v>2958</v>
      </c>
      <c r="P29" s="3231" t="s">
        <v>2959</v>
      </c>
      <c r="Q29" s="3231" t="s">
        <v>2960</v>
      </c>
      <c r="R29" s="3231" t="s">
        <v>280</v>
      </c>
    </row>
    <row r="30" spans="1:19" ht="14.25" customHeight="1">
      <c r="A30" s="3236" t="s">
        <v>296</v>
      </c>
      <c r="B30" s="3227" t="s">
        <v>2854</v>
      </c>
      <c r="C30" s="3227">
        <v>26890</v>
      </c>
      <c r="D30" s="3227">
        <v>26770</v>
      </c>
      <c r="E30" s="3227">
        <v>25700</v>
      </c>
      <c r="F30" s="3227">
        <v>8180</v>
      </c>
      <c r="G30" s="3243">
        <v>18740</v>
      </c>
      <c r="L30" s="3231" t="s">
        <v>2961</v>
      </c>
      <c r="M30" s="3231" t="s">
        <v>2962</v>
      </c>
      <c r="N30" s="3231" t="s">
        <v>2963</v>
      </c>
      <c r="O30" s="3231" t="s">
        <v>2964</v>
      </c>
      <c r="P30" s="3231" t="s">
        <v>2965</v>
      </c>
      <c r="Q30" s="3231" t="s">
        <v>2966</v>
      </c>
      <c r="R30" s="3231" t="s">
        <v>2967</v>
      </c>
    </row>
    <row r="31" spans="1:19" ht="14.25" customHeight="1">
      <c r="A31" s="3231" t="s">
        <v>296</v>
      </c>
      <c r="B31" s="3232" t="s">
        <v>129</v>
      </c>
      <c r="C31" s="3231">
        <v>24550</v>
      </c>
      <c r="D31" s="3231">
        <v>23990</v>
      </c>
      <c r="E31" s="3231">
        <v>22930</v>
      </c>
      <c r="F31" s="3231">
        <v>7470</v>
      </c>
      <c r="G31" s="3244">
        <v>16790</v>
      </c>
      <c r="L31" s="3231" t="s">
        <v>2968</v>
      </c>
      <c r="M31" s="3231" t="s">
        <v>2969</v>
      </c>
      <c r="N31" s="3231" t="s">
        <v>2970</v>
      </c>
      <c r="O31" s="3231" t="s">
        <v>2971</v>
      </c>
      <c r="P31" s="3231" t="s">
        <v>2972</v>
      </c>
      <c r="Q31" s="3231" t="s">
        <v>2973</v>
      </c>
      <c r="R31" s="3231" t="s">
        <v>2974</v>
      </c>
    </row>
    <row r="32" spans="1:19" ht="14.25" customHeight="1" thickBot="1">
      <c r="A32" s="3231" t="s">
        <v>296</v>
      </c>
      <c r="B32" s="3232" t="s">
        <v>138</v>
      </c>
      <c r="C32" s="3231">
        <v>27210</v>
      </c>
      <c r="D32" s="3231">
        <v>23240</v>
      </c>
      <c r="E32" s="3231">
        <v>23260</v>
      </c>
      <c r="F32" s="3231">
        <v>7130</v>
      </c>
      <c r="G32" s="3244">
        <v>16270</v>
      </c>
      <c r="L32" s="3231" t="s">
        <v>2975</v>
      </c>
      <c r="M32" s="3231" t="s">
        <v>2976</v>
      </c>
      <c r="N32" s="3231" t="s">
        <v>300</v>
      </c>
      <c r="O32" s="3231" t="s">
        <v>2977</v>
      </c>
      <c r="P32" s="3231" t="s">
        <v>299</v>
      </c>
      <c r="Q32" s="3231" t="s">
        <v>2978</v>
      </c>
      <c r="R32" s="3238" t="s">
        <v>2979</v>
      </c>
    </row>
    <row r="33" spans="1:17" ht="14.25" customHeight="1" thickBot="1">
      <c r="A33" s="3231" t="s">
        <v>296</v>
      </c>
      <c r="B33" s="3232" t="s">
        <v>147</v>
      </c>
      <c r="C33" s="3231">
        <v>27300</v>
      </c>
      <c r="D33" s="3231">
        <v>22980</v>
      </c>
      <c r="E33" s="3231">
        <v>24260</v>
      </c>
      <c r="F33" s="3231">
        <v>5860</v>
      </c>
      <c r="G33" s="3244">
        <v>16090</v>
      </c>
      <c r="L33" s="3238" t="s">
        <v>2980</v>
      </c>
      <c r="M33" s="3231" t="s">
        <v>2981</v>
      </c>
      <c r="N33" s="3231" t="s">
        <v>301</v>
      </c>
      <c r="O33" s="3231" t="s">
        <v>2982</v>
      </c>
      <c r="P33" s="3231" t="s">
        <v>2983</v>
      </c>
      <c r="Q33" s="3231" t="s">
        <v>2984</v>
      </c>
    </row>
    <row r="34" spans="1:17" ht="14.25" customHeight="1">
      <c r="A34" s="3231" t="s">
        <v>296</v>
      </c>
      <c r="B34" s="3232" t="s">
        <v>156</v>
      </c>
      <c r="C34" s="3231">
        <v>23090</v>
      </c>
      <c r="D34" s="3231">
        <v>23390</v>
      </c>
      <c r="E34" s="3231">
        <v>23510</v>
      </c>
      <c r="F34" s="3231">
        <v>6700</v>
      </c>
      <c r="G34" s="3244">
        <v>16370</v>
      </c>
      <c r="M34" s="3231" t="s">
        <v>2985</v>
      </c>
      <c r="N34" s="3231" t="s">
        <v>302</v>
      </c>
      <c r="O34" s="3231" t="s">
        <v>2986</v>
      </c>
      <c r="P34" s="3231" t="s">
        <v>2987</v>
      </c>
      <c r="Q34" s="3231" t="s">
        <v>2988</v>
      </c>
    </row>
    <row r="35" spans="1:17" ht="14.25" customHeight="1">
      <c r="A35" s="3231" t="s">
        <v>296</v>
      </c>
      <c r="B35" s="3232" t="s">
        <v>163</v>
      </c>
      <c r="C35" s="3231">
        <v>27270</v>
      </c>
      <c r="D35" s="3231">
        <v>24270</v>
      </c>
      <c r="E35" s="3231">
        <v>24950</v>
      </c>
      <c r="F35" s="3231">
        <v>6600</v>
      </c>
      <c r="G35" s="3244">
        <v>16990</v>
      </c>
      <c r="M35" s="3231" t="s">
        <v>2989</v>
      </c>
      <c r="N35" s="3231" t="s">
        <v>2990</v>
      </c>
      <c r="O35" s="3231" t="s">
        <v>2991</v>
      </c>
      <c r="P35" s="3231" t="s">
        <v>2992</v>
      </c>
      <c r="Q35" s="3231" t="s">
        <v>2993</v>
      </c>
    </row>
    <row r="36" spans="1:17" ht="14.25" customHeight="1">
      <c r="A36" s="3231" t="s">
        <v>296</v>
      </c>
      <c r="B36" s="3232" t="s">
        <v>169</v>
      </c>
      <c r="C36" s="3231">
        <v>23490</v>
      </c>
      <c r="D36" s="3231">
        <v>23020</v>
      </c>
      <c r="E36" s="3231">
        <v>25230</v>
      </c>
      <c r="F36" s="3231">
        <v>6780</v>
      </c>
      <c r="G36" s="3244">
        <v>16120</v>
      </c>
      <c r="M36" s="3231" t="s">
        <v>2994</v>
      </c>
      <c r="N36" s="3231" t="s">
        <v>2995</v>
      </c>
      <c r="O36" s="3231" t="s">
        <v>2996</v>
      </c>
      <c r="P36" s="3231" t="s">
        <v>2997</v>
      </c>
      <c r="Q36" s="3231" t="s">
        <v>2998</v>
      </c>
    </row>
    <row r="37" spans="1:17" ht="14.25" customHeight="1">
      <c r="A37" s="3231" t="s">
        <v>296</v>
      </c>
      <c r="B37" s="3232" t="s">
        <v>176</v>
      </c>
      <c r="C37" s="3231">
        <v>24380</v>
      </c>
      <c r="D37" s="3231">
        <v>22240</v>
      </c>
      <c r="E37" s="3231">
        <v>25980</v>
      </c>
      <c r="F37" s="3231">
        <v>8160</v>
      </c>
      <c r="G37" s="3244">
        <v>15570</v>
      </c>
      <c r="M37" s="3231" t="s">
        <v>2999</v>
      </c>
      <c r="N37" s="3231" t="s">
        <v>3000</v>
      </c>
      <c r="O37" s="3231" t="s">
        <v>3001</v>
      </c>
      <c r="P37" s="3231" t="s">
        <v>3002</v>
      </c>
      <c r="Q37" s="3231" t="s">
        <v>3003</v>
      </c>
    </row>
    <row r="38" spans="1:17" ht="14.25" customHeight="1">
      <c r="A38" s="3231" t="s">
        <v>296</v>
      </c>
      <c r="B38" s="3232" t="s">
        <v>186</v>
      </c>
      <c r="C38" s="3231">
        <v>23120</v>
      </c>
      <c r="D38" s="3231">
        <v>24630</v>
      </c>
      <c r="E38" s="3231">
        <v>25030</v>
      </c>
      <c r="F38" s="3231">
        <v>7710</v>
      </c>
      <c r="G38" s="3244">
        <v>17240</v>
      </c>
      <c r="M38" s="3231" t="s">
        <v>3004</v>
      </c>
      <c r="N38" s="3231" t="s">
        <v>3005</v>
      </c>
      <c r="O38" s="3231" t="s">
        <v>3006</v>
      </c>
      <c r="P38" s="3231" t="s">
        <v>3007</v>
      </c>
      <c r="Q38" s="3231" t="s">
        <v>3008</v>
      </c>
    </row>
    <row r="39" spans="1:17" ht="14.25" customHeight="1">
      <c r="A39" s="3231" t="s">
        <v>296</v>
      </c>
      <c r="B39" s="3232" t="s">
        <v>195</v>
      </c>
      <c r="C39" s="3231">
        <v>22330</v>
      </c>
      <c r="D39" s="3231">
        <v>21140</v>
      </c>
      <c r="E39" s="3231">
        <v>23970</v>
      </c>
      <c r="F39" s="3231">
        <v>7940</v>
      </c>
      <c r="G39" s="3244">
        <v>14790</v>
      </c>
      <c r="M39" s="3231" t="s">
        <v>3009</v>
      </c>
      <c r="N39" s="3231" t="s">
        <v>3010</v>
      </c>
      <c r="O39" s="3231" t="s">
        <v>3011</v>
      </c>
      <c r="P39" s="3231" t="s">
        <v>3012</v>
      </c>
      <c r="Q39" s="3231" t="s">
        <v>3013</v>
      </c>
    </row>
    <row r="40" spans="1:17" ht="14.25" customHeight="1">
      <c r="A40" s="3231" t="s">
        <v>296</v>
      </c>
      <c r="B40" s="3232" t="s">
        <v>202</v>
      </c>
      <c r="C40" s="3231">
        <v>24740</v>
      </c>
      <c r="D40" s="3231">
        <v>24690</v>
      </c>
      <c r="E40" s="3231">
        <v>22610</v>
      </c>
      <c r="F40" s="3231"/>
      <c r="G40" s="3244">
        <v>17280</v>
      </c>
      <c r="M40" s="3231" t="s">
        <v>3014</v>
      </c>
      <c r="N40" s="3231" t="s">
        <v>3015</v>
      </c>
      <c r="O40" s="3231" t="s">
        <v>3016</v>
      </c>
      <c r="P40" s="3231" t="s">
        <v>3017</v>
      </c>
      <c r="Q40" s="3231" t="s">
        <v>3018</v>
      </c>
    </row>
    <row r="41" spans="1:17" ht="14.25" customHeight="1" thickBot="1">
      <c r="A41" s="3231" t="s">
        <v>296</v>
      </c>
      <c r="B41" s="3232" t="s">
        <v>209</v>
      </c>
      <c r="C41" s="3231">
        <v>21220</v>
      </c>
      <c r="D41" s="3231">
        <v>21120</v>
      </c>
      <c r="E41" s="3231">
        <v>22590</v>
      </c>
      <c r="F41" s="3231"/>
      <c r="G41" s="3244">
        <v>14780</v>
      </c>
      <c r="M41" s="3238" t="s">
        <v>3019</v>
      </c>
      <c r="N41" s="3231" t="s">
        <v>3020</v>
      </c>
      <c r="O41" s="3231" t="s">
        <v>3021</v>
      </c>
      <c r="P41" s="3231" t="s">
        <v>3022</v>
      </c>
      <c r="Q41" s="3231" t="s">
        <v>3023</v>
      </c>
    </row>
    <row r="42" spans="1:17" ht="14.25" customHeight="1">
      <c r="A42" s="3231" t="s">
        <v>296</v>
      </c>
      <c r="B42" s="3232" t="s">
        <v>215</v>
      </c>
      <c r="C42" s="3231">
        <v>24800</v>
      </c>
      <c r="D42" s="3231">
        <v>22280</v>
      </c>
      <c r="E42" s="3231">
        <v>24350</v>
      </c>
      <c r="F42" s="3231"/>
      <c r="G42" s="3244">
        <v>15590</v>
      </c>
      <c r="N42" s="3231" t="s">
        <v>3024</v>
      </c>
      <c r="O42" s="3231" t="s">
        <v>3025</v>
      </c>
      <c r="P42" s="3231" t="s">
        <v>3026</v>
      </c>
      <c r="Q42" s="3231" t="s">
        <v>3027</v>
      </c>
    </row>
    <row r="43" spans="1:17" ht="14.25" customHeight="1">
      <c r="A43" s="3231" t="s">
        <v>3028</v>
      </c>
      <c r="B43" s="3232" t="s">
        <v>223</v>
      </c>
      <c r="C43" s="3231">
        <v>21210</v>
      </c>
      <c r="D43" s="3231">
        <v>21160</v>
      </c>
      <c r="E43" s="3231">
        <v>22650</v>
      </c>
      <c r="F43" s="3231"/>
      <c r="G43" s="3244">
        <v>14800</v>
      </c>
      <c r="N43" s="3231" t="s">
        <v>3029</v>
      </c>
      <c r="O43" s="3231" t="s">
        <v>3030</v>
      </c>
      <c r="P43" s="3231" t="s">
        <v>3031</v>
      </c>
      <c r="Q43" s="3231" t="s">
        <v>3032</v>
      </c>
    </row>
    <row r="44" spans="1:17" ht="14.25" customHeight="1" thickBot="1">
      <c r="A44" s="3231" t="s">
        <v>296</v>
      </c>
      <c r="B44" s="3232" t="s">
        <v>231</v>
      </c>
      <c r="C44" s="3231">
        <v>22370</v>
      </c>
      <c r="D44" s="3231">
        <v>23140</v>
      </c>
      <c r="E44" s="3231">
        <v>25090</v>
      </c>
      <c r="F44" s="3231"/>
      <c r="G44" s="3244">
        <v>16190</v>
      </c>
      <c r="N44" s="3231" t="s">
        <v>3033</v>
      </c>
      <c r="O44" s="3231" t="s">
        <v>3034</v>
      </c>
      <c r="P44" s="3238" t="s">
        <v>3035</v>
      </c>
      <c r="Q44" s="3231" t="s">
        <v>3036</v>
      </c>
    </row>
    <row r="45" spans="1:17" ht="14.25" customHeight="1" thickBot="1">
      <c r="A45" s="3231" t="s">
        <v>296</v>
      </c>
      <c r="B45" s="3232" t="s">
        <v>236</v>
      </c>
      <c r="C45" s="3231">
        <v>21240</v>
      </c>
      <c r="D45" s="3231">
        <v>27050</v>
      </c>
      <c r="E45" s="3231">
        <v>28000</v>
      </c>
      <c r="F45" s="3231"/>
      <c r="G45" s="3244">
        <v>18940</v>
      </c>
      <c r="N45" s="3231" t="s">
        <v>3037</v>
      </c>
      <c r="O45" s="3238" t="s">
        <v>3038</v>
      </c>
      <c r="Q45" s="3231" t="s">
        <v>3039</v>
      </c>
    </row>
    <row r="46" spans="1:17" ht="14.25" customHeight="1">
      <c r="A46" s="3231" t="s">
        <v>296</v>
      </c>
      <c r="B46" s="3232" t="s">
        <v>245</v>
      </c>
      <c r="C46" s="3231">
        <v>23240</v>
      </c>
      <c r="D46" s="3231">
        <v>23000</v>
      </c>
      <c r="E46" s="3231">
        <v>24980</v>
      </c>
      <c r="F46" s="3231"/>
      <c r="G46" s="3244">
        <v>16100</v>
      </c>
      <c r="N46" s="3231" t="s">
        <v>3040</v>
      </c>
      <c r="Q46" s="3231" t="s">
        <v>3041</v>
      </c>
    </row>
    <row r="47" spans="1:17" ht="14.25" customHeight="1">
      <c r="A47" s="3231" t="s">
        <v>296</v>
      </c>
      <c r="B47" s="3232" t="s">
        <v>252</v>
      </c>
      <c r="C47" s="3231">
        <v>27150</v>
      </c>
      <c r="D47" s="3231">
        <v>23310</v>
      </c>
      <c r="E47" s="3231">
        <v>25150</v>
      </c>
      <c r="F47" s="3231"/>
      <c r="G47" s="3244">
        <v>16310</v>
      </c>
      <c r="N47" s="3231" t="s">
        <v>3042</v>
      </c>
      <c r="Q47" s="3231" t="s">
        <v>3043</v>
      </c>
    </row>
    <row r="48" spans="1:17" ht="14.25" customHeight="1">
      <c r="A48" s="3231" t="s">
        <v>296</v>
      </c>
      <c r="B48" s="3232" t="s">
        <v>260</v>
      </c>
      <c r="C48" s="3231">
        <v>23100</v>
      </c>
      <c r="D48" s="3231">
        <v>21110</v>
      </c>
      <c r="E48" s="3231">
        <v>23080</v>
      </c>
      <c r="F48" s="3231"/>
      <c r="G48" s="3244">
        <v>14780</v>
      </c>
      <c r="N48" s="3231" t="s">
        <v>3044</v>
      </c>
      <c r="Q48" s="3231" t="s">
        <v>3045</v>
      </c>
    </row>
    <row r="49" spans="1:17" ht="14.25" customHeight="1">
      <c r="A49" s="3231" t="s">
        <v>296</v>
      </c>
      <c r="B49" s="3232" t="s">
        <v>267</v>
      </c>
      <c r="C49" s="3231">
        <v>23400</v>
      </c>
      <c r="D49" s="3231">
        <v>22920</v>
      </c>
      <c r="E49" s="3231">
        <v>24900</v>
      </c>
      <c r="F49" s="3231"/>
      <c r="G49" s="3244">
        <v>16040</v>
      </c>
      <c r="N49" s="3231" t="s">
        <v>3046</v>
      </c>
      <c r="Q49" s="3231" t="s">
        <v>3047</v>
      </c>
    </row>
    <row r="50" spans="1:17" ht="14.25" customHeight="1">
      <c r="A50" s="3231" t="s">
        <v>296</v>
      </c>
      <c r="B50" s="3232" t="s">
        <v>2924</v>
      </c>
      <c r="C50" s="3231">
        <v>21200</v>
      </c>
      <c r="D50" s="3231">
        <v>26540</v>
      </c>
      <c r="E50" s="3231">
        <v>23200</v>
      </c>
      <c r="F50" s="3231"/>
      <c r="G50" s="3244">
        <v>18580</v>
      </c>
      <c r="N50" s="3231" t="s">
        <v>3048</v>
      </c>
      <c r="Q50" s="3232" t="s">
        <v>3049</v>
      </c>
    </row>
    <row r="51" spans="1:17" ht="14.25" customHeight="1" thickBot="1">
      <c r="A51" s="3231" t="s">
        <v>296</v>
      </c>
      <c r="B51" s="3232" t="s">
        <v>2926</v>
      </c>
      <c r="C51" s="3231">
        <v>23000</v>
      </c>
      <c r="D51" s="3231">
        <v>23460</v>
      </c>
      <c r="E51" s="3231">
        <v>25290</v>
      </c>
      <c r="F51" s="3231"/>
      <c r="G51" s="3244">
        <v>16420</v>
      </c>
      <c r="N51" s="3231" t="s">
        <v>3050</v>
      </c>
      <c r="Q51" s="3238" t="s">
        <v>3051</v>
      </c>
    </row>
    <row r="52" spans="1:17" ht="14.25" customHeight="1">
      <c r="A52" s="3231" t="s">
        <v>296</v>
      </c>
      <c r="B52" s="3232" t="s">
        <v>2930</v>
      </c>
      <c r="C52" s="3231">
        <v>26660</v>
      </c>
      <c r="D52" s="3231">
        <v>22350</v>
      </c>
      <c r="E52" s="3231">
        <v>22920</v>
      </c>
      <c r="F52" s="3231"/>
      <c r="G52" s="3244">
        <v>15640</v>
      </c>
      <c r="N52" s="3231" t="s">
        <v>3052</v>
      </c>
    </row>
    <row r="53" spans="1:17" ht="14.25" customHeight="1">
      <c r="A53" s="3231" t="s">
        <v>296</v>
      </c>
      <c r="B53" s="3232" t="s">
        <v>2935</v>
      </c>
      <c r="C53" s="3231">
        <v>23580</v>
      </c>
      <c r="D53" s="3231"/>
      <c r="E53" s="3231">
        <v>24280</v>
      </c>
      <c r="F53" s="3231"/>
      <c r="G53" s="3244"/>
      <c r="N53" s="3231" t="s">
        <v>3053</v>
      </c>
    </row>
    <row r="54" spans="1:17" ht="14.25" customHeight="1" thickBot="1">
      <c r="A54" s="3245" t="s">
        <v>296</v>
      </c>
      <c r="B54" s="3237" t="s">
        <v>2938</v>
      </c>
      <c r="C54" s="3238">
        <v>22460</v>
      </c>
      <c r="D54" s="3238"/>
      <c r="E54" s="3238"/>
      <c r="F54" s="3238"/>
      <c r="G54" s="3246"/>
      <c r="N54" s="3231" t="s">
        <v>3054</v>
      </c>
    </row>
    <row r="55" spans="1:17" ht="14.25" customHeight="1">
      <c r="A55" s="3236" t="s">
        <v>110</v>
      </c>
      <c r="B55" s="3227" t="s">
        <v>3055</v>
      </c>
      <c r="C55" s="3231">
        <v>21970</v>
      </c>
      <c r="D55" s="3231">
        <v>20370</v>
      </c>
      <c r="E55" s="3231">
        <v>20180</v>
      </c>
      <c r="F55" s="3231">
        <v>5730</v>
      </c>
      <c r="G55" s="3231">
        <v>13820</v>
      </c>
      <c r="N55" s="3231" t="s">
        <v>3056</v>
      </c>
    </row>
    <row r="56" spans="1:17" ht="14.25" customHeight="1">
      <c r="A56" s="3231" t="s">
        <v>110</v>
      </c>
      <c r="B56" s="3231" t="s">
        <v>130</v>
      </c>
      <c r="C56" s="3231">
        <v>20470</v>
      </c>
      <c r="D56" s="3231">
        <v>20700</v>
      </c>
      <c r="E56" s="3231">
        <v>20380</v>
      </c>
      <c r="F56" s="3231">
        <v>4760</v>
      </c>
      <c r="G56" s="3231">
        <v>14050</v>
      </c>
      <c r="N56" s="3231" t="s">
        <v>3057</v>
      </c>
    </row>
    <row r="57" spans="1:17" ht="14.25" customHeight="1">
      <c r="A57" s="3231" t="s">
        <v>110</v>
      </c>
      <c r="B57" s="3231" t="s">
        <v>139</v>
      </c>
      <c r="C57" s="3231">
        <v>20790</v>
      </c>
      <c r="D57" s="3231">
        <v>21370</v>
      </c>
      <c r="E57" s="3231">
        <v>20890</v>
      </c>
      <c r="F57" s="3231">
        <v>4910</v>
      </c>
      <c r="G57" s="3231">
        <v>14510</v>
      </c>
      <c r="N57" s="3231" t="s">
        <v>3058</v>
      </c>
    </row>
    <row r="58" spans="1:17" ht="14.25" customHeight="1">
      <c r="A58" s="3231" t="s">
        <v>110</v>
      </c>
      <c r="B58" s="3231" t="s">
        <v>148</v>
      </c>
      <c r="C58" s="3231">
        <v>21460</v>
      </c>
      <c r="D58" s="3231">
        <v>20920</v>
      </c>
      <c r="E58" s="3231">
        <v>23410</v>
      </c>
      <c r="F58" s="3231">
        <v>5100</v>
      </c>
      <c r="G58" s="3231">
        <v>14200</v>
      </c>
      <c r="N58" s="3231" t="s">
        <v>3059</v>
      </c>
    </row>
    <row r="59" spans="1:17" ht="14.25" customHeight="1">
      <c r="A59" s="3231" t="s">
        <v>110</v>
      </c>
      <c r="B59" s="3231" t="s">
        <v>157</v>
      </c>
      <c r="C59" s="3231">
        <v>21000</v>
      </c>
      <c r="D59" s="3231">
        <v>21550</v>
      </c>
      <c r="E59" s="3231">
        <v>21150</v>
      </c>
      <c r="F59" s="3231">
        <v>5250</v>
      </c>
      <c r="G59" s="3231">
        <v>14630</v>
      </c>
      <c r="N59" s="3231" t="s">
        <v>3060</v>
      </c>
    </row>
    <row r="60" spans="1:17" ht="14.25" customHeight="1">
      <c r="A60" s="3231" t="s">
        <v>110</v>
      </c>
      <c r="B60" s="3231" t="s">
        <v>164</v>
      </c>
      <c r="C60" s="3231">
        <v>21640</v>
      </c>
      <c r="D60" s="3231">
        <v>21260</v>
      </c>
      <c r="E60" s="3231">
        <v>24040</v>
      </c>
      <c r="F60" s="3231">
        <v>4470</v>
      </c>
      <c r="G60" s="3231">
        <v>14430</v>
      </c>
      <c r="N60" s="3231" t="s">
        <v>3061</v>
      </c>
    </row>
    <row r="61" spans="1:17" ht="14.25" customHeight="1">
      <c r="A61" s="3231" t="s">
        <v>110</v>
      </c>
      <c r="B61" s="3231" t="s">
        <v>170</v>
      </c>
      <c r="C61" s="3231">
        <v>21330</v>
      </c>
      <c r="D61" s="3231">
        <v>18640</v>
      </c>
      <c r="E61" s="3231">
        <v>21190</v>
      </c>
      <c r="F61" s="3231">
        <v>4180</v>
      </c>
      <c r="G61" s="3231">
        <v>12650</v>
      </c>
      <c r="N61" s="3231" t="s">
        <v>3062</v>
      </c>
    </row>
    <row r="62" spans="1:17" ht="14.25" customHeight="1">
      <c r="A62" s="3231" t="s">
        <v>110</v>
      </c>
      <c r="B62" s="3231" t="s">
        <v>177</v>
      </c>
      <c r="C62" s="3231">
        <v>18710</v>
      </c>
      <c r="D62" s="3231">
        <v>19400</v>
      </c>
      <c r="E62" s="3231">
        <v>23750</v>
      </c>
      <c r="F62" s="3231">
        <v>4860</v>
      </c>
      <c r="G62" s="3231">
        <v>13170</v>
      </c>
      <c r="N62" s="3231" t="s">
        <v>3063</v>
      </c>
    </row>
    <row r="63" spans="1:17" ht="14.25" customHeight="1">
      <c r="A63" s="3231" t="s">
        <v>110</v>
      </c>
      <c r="B63" s="3231" t="s">
        <v>187</v>
      </c>
      <c r="C63" s="3231">
        <v>19480</v>
      </c>
      <c r="D63" s="3231">
        <v>16830</v>
      </c>
      <c r="E63" s="3231">
        <v>21590</v>
      </c>
      <c r="F63" s="3231">
        <v>4560</v>
      </c>
      <c r="G63" s="3231">
        <v>11420</v>
      </c>
      <c r="N63" s="3231" t="s">
        <v>3064</v>
      </c>
    </row>
    <row r="64" spans="1:17" ht="14.25" customHeight="1" thickBot="1">
      <c r="A64" s="3231" t="s">
        <v>110</v>
      </c>
      <c r="B64" s="3231" t="s">
        <v>196</v>
      </c>
      <c r="C64" s="3231">
        <v>16920</v>
      </c>
      <c r="D64" s="3231">
        <v>19190</v>
      </c>
      <c r="E64" s="3231">
        <v>22200</v>
      </c>
      <c r="F64" s="3231">
        <v>4390</v>
      </c>
      <c r="G64" s="3231">
        <v>13030</v>
      </c>
      <c r="N64" s="3238" t="s">
        <v>3065</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2936</v>
      </c>
      <c r="C78" s="3231">
        <v>19820</v>
      </c>
      <c r="D78" s="3231">
        <v>19780</v>
      </c>
      <c r="E78" s="3231">
        <v>18560</v>
      </c>
      <c r="F78" s="3231"/>
      <c r="G78" s="3231">
        <v>13430</v>
      </c>
    </row>
    <row r="79" spans="1:7" s="3220" customFormat="1" ht="14.25" customHeight="1">
      <c r="A79" s="3231" t="s">
        <v>110</v>
      </c>
      <c r="B79" s="3231" t="s">
        <v>2939</v>
      </c>
      <c r="C79" s="3231">
        <v>21660</v>
      </c>
      <c r="D79" s="3231">
        <v>18000</v>
      </c>
      <c r="E79" s="3231">
        <v>22570</v>
      </c>
      <c r="F79" s="3231"/>
      <c r="G79" s="3231">
        <v>12220</v>
      </c>
    </row>
    <row r="80" spans="1:7" s="3220" customFormat="1" ht="14.25" customHeight="1">
      <c r="A80" s="3231" t="s">
        <v>110</v>
      </c>
      <c r="B80" s="3231" t="s">
        <v>2943</v>
      </c>
      <c r="C80" s="3231">
        <v>19850</v>
      </c>
      <c r="D80" s="3231"/>
      <c r="E80" s="3231">
        <v>21700</v>
      </c>
      <c r="F80" s="3231"/>
      <c r="G80" s="3231"/>
    </row>
    <row r="81" spans="1:7" s="3220" customFormat="1" ht="14.25" customHeight="1">
      <c r="A81" s="3231" t="s">
        <v>110</v>
      </c>
      <c r="B81" s="3231" t="s">
        <v>2948</v>
      </c>
      <c r="C81" s="3231">
        <v>18080</v>
      </c>
      <c r="D81" s="3231"/>
      <c r="E81" s="3231">
        <v>20900</v>
      </c>
      <c r="F81" s="3231"/>
      <c r="G81" s="3231"/>
    </row>
    <row r="82" spans="1:7" s="3220" customFormat="1" ht="14.25" customHeight="1">
      <c r="A82" s="3231" t="s">
        <v>110</v>
      </c>
      <c r="B82" s="3231" t="s">
        <v>2955</v>
      </c>
      <c r="C82" s="3231"/>
      <c r="D82" s="3231"/>
      <c r="E82" s="3231">
        <v>20840</v>
      </c>
      <c r="F82" s="3231"/>
      <c r="G82" s="3231"/>
    </row>
    <row r="83" spans="1:7" s="3220" customFormat="1" ht="14.25" customHeight="1">
      <c r="A83" s="3231" t="s">
        <v>110</v>
      </c>
      <c r="B83" s="3231" t="s">
        <v>3066</v>
      </c>
      <c r="C83" s="3231"/>
      <c r="D83" s="3231"/>
      <c r="E83" s="3231"/>
      <c r="F83" s="3231">
        <v>4770</v>
      </c>
      <c r="G83" s="3231"/>
    </row>
    <row r="84" spans="1:7" s="3220" customFormat="1" ht="14.25" customHeight="1">
      <c r="A84" s="3231" t="s">
        <v>110</v>
      </c>
      <c r="B84" s="3231" t="s">
        <v>3067</v>
      </c>
      <c r="C84" s="3231"/>
      <c r="D84" s="3231"/>
      <c r="E84" s="3231"/>
      <c r="F84" s="3231">
        <v>4600</v>
      </c>
      <c r="G84" s="3231"/>
    </row>
    <row r="85" spans="1:7" s="3220" customFormat="1" ht="14.25" customHeight="1">
      <c r="A85" s="3231" t="s">
        <v>110</v>
      </c>
      <c r="B85" s="3231" t="s">
        <v>3068</v>
      </c>
      <c r="C85" s="3231"/>
      <c r="D85" s="3231"/>
      <c r="E85" s="3231"/>
      <c r="F85" s="3231">
        <v>4680</v>
      </c>
      <c r="G85" s="3231"/>
    </row>
    <row r="86" spans="1:7" s="3220" customFormat="1" ht="14.25" customHeight="1" thickBot="1">
      <c r="A86" s="3239" t="s">
        <v>110</v>
      </c>
      <c r="B86" s="3241" t="s">
        <v>3069</v>
      </c>
      <c r="C86" s="3242">
        <v>16610</v>
      </c>
      <c r="D86" s="3242">
        <v>16540</v>
      </c>
      <c r="E86" s="3242">
        <v>18850</v>
      </c>
      <c r="F86" s="3242"/>
      <c r="G86" s="3242">
        <v>11220</v>
      </c>
    </row>
    <row r="87" spans="1:7" s="3220" customFormat="1" ht="14.25" customHeight="1">
      <c r="A87" s="3236" t="s">
        <v>303</v>
      </c>
      <c r="B87" s="3227" t="s">
        <v>3070</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2949</v>
      </c>
      <c r="C113" s="3231">
        <v>15520</v>
      </c>
      <c r="D113" s="3231">
        <v>15450</v>
      </c>
      <c r="E113" s="3231"/>
      <c r="F113" s="3231"/>
      <c r="G113" s="3244">
        <v>10210</v>
      </c>
    </row>
    <row r="114" spans="1:7" s="3220" customFormat="1" ht="14.25" customHeight="1">
      <c r="A114" s="3231" t="s">
        <v>303</v>
      </c>
      <c r="B114" s="3231" t="s">
        <v>2956</v>
      </c>
      <c r="C114" s="3231">
        <v>13110</v>
      </c>
      <c r="D114" s="3231">
        <v>13050</v>
      </c>
      <c r="E114" s="3231"/>
      <c r="F114" s="3231"/>
      <c r="G114" s="3244">
        <v>8620</v>
      </c>
    </row>
    <row r="115" spans="1:7" s="3220" customFormat="1" ht="14.25" customHeight="1">
      <c r="A115" s="3231" t="s">
        <v>303</v>
      </c>
      <c r="B115" s="3231" t="s">
        <v>2962</v>
      </c>
      <c r="C115" s="3231">
        <v>12460</v>
      </c>
      <c r="D115" s="3231">
        <v>12390</v>
      </c>
      <c r="E115" s="3231"/>
      <c r="F115" s="3231"/>
      <c r="G115" s="3244">
        <v>8190</v>
      </c>
    </row>
    <row r="116" spans="1:7" s="3220" customFormat="1" ht="14.25" customHeight="1">
      <c r="A116" s="3231" t="s">
        <v>303</v>
      </c>
      <c r="B116" s="3231" t="s">
        <v>2969</v>
      </c>
      <c r="C116" s="3231">
        <v>13580</v>
      </c>
      <c r="D116" s="3231">
        <v>13520</v>
      </c>
      <c r="E116" s="3231"/>
      <c r="F116" s="3231"/>
      <c r="G116" s="3244">
        <v>8930</v>
      </c>
    </row>
    <row r="117" spans="1:7" s="3220" customFormat="1" ht="14.25" customHeight="1">
      <c r="A117" s="3231" t="s">
        <v>303</v>
      </c>
      <c r="B117" s="3231" t="s">
        <v>2976</v>
      </c>
      <c r="C117" s="3231">
        <v>17120</v>
      </c>
      <c r="D117" s="3231">
        <v>17040</v>
      </c>
      <c r="E117" s="3231"/>
      <c r="F117" s="3231"/>
      <c r="G117" s="3244">
        <v>11260</v>
      </c>
    </row>
    <row r="118" spans="1:7" s="3220" customFormat="1" ht="14.25" customHeight="1">
      <c r="A118" s="3231" t="s">
        <v>303</v>
      </c>
      <c r="B118" s="3231" t="s">
        <v>2981</v>
      </c>
      <c r="C118" s="3231">
        <v>14860</v>
      </c>
      <c r="D118" s="3231">
        <v>14790</v>
      </c>
      <c r="E118" s="3231"/>
      <c r="F118" s="3231"/>
      <c r="G118" s="3244">
        <v>9780</v>
      </c>
    </row>
    <row r="119" spans="1:7" s="3220" customFormat="1" ht="14.25" customHeight="1">
      <c r="A119" s="3231" t="s">
        <v>303</v>
      </c>
      <c r="B119" s="3231" t="s">
        <v>2985</v>
      </c>
      <c r="C119" s="3231">
        <v>16470</v>
      </c>
      <c r="D119" s="3231">
        <v>16400</v>
      </c>
      <c r="E119" s="3231"/>
      <c r="F119" s="3231"/>
      <c r="G119" s="3244">
        <v>10840</v>
      </c>
    </row>
    <row r="120" spans="1:7" s="3220" customFormat="1" ht="14.25" customHeight="1">
      <c r="A120" s="3231" t="s">
        <v>303</v>
      </c>
      <c r="B120" s="3231" t="s">
        <v>3071</v>
      </c>
      <c r="C120" s="3231"/>
      <c r="D120" s="3231"/>
      <c r="E120" s="3231"/>
      <c r="F120" s="3231">
        <v>4160</v>
      </c>
      <c r="G120" s="3244"/>
    </row>
    <row r="121" spans="1:7" s="3220" customFormat="1" ht="14.25" customHeight="1">
      <c r="A121" s="3231" t="s">
        <v>303</v>
      </c>
      <c r="B121" s="3231" t="s">
        <v>3072</v>
      </c>
      <c r="C121" s="3231"/>
      <c r="D121" s="3231"/>
      <c r="E121" s="3231"/>
      <c r="F121" s="3231">
        <v>3880</v>
      </c>
      <c r="G121" s="3244"/>
    </row>
    <row r="122" spans="1:7" s="3220" customFormat="1" ht="14.25" customHeight="1">
      <c r="A122" s="3231" t="s">
        <v>303</v>
      </c>
      <c r="B122" s="3231" t="s">
        <v>3073</v>
      </c>
      <c r="C122" s="3231">
        <v>13750</v>
      </c>
      <c r="D122" s="3231">
        <v>13680</v>
      </c>
      <c r="E122" s="3231">
        <v>16460</v>
      </c>
      <c r="F122" s="3231">
        <v>2880</v>
      </c>
      <c r="G122" s="3244">
        <v>9040</v>
      </c>
    </row>
    <row r="123" spans="1:7" s="3220" customFormat="1" ht="14.25" customHeight="1">
      <c r="A123" s="3231" t="s">
        <v>303</v>
      </c>
      <c r="B123" s="3231" t="s">
        <v>3004</v>
      </c>
      <c r="C123" s="3231">
        <v>13590</v>
      </c>
      <c r="D123" s="3231">
        <v>13520</v>
      </c>
      <c r="E123" s="3231">
        <v>16290</v>
      </c>
      <c r="F123" s="3231">
        <v>2790</v>
      </c>
      <c r="G123" s="3244">
        <v>8930</v>
      </c>
    </row>
    <row r="124" spans="1:7" s="3220" customFormat="1" ht="14.25" customHeight="1">
      <c r="A124" s="3231" t="s">
        <v>303</v>
      </c>
      <c r="B124" s="3231" t="s">
        <v>3009</v>
      </c>
      <c r="C124" s="3231">
        <v>13400</v>
      </c>
      <c r="D124" s="3231">
        <v>13320</v>
      </c>
      <c r="E124" s="3231">
        <v>16100</v>
      </c>
      <c r="F124" s="3231">
        <v>2320</v>
      </c>
      <c r="G124" s="3244">
        <v>8800</v>
      </c>
    </row>
    <row r="125" spans="1:7" s="3220" customFormat="1" ht="14.25" customHeight="1">
      <c r="A125" s="3231" t="s">
        <v>303</v>
      </c>
      <c r="B125" s="3231" t="s">
        <v>3014</v>
      </c>
      <c r="C125" s="3231">
        <v>12860</v>
      </c>
      <c r="D125" s="3231">
        <v>12790</v>
      </c>
      <c r="E125" s="3231">
        <v>15370</v>
      </c>
      <c r="F125" s="3231">
        <v>2280</v>
      </c>
      <c r="G125" s="3244">
        <v>8450</v>
      </c>
    </row>
    <row r="126" spans="1:7" s="3220" customFormat="1" ht="14.25" customHeight="1" thickBot="1">
      <c r="A126" s="3245" t="s">
        <v>303</v>
      </c>
      <c r="B126" s="3238" t="s">
        <v>3019</v>
      </c>
      <c r="C126" s="3238">
        <v>12960</v>
      </c>
      <c r="D126" s="3238">
        <v>12890</v>
      </c>
      <c r="E126" s="3238">
        <v>15530</v>
      </c>
      <c r="F126" s="3238">
        <v>2910</v>
      </c>
      <c r="G126" s="3246">
        <v>8520</v>
      </c>
    </row>
    <row r="127" spans="1:7" s="3220" customFormat="1" ht="14.25" customHeight="1">
      <c r="A127" s="3236" t="s">
        <v>29</v>
      </c>
      <c r="B127" s="3227" t="s">
        <v>3074</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3075</v>
      </c>
      <c r="C148" s="3231">
        <v>10370</v>
      </c>
      <c r="D148" s="3231">
        <v>10310</v>
      </c>
      <c r="E148" s="3231">
        <v>12970</v>
      </c>
      <c r="F148" s="3231"/>
      <c r="G148" s="3231">
        <v>6630</v>
      </c>
    </row>
    <row r="149" spans="1:7" s="3220" customFormat="1" ht="14.25" customHeight="1">
      <c r="A149" s="3231" t="s">
        <v>29</v>
      </c>
      <c r="B149" s="3231" t="s">
        <v>3076</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2950</v>
      </c>
      <c r="C153" s="3231">
        <v>10880</v>
      </c>
      <c r="D153" s="3231">
        <v>10820</v>
      </c>
      <c r="E153" s="3231">
        <v>13660</v>
      </c>
      <c r="F153" s="3231">
        <v>2260</v>
      </c>
      <c r="G153" s="3231">
        <v>6970</v>
      </c>
    </row>
    <row r="154" spans="1:7" s="3220" customFormat="1" ht="14.25" customHeight="1">
      <c r="A154" s="3231" t="s">
        <v>29</v>
      </c>
      <c r="B154" s="3231" t="s">
        <v>3077</v>
      </c>
      <c r="C154" s="3231">
        <v>11220</v>
      </c>
      <c r="D154" s="3231">
        <v>11160</v>
      </c>
      <c r="E154" s="3231">
        <v>14130</v>
      </c>
      <c r="F154" s="3231">
        <v>2230</v>
      </c>
      <c r="G154" s="3231">
        <v>7180</v>
      </c>
    </row>
    <row r="155" spans="1:7" s="3220" customFormat="1" ht="14.25" customHeight="1">
      <c r="A155" s="3231" t="s">
        <v>29</v>
      </c>
      <c r="B155" s="3231" t="s">
        <v>2963</v>
      </c>
      <c r="C155" s="3231">
        <v>10430</v>
      </c>
      <c r="D155" s="3231">
        <v>10380</v>
      </c>
      <c r="E155" s="3231">
        <v>13140</v>
      </c>
      <c r="F155" s="3231">
        <v>2080</v>
      </c>
      <c r="G155" s="3231">
        <v>6650</v>
      </c>
    </row>
    <row r="156" spans="1:7" s="3220" customFormat="1" ht="14.25" customHeight="1">
      <c r="A156" s="3231" t="s">
        <v>29</v>
      </c>
      <c r="B156" s="3231" t="s">
        <v>3078</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3079</v>
      </c>
      <c r="C160" s="3231">
        <v>11180</v>
      </c>
      <c r="D160" s="3231">
        <v>11140</v>
      </c>
      <c r="E160" s="3231">
        <v>14050</v>
      </c>
      <c r="F160" s="3231">
        <v>2270</v>
      </c>
      <c r="G160" s="3231">
        <v>7170</v>
      </c>
    </row>
    <row r="161" spans="1:7" s="3220" customFormat="1" ht="14.25" customHeight="1">
      <c r="A161" s="3231" t="s">
        <v>29</v>
      </c>
      <c r="B161" s="3231" t="s">
        <v>2995</v>
      </c>
      <c r="C161" s="3231">
        <v>11160</v>
      </c>
      <c r="D161" s="3231">
        <v>11120</v>
      </c>
      <c r="E161" s="3231">
        <v>14020</v>
      </c>
      <c r="F161" s="3231">
        <v>2150</v>
      </c>
      <c r="G161" s="3231">
        <v>7160</v>
      </c>
    </row>
    <row r="162" spans="1:7" s="3220" customFormat="1" ht="14.25" customHeight="1">
      <c r="A162" s="3231" t="s">
        <v>29</v>
      </c>
      <c r="B162" s="3231" t="s">
        <v>3000</v>
      </c>
      <c r="C162" s="3231">
        <v>9620</v>
      </c>
      <c r="D162" s="3231">
        <v>9570</v>
      </c>
      <c r="E162" s="3231">
        <v>12320</v>
      </c>
      <c r="F162" s="3231">
        <v>2010</v>
      </c>
      <c r="G162" s="3231">
        <v>6160</v>
      </c>
    </row>
    <row r="163" spans="1:7" s="3220" customFormat="1" ht="14.25" customHeight="1">
      <c r="A163" s="3231" t="s">
        <v>29</v>
      </c>
      <c r="B163" s="3231" t="s">
        <v>3005</v>
      </c>
      <c r="C163" s="3231">
        <v>9320</v>
      </c>
      <c r="D163" s="3231">
        <v>9270</v>
      </c>
      <c r="E163" s="3231">
        <v>11790</v>
      </c>
      <c r="F163" s="3231">
        <v>1920</v>
      </c>
      <c r="G163" s="3231">
        <v>5960</v>
      </c>
    </row>
    <row r="164" spans="1:7" s="3220" customFormat="1" ht="14.25" customHeight="1">
      <c r="A164" s="3231" t="s">
        <v>29</v>
      </c>
      <c r="B164" s="3231" t="s">
        <v>3010</v>
      </c>
      <c r="C164" s="3231"/>
      <c r="D164" s="3231"/>
      <c r="E164" s="3231"/>
      <c r="F164" s="3231">
        <v>1980</v>
      </c>
      <c r="G164" s="3231"/>
    </row>
    <row r="165" spans="1:7" s="3220" customFormat="1" ht="14.25" customHeight="1">
      <c r="A165" s="3231" t="s">
        <v>29</v>
      </c>
      <c r="B165" s="3231" t="s">
        <v>3080</v>
      </c>
      <c r="C165" s="3231">
        <v>11060</v>
      </c>
      <c r="D165" s="3231">
        <v>11030</v>
      </c>
      <c r="E165" s="3231">
        <v>13850</v>
      </c>
      <c r="F165" s="3231">
        <v>2170</v>
      </c>
      <c r="G165" s="3231">
        <v>7090</v>
      </c>
    </row>
    <row r="166" spans="1:7" s="3220" customFormat="1" ht="14.25" customHeight="1">
      <c r="A166" s="3231" t="s">
        <v>29</v>
      </c>
      <c r="B166" s="3231" t="s">
        <v>3020</v>
      </c>
      <c r="C166" s="3231">
        <v>11050</v>
      </c>
      <c r="D166" s="3231">
        <v>11010</v>
      </c>
      <c r="E166" s="3231">
        <v>13920</v>
      </c>
      <c r="F166" s="3231">
        <v>2140</v>
      </c>
      <c r="G166" s="3231">
        <v>7080</v>
      </c>
    </row>
    <row r="167" spans="1:7" s="3220" customFormat="1" ht="14.25" customHeight="1">
      <c r="A167" s="3231" t="s">
        <v>29</v>
      </c>
      <c r="B167" s="3231" t="s">
        <v>3024</v>
      </c>
      <c r="C167" s="3231">
        <v>10930</v>
      </c>
      <c r="D167" s="3231">
        <v>10890</v>
      </c>
      <c r="E167" s="3231">
        <v>13790</v>
      </c>
      <c r="F167" s="3231">
        <v>2010</v>
      </c>
      <c r="G167" s="3231">
        <v>7000</v>
      </c>
    </row>
    <row r="168" spans="1:7" s="3220" customFormat="1" ht="14.25" customHeight="1">
      <c r="A168" s="3231" t="s">
        <v>29</v>
      </c>
      <c r="B168" s="3231" t="s">
        <v>3029</v>
      </c>
      <c r="C168" s="3231">
        <v>9420</v>
      </c>
      <c r="D168" s="3231">
        <v>9380</v>
      </c>
      <c r="E168" s="3231">
        <v>11970</v>
      </c>
      <c r="F168" s="3231"/>
      <c r="G168" s="3231">
        <v>6040</v>
      </c>
    </row>
    <row r="169" spans="1:7" s="3220" customFormat="1" ht="14.25" customHeight="1">
      <c r="A169" s="3231" t="s">
        <v>29</v>
      </c>
      <c r="B169" s="3231" t="s">
        <v>3081</v>
      </c>
      <c r="C169" s="3231"/>
      <c r="D169" s="3231"/>
      <c r="E169" s="3231"/>
      <c r="F169" s="3231">
        <v>2880</v>
      </c>
      <c r="G169" s="3231"/>
    </row>
    <row r="170" spans="1:7" s="3220" customFormat="1" ht="14.25" customHeight="1">
      <c r="A170" s="3231" t="s">
        <v>29</v>
      </c>
      <c r="B170" s="3231" t="s">
        <v>3037</v>
      </c>
      <c r="C170" s="3231"/>
      <c r="D170" s="3231"/>
      <c r="E170" s="3231"/>
      <c r="F170" s="3231">
        <v>2880</v>
      </c>
      <c r="G170" s="3231"/>
    </row>
    <row r="171" spans="1:7" s="3220" customFormat="1" ht="14.25" customHeight="1">
      <c r="A171" s="3231" t="s">
        <v>29</v>
      </c>
      <c r="B171" s="3231" t="s">
        <v>3040</v>
      </c>
      <c r="C171" s="3231"/>
      <c r="D171" s="3231"/>
      <c r="E171" s="3231"/>
      <c r="F171" s="3231">
        <v>2880</v>
      </c>
      <c r="G171" s="3231"/>
    </row>
    <row r="172" spans="1:7" s="3220" customFormat="1" ht="14.25" customHeight="1">
      <c r="A172" s="3231" t="s">
        <v>29</v>
      </c>
      <c r="B172" s="3231" t="s">
        <v>3042</v>
      </c>
      <c r="C172" s="3231"/>
      <c r="D172" s="3231"/>
      <c r="E172" s="3231"/>
      <c r="F172" s="3231">
        <v>2880</v>
      </c>
      <c r="G172" s="3231"/>
    </row>
    <row r="173" spans="1:7" s="3220" customFormat="1" ht="14.25" customHeight="1">
      <c r="A173" s="3231" t="s">
        <v>29</v>
      </c>
      <c r="B173" s="3231" t="s">
        <v>3044</v>
      </c>
      <c r="C173" s="3231"/>
      <c r="D173" s="3231"/>
      <c r="E173" s="3231"/>
      <c r="F173" s="3231">
        <v>2150</v>
      </c>
      <c r="G173" s="3231"/>
    </row>
    <row r="174" spans="1:7" s="3220" customFormat="1" ht="14.25" customHeight="1">
      <c r="A174" s="3231" t="s">
        <v>29</v>
      </c>
      <c r="B174" s="3231" t="s">
        <v>3046</v>
      </c>
      <c r="C174" s="3231"/>
      <c r="D174" s="3231"/>
      <c r="E174" s="3231"/>
      <c r="F174" s="3231">
        <v>2030</v>
      </c>
      <c r="G174" s="3231"/>
    </row>
    <row r="175" spans="1:7" s="3220" customFormat="1" ht="14.25" customHeight="1">
      <c r="A175" s="3231" t="s">
        <v>29</v>
      </c>
      <c r="B175" s="3231" t="s">
        <v>3048</v>
      </c>
      <c r="C175" s="3231"/>
      <c r="D175" s="3231"/>
      <c r="E175" s="3231"/>
      <c r="F175" s="3231">
        <v>2780</v>
      </c>
      <c r="G175" s="3231"/>
    </row>
    <row r="176" spans="1:7" s="3220" customFormat="1" ht="14.25" customHeight="1">
      <c r="A176" s="3231" t="s">
        <v>29</v>
      </c>
      <c r="B176" s="3231" t="s">
        <v>3050</v>
      </c>
      <c r="C176" s="3231"/>
      <c r="D176" s="3231"/>
      <c r="E176" s="3231"/>
      <c r="F176" s="3231">
        <v>2780</v>
      </c>
      <c r="G176" s="3231"/>
    </row>
    <row r="177" spans="1:7" s="3220" customFormat="1" ht="14.25" customHeight="1">
      <c r="A177" s="3231" t="s">
        <v>29</v>
      </c>
      <c r="B177" s="3231" t="s">
        <v>3082</v>
      </c>
      <c r="C177" s="3231"/>
      <c r="D177" s="3231"/>
      <c r="E177" s="3231"/>
      <c r="F177" s="3231">
        <v>2780</v>
      </c>
      <c r="G177" s="3231"/>
    </row>
    <row r="178" spans="1:7" s="3220" customFormat="1" ht="14.25" customHeight="1">
      <c r="A178" s="3231" t="s">
        <v>29</v>
      </c>
      <c r="B178" s="3231" t="s">
        <v>3083</v>
      </c>
      <c r="C178" s="3231"/>
      <c r="D178" s="3231"/>
      <c r="E178" s="3231"/>
      <c r="F178" s="3231">
        <v>2060</v>
      </c>
      <c r="G178" s="3231"/>
    </row>
    <row r="179" spans="1:7" s="3220" customFormat="1" ht="14.25" customHeight="1">
      <c r="A179" s="3231" t="s">
        <v>29</v>
      </c>
      <c r="B179" s="3231" t="s">
        <v>3084</v>
      </c>
      <c r="C179" s="3231"/>
      <c r="D179" s="3231"/>
      <c r="E179" s="3231"/>
      <c r="F179" s="3231">
        <v>2120</v>
      </c>
      <c r="G179" s="3231"/>
    </row>
    <row r="180" spans="1:7" s="3220" customFormat="1" ht="14.25" customHeight="1">
      <c r="A180" s="3231" t="s">
        <v>29</v>
      </c>
      <c r="B180" s="3231" t="s">
        <v>3056</v>
      </c>
      <c r="C180" s="3231"/>
      <c r="D180" s="3231"/>
      <c r="E180" s="3231"/>
      <c r="F180" s="3231">
        <v>2340</v>
      </c>
      <c r="G180" s="3231"/>
    </row>
    <row r="181" spans="1:7" s="3220" customFormat="1" ht="14.25" customHeight="1">
      <c r="A181" s="3231" t="s">
        <v>29</v>
      </c>
      <c r="B181" s="3231" t="s">
        <v>3057</v>
      </c>
      <c r="C181" s="3231"/>
      <c r="D181" s="3231"/>
      <c r="E181" s="3231"/>
      <c r="F181" s="3231">
        <v>2340</v>
      </c>
      <c r="G181" s="3231"/>
    </row>
    <row r="182" spans="1:7" s="3220" customFormat="1" ht="14.25" customHeight="1">
      <c r="A182" s="3231" t="s">
        <v>29</v>
      </c>
      <c r="B182" s="3231" t="s">
        <v>3058</v>
      </c>
      <c r="C182" s="3231"/>
      <c r="D182" s="3231"/>
      <c r="E182" s="3231"/>
      <c r="F182" s="3231">
        <v>2340</v>
      </c>
      <c r="G182" s="3231"/>
    </row>
    <row r="183" spans="1:7" s="3220" customFormat="1" ht="14.25" customHeight="1">
      <c r="A183" s="3231" t="s">
        <v>29</v>
      </c>
      <c r="B183" s="3231" t="s">
        <v>3059</v>
      </c>
      <c r="C183" s="3231"/>
      <c r="D183" s="3231"/>
      <c r="E183" s="3231"/>
      <c r="F183" s="3231">
        <v>2340</v>
      </c>
      <c r="G183" s="3231"/>
    </row>
    <row r="184" spans="1:7" s="3220" customFormat="1" ht="14.25" customHeight="1">
      <c r="A184" s="3231" t="s">
        <v>29</v>
      </c>
      <c r="B184" s="3231" t="s">
        <v>3060</v>
      </c>
      <c r="C184" s="3231"/>
      <c r="D184" s="3231"/>
      <c r="E184" s="3231"/>
      <c r="F184" s="3231">
        <v>2340</v>
      </c>
      <c r="G184" s="3231"/>
    </row>
    <row r="185" spans="1:7" s="3220" customFormat="1" ht="14.25" customHeight="1">
      <c r="A185" s="3231" t="s">
        <v>29</v>
      </c>
      <c r="B185" s="3231" t="s">
        <v>3061</v>
      </c>
      <c r="C185" s="3231"/>
      <c r="D185" s="3231"/>
      <c r="E185" s="3231"/>
      <c r="F185" s="3231">
        <v>2530</v>
      </c>
      <c r="G185" s="3231"/>
    </row>
    <row r="186" spans="1:7" s="3220" customFormat="1" ht="14.25" customHeight="1">
      <c r="A186" s="3231" t="s">
        <v>29</v>
      </c>
      <c r="B186" s="3231" t="s">
        <v>3062</v>
      </c>
      <c r="C186" s="3231"/>
      <c r="D186" s="3231"/>
      <c r="E186" s="3231"/>
      <c r="F186" s="3231">
        <v>2550</v>
      </c>
      <c r="G186" s="3231"/>
    </row>
    <row r="187" spans="1:7" s="3220" customFormat="1" ht="14.25" customHeight="1">
      <c r="A187" s="3231" t="s">
        <v>29</v>
      </c>
      <c r="B187" s="3231" t="s">
        <v>3063</v>
      </c>
      <c r="C187" s="3231"/>
      <c r="D187" s="3231"/>
      <c r="E187" s="3231"/>
      <c r="F187" s="3231">
        <v>2070</v>
      </c>
      <c r="G187" s="3231"/>
    </row>
    <row r="188" spans="1:7" s="3220" customFormat="1" ht="14.25" customHeight="1">
      <c r="A188" s="3231" t="s">
        <v>29</v>
      </c>
      <c r="B188" s="3231" t="s">
        <v>3064</v>
      </c>
      <c r="C188" s="3231"/>
      <c r="D188" s="3231"/>
      <c r="E188" s="3231"/>
      <c r="F188" s="3231">
        <v>2340</v>
      </c>
      <c r="G188" s="3231"/>
    </row>
    <row r="189" spans="1:7" s="3220" customFormat="1" ht="14.25" customHeight="1" thickBot="1">
      <c r="A189" s="3239" t="s">
        <v>29</v>
      </c>
      <c r="B189" s="3242" t="s">
        <v>3065</v>
      </c>
      <c r="C189" s="3242"/>
      <c r="D189" s="3242"/>
      <c r="E189" s="3242"/>
      <c r="F189" s="3242">
        <v>2050</v>
      </c>
      <c r="G189" s="3242"/>
    </row>
    <row r="190" spans="1:7" s="3220" customFormat="1" ht="14.25" customHeight="1">
      <c r="A190" s="3236" t="s">
        <v>304</v>
      </c>
      <c r="B190" s="3227" t="s">
        <v>3085</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3086</v>
      </c>
      <c r="C199" s="3231">
        <v>8690</v>
      </c>
      <c r="D199" s="3231">
        <v>8630</v>
      </c>
      <c r="E199" s="3231">
        <v>11350</v>
      </c>
      <c r="F199" s="3231">
        <v>1600</v>
      </c>
      <c r="G199" s="3244">
        <v>5450</v>
      </c>
    </row>
    <row r="200" spans="1:7" s="3220" customFormat="1" ht="14.25" customHeight="1">
      <c r="A200" s="3231" t="s">
        <v>304</v>
      </c>
      <c r="B200" s="3231" t="s">
        <v>2897</v>
      </c>
      <c r="C200" s="3231"/>
      <c r="D200" s="3231"/>
      <c r="E200" s="3231"/>
      <c r="F200" s="3231">
        <v>1510</v>
      </c>
      <c r="G200" s="3244"/>
    </row>
    <row r="201" spans="1:7" s="3220" customFormat="1" ht="14.25" customHeight="1">
      <c r="A201" s="3231" t="s">
        <v>304</v>
      </c>
      <c r="B201" s="3231" t="s">
        <v>3087</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3088</v>
      </c>
      <c r="C203" s="3231">
        <v>8130</v>
      </c>
      <c r="D203" s="3231">
        <v>8070</v>
      </c>
      <c r="E203" s="3231">
        <v>10820</v>
      </c>
      <c r="F203" s="3231">
        <v>1690</v>
      </c>
      <c r="G203" s="3244">
        <v>5100</v>
      </c>
    </row>
    <row r="204" spans="1:7" s="3220" customFormat="1" ht="14.25" customHeight="1">
      <c r="A204" s="3231" t="s">
        <v>304</v>
      </c>
      <c r="B204" s="3231" t="s">
        <v>2908</v>
      </c>
      <c r="C204" s="3231">
        <v>8350</v>
      </c>
      <c r="D204" s="3231">
        <v>8290</v>
      </c>
      <c r="E204" s="3231">
        <v>11080</v>
      </c>
      <c r="F204" s="3231">
        <v>1450</v>
      </c>
      <c r="G204" s="3244">
        <v>5240</v>
      </c>
    </row>
    <row r="205" spans="1:7" s="3220" customFormat="1" ht="14.25" customHeight="1">
      <c r="A205" s="3231" t="s">
        <v>304</v>
      </c>
      <c r="B205" s="3231" t="s">
        <v>2910</v>
      </c>
      <c r="C205" s="3231">
        <v>7190</v>
      </c>
      <c r="D205" s="3231">
        <v>7130</v>
      </c>
      <c r="E205" s="3231">
        <v>9490</v>
      </c>
      <c r="F205" s="3231">
        <v>1470</v>
      </c>
      <c r="G205" s="3244">
        <v>4510</v>
      </c>
    </row>
    <row r="206" spans="1:7" s="3220" customFormat="1" ht="14.25" customHeight="1">
      <c r="A206" s="3231" t="s">
        <v>304</v>
      </c>
      <c r="B206" s="3231" t="s">
        <v>2913</v>
      </c>
      <c r="C206" s="3231">
        <v>7000</v>
      </c>
      <c r="D206" s="3231">
        <v>6950</v>
      </c>
      <c r="E206" s="3231">
        <v>9170</v>
      </c>
      <c r="F206" s="3231">
        <v>1400</v>
      </c>
      <c r="G206" s="3244">
        <v>4380</v>
      </c>
    </row>
    <row r="207" spans="1:7" s="3220" customFormat="1" ht="14.25" customHeight="1">
      <c r="A207" s="3231" t="s">
        <v>304</v>
      </c>
      <c r="B207" s="3231" t="s">
        <v>2915</v>
      </c>
      <c r="C207" s="3231">
        <v>6950</v>
      </c>
      <c r="D207" s="3231">
        <v>6900</v>
      </c>
      <c r="E207" s="3231">
        <v>9110</v>
      </c>
      <c r="F207" s="3231">
        <v>1790</v>
      </c>
      <c r="G207" s="3244">
        <v>4360</v>
      </c>
    </row>
    <row r="208" spans="1:7" s="3220" customFormat="1" ht="14.25" customHeight="1">
      <c r="A208" s="3231" t="s">
        <v>304</v>
      </c>
      <c r="B208" s="3231" t="s">
        <v>3089</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2925</v>
      </c>
      <c r="C210" s="3231">
        <v>8710</v>
      </c>
      <c r="D210" s="3231">
        <v>8660</v>
      </c>
      <c r="E210" s="3231">
        <v>11440</v>
      </c>
      <c r="F210" s="3231">
        <v>1740</v>
      </c>
      <c r="G210" s="3244">
        <v>5470</v>
      </c>
    </row>
    <row r="211" spans="1:7" s="3220" customFormat="1" ht="14.25" customHeight="1">
      <c r="A211" s="3231" t="s">
        <v>304</v>
      </c>
      <c r="B211" s="3231" t="s">
        <v>3090</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3091</v>
      </c>
      <c r="C214" s="3231">
        <v>8090</v>
      </c>
      <c r="D214" s="3231">
        <v>8030</v>
      </c>
      <c r="E214" s="3231">
        <v>10780</v>
      </c>
      <c r="F214" s="3231">
        <v>1570</v>
      </c>
      <c r="G214" s="3244">
        <v>5070</v>
      </c>
    </row>
    <row r="215" spans="1:7" s="3220" customFormat="1" ht="14.25" customHeight="1">
      <c r="A215" s="3231" t="s">
        <v>304</v>
      </c>
      <c r="B215" s="3231" t="s">
        <v>3092</v>
      </c>
      <c r="C215" s="3231">
        <v>7950</v>
      </c>
      <c r="D215" s="3231">
        <v>7900</v>
      </c>
      <c r="E215" s="3231">
        <v>10560</v>
      </c>
      <c r="F215" s="3231">
        <v>1630</v>
      </c>
      <c r="G215" s="3244">
        <v>4990</v>
      </c>
    </row>
    <row r="216" spans="1:7" s="3220" customFormat="1" ht="14.25" customHeight="1">
      <c r="A216" s="3231" t="s">
        <v>304</v>
      </c>
      <c r="B216" s="3231" t="s">
        <v>3093</v>
      </c>
      <c r="C216" s="3231">
        <v>8490</v>
      </c>
      <c r="D216" s="3231">
        <v>8440</v>
      </c>
      <c r="E216" s="3231">
        <v>11260</v>
      </c>
      <c r="F216" s="3231">
        <v>1690</v>
      </c>
      <c r="G216" s="3244">
        <v>5330</v>
      </c>
    </row>
    <row r="217" spans="1:7" s="3220" customFormat="1" ht="14.25" customHeight="1">
      <c r="A217" s="3231" t="s">
        <v>304</v>
      </c>
      <c r="B217" s="3231" t="s">
        <v>2958</v>
      </c>
      <c r="C217" s="3231">
        <v>8200</v>
      </c>
      <c r="D217" s="3231">
        <v>8150</v>
      </c>
      <c r="E217" s="3231">
        <v>10910</v>
      </c>
      <c r="F217" s="3231">
        <v>1670</v>
      </c>
      <c r="G217" s="3244">
        <v>5150</v>
      </c>
    </row>
    <row r="218" spans="1:7" s="3220" customFormat="1" ht="14.25" customHeight="1">
      <c r="A218" s="3231" t="s">
        <v>304</v>
      </c>
      <c r="B218" s="3231" t="s">
        <v>3094</v>
      </c>
      <c r="C218" s="3231"/>
      <c r="D218" s="3231"/>
      <c r="E218" s="3231"/>
      <c r="F218" s="3231">
        <v>2040</v>
      </c>
      <c r="G218" s="3244"/>
    </row>
    <row r="219" spans="1:7" s="3220" customFormat="1" ht="14.25" customHeight="1">
      <c r="A219" s="3231" t="s">
        <v>304</v>
      </c>
      <c r="B219" s="3231" t="s">
        <v>3095</v>
      </c>
      <c r="C219" s="3231"/>
      <c r="D219" s="3231"/>
      <c r="E219" s="3231"/>
      <c r="F219" s="3231">
        <v>2040</v>
      </c>
      <c r="G219" s="3244"/>
    </row>
    <row r="220" spans="1:7" s="3220" customFormat="1" ht="14.25" customHeight="1">
      <c r="A220" s="3231" t="s">
        <v>304</v>
      </c>
      <c r="B220" s="3231" t="s">
        <v>3096</v>
      </c>
      <c r="C220" s="3231"/>
      <c r="D220" s="3231"/>
      <c r="E220" s="3231"/>
      <c r="F220" s="3231">
        <v>2040</v>
      </c>
      <c r="G220" s="3244"/>
    </row>
    <row r="221" spans="1:7" s="3220" customFormat="1" ht="14.25" customHeight="1">
      <c r="A221" s="3231" t="s">
        <v>304</v>
      </c>
      <c r="B221" s="3231" t="s">
        <v>3097</v>
      </c>
      <c r="C221" s="3231"/>
      <c r="D221" s="3231"/>
      <c r="E221" s="3231"/>
      <c r="F221" s="3231">
        <v>2040</v>
      </c>
      <c r="G221" s="3244"/>
    </row>
    <row r="222" spans="1:7" s="3220" customFormat="1" ht="14.25" customHeight="1">
      <c r="A222" s="3231" t="s">
        <v>304</v>
      </c>
      <c r="B222" s="3231" t="s">
        <v>3098</v>
      </c>
      <c r="C222" s="3231"/>
      <c r="D222" s="3231"/>
      <c r="E222" s="3231"/>
      <c r="F222" s="3231">
        <v>2040</v>
      </c>
      <c r="G222" s="3244"/>
    </row>
    <row r="223" spans="1:7" s="3220" customFormat="1" ht="14.25" customHeight="1">
      <c r="A223" s="3231" t="s">
        <v>304</v>
      </c>
      <c r="B223" s="3231" t="s">
        <v>3099</v>
      </c>
      <c r="C223" s="3231"/>
      <c r="D223" s="3231"/>
      <c r="E223" s="3231"/>
      <c r="F223" s="3231">
        <v>1930</v>
      </c>
      <c r="G223" s="3244"/>
    </row>
    <row r="224" spans="1:7" s="3220" customFormat="1" ht="14.25" customHeight="1">
      <c r="A224" s="3231" t="s">
        <v>304</v>
      </c>
      <c r="B224" s="3231" t="s">
        <v>3100</v>
      </c>
      <c r="C224" s="3231"/>
      <c r="D224" s="3231"/>
      <c r="E224" s="3231"/>
      <c r="F224" s="3231">
        <v>1930</v>
      </c>
      <c r="G224" s="3244"/>
    </row>
    <row r="225" spans="1:7" s="3220" customFormat="1" ht="14.25" customHeight="1">
      <c r="A225" s="3231" t="s">
        <v>304</v>
      </c>
      <c r="B225" s="3231" t="s">
        <v>3101</v>
      </c>
      <c r="C225" s="3231"/>
      <c r="D225" s="3231"/>
      <c r="E225" s="3231"/>
      <c r="F225" s="3231">
        <v>1930</v>
      </c>
      <c r="G225" s="3244"/>
    </row>
    <row r="226" spans="1:7" s="3220" customFormat="1" ht="14.25" customHeight="1">
      <c r="A226" s="3231" t="s">
        <v>304</v>
      </c>
      <c r="B226" s="3231" t="s">
        <v>3102</v>
      </c>
      <c r="C226" s="3231"/>
      <c r="D226" s="3231"/>
      <c r="E226" s="3231"/>
      <c r="F226" s="3231">
        <v>1700</v>
      </c>
      <c r="G226" s="3244"/>
    </row>
    <row r="227" spans="1:7" s="3220" customFormat="1" ht="14.25" customHeight="1">
      <c r="A227" s="3231" t="s">
        <v>304</v>
      </c>
      <c r="B227" s="3231" t="s">
        <v>3103</v>
      </c>
      <c r="C227" s="3231"/>
      <c r="D227" s="3231"/>
      <c r="E227" s="3231"/>
      <c r="F227" s="3231">
        <v>1520</v>
      </c>
      <c r="G227" s="3244"/>
    </row>
    <row r="228" spans="1:7" s="3220" customFormat="1" ht="14.25" customHeight="1">
      <c r="A228" s="3231" t="s">
        <v>304</v>
      </c>
      <c r="B228" s="3231" t="s">
        <v>3104</v>
      </c>
      <c r="C228" s="3231"/>
      <c r="D228" s="3231"/>
      <c r="E228" s="3231"/>
      <c r="F228" s="3231">
        <v>1520</v>
      </c>
      <c r="G228" s="3244"/>
    </row>
    <row r="229" spans="1:7" s="3220" customFormat="1" ht="14.25" customHeight="1">
      <c r="A229" s="3231" t="s">
        <v>304</v>
      </c>
      <c r="B229" s="3231" t="s">
        <v>3021</v>
      </c>
      <c r="C229" s="3231"/>
      <c r="D229" s="3231"/>
      <c r="E229" s="3231"/>
      <c r="F229" s="3231">
        <v>1520</v>
      </c>
      <c r="G229" s="3244"/>
    </row>
    <row r="230" spans="1:7" s="3220" customFormat="1" ht="14.25" customHeight="1">
      <c r="A230" s="3231" t="s">
        <v>304</v>
      </c>
      <c r="B230" s="3231" t="s">
        <v>3105</v>
      </c>
      <c r="C230" s="3231"/>
      <c r="D230" s="3231"/>
      <c r="E230" s="3231"/>
      <c r="F230" s="3231">
        <v>1820</v>
      </c>
      <c r="G230" s="3244"/>
    </row>
    <row r="231" spans="1:7" s="3220" customFormat="1" ht="14.25" customHeight="1">
      <c r="A231" s="3231" t="s">
        <v>304</v>
      </c>
      <c r="B231" s="3231" t="s">
        <v>3106</v>
      </c>
      <c r="C231" s="3231"/>
      <c r="D231" s="3231"/>
      <c r="E231" s="3231"/>
      <c r="F231" s="3231">
        <v>1760</v>
      </c>
      <c r="G231" s="3244"/>
    </row>
    <row r="232" spans="1:7" s="3220" customFormat="1" ht="14.25" customHeight="1">
      <c r="A232" s="3231" t="s">
        <v>304</v>
      </c>
      <c r="B232" s="3231" t="s">
        <v>3107</v>
      </c>
      <c r="C232" s="3231"/>
      <c r="D232" s="3231"/>
      <c r="E232" s="3231"/>
      <c r="F232" s="3231">
        <v>1840</v>
      </c>
      <c r="G232" s="3244"/>
    </row>
    <row r="233" spans="1:7" s="3220" customFormat="1" ht="14.25" customHeight="1" thickBot="1">
      <c r="A233" s="3245" t="s">
        <v>304</v>
      </c>
      <c r="B233" s="3238" t="s">
        <v>3038</v>
      </c>
      <c r="C233" s="3238"/>
      <c r="D233" s="3238"/>
      <c r="E233" s="3238"/>
      <c r="F233" s="3238">
        <v>1770</v>
      </c>
      <c r="G233" s="3246"/>
    </row>
    <row r="234" spans="1:7" s="3220" customFormat="1" ht="14.25" customHeight="1">
      <c r="A234" s="3236" t="s">
        <v>305</v>
      </c>
      <c r="B234" s="3227" t="s">
        <v>3108</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2879</v>
      </c>
      <c r="C238" s="3231">
        <v>6920</v>
      </c>
      <c r="D238" s="3231">
        <v>6890</v>
      </c>
      <c r="E238" s="3231">
        <v>8640</v>
      </c>
      <c r="F238" s="3231">
        <v>1310</v>
      </c>
      <c r="G238" s="3231">
        <v>4230</v>
      </c>
    </row>
    <row r="239" spans="1:7" s="3220" customFormat="1" ht="14.25" customHeight="1">
      <c r="A239" s="3231" t="s">
        <v>305</v>
      </c>
      <c r="B239" s="3231" t="s">
        <v>3109</v>
      </c>
      <c r="C239" s="3231">
        <v>6780</v>
      </c>
      <c r="D239" s="3231">
        <v>6750</v>
      </c>
      <c r="E239" s="3231">
        <v>8440</v>
      </c>
      <c r="F239" s="3231">
        <v>1160</v>
      </c>
      <c r="G239" s="3231">
        <v>4140</v>
      </c>
    </row>
    <row r="240" spans="1:7" s="3220" customFormat="1" ht="14.25" customHeight="1">
      <c r="A240" s="3231" t="s">
        <v>305</v>
      </c>
      <c r="B240" s="3231" t="s">
        <v>3110</v>
      </c>
      <c r="C240" s="3231">
        <v>5420</v>
      </c>
      <c r="D240" s="3231">
        <v>5380</v>
      </c>
      <c r="E240" s="3231">
        <v>6640</v>
      </c>
      <c r="F240" s="3231">
        <v>1020</v>
      </c>
      <c r="G240" s="3231">
        <v>3300</v>
      </c>
    </row>
    <row r="241" spans="1:7" s="3220" customFormat="1" ht="14.25" customHeight="1">
      <c r="A241" s="3231" t="s">
        <v>305</v>
      </c>
      <c r="B241" s="3231" t="s">
        <v>3111</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3112</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3113</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3114</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3115</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3116</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2941</v>
      </c>
      <c r="C258" s="3231">
        <v>6190</v>
      </c>
      <c r="D258" s="3231">
        <v>6160</v>
      </c>
      <c r="E258" s="3231">
        <v>7680</v>
      </c>
      <c r="F258" s="3231">
        <v>1170</v>
      </c>
      <c r="G258" s="3231">
        <v>3780</v>
      </c>
    </row>
    <row r="259" spans="1:7" s="3220" customFormat="1" ht="14.25" customHeight="1">
      <c r="A259" s="3231" t="s">
        <v>305</v>
      </c>
      <c r="B259" s="3231" t="s">
        <v>3117</v>
      </c>
      <c r="C259" s="3231">
        <v>7610</v>
      </c>
      <c r="D259" s="3231">
        <v>7570</v>
      </c>
      <c r="E259" s="3231">
        <v>9350</v>
      </c>
      <c r="F259" s="3231">
        <v>1350</v>
      </c>
      <c r="G259" s="3231">
        <v>4650</v>
      </c>
    </row>
    <row r="260" spans="1:7" s="3220" customFormat="1" ht="14.25" customHeight="1">
      <c r="A260" s="3231" t="s">
        <v>305</v>
      </c>
      <c r="B260" s="3231" t="s">
        <v>3118</v>
      </c>
      <c r="C260" s="3231">
        <v>6920</v>
      </c>
      <c r="D260" s="3231">
        <v>6880</v>
      </c>
      <c r="E260" s="3231">
        <v>8380</v>
      </c>
      <c r="F260" s="3231">
        <v>1160</v>
      </c>
      <c r="G260" s="3231">
        <v>4220</v>
      </c>
    </row>
    <row r="261" spans="1:7" s="3220" customFormat="1" ht="14.25" customHeight="1">
      <c r="A261" s="3231" t="s">
        <v>305</v>
      </c>
      <c r="B261" s="3231" t="s">
        <v>3119</v>
      </c>
      <c r="C261" s="3231">
        <v>6850</v>
      </c>
      <c r="D261" s="3231">
        <v>6810</v>
      </c>
      <c r="E261" s="3231">
        <v>8290</v>
      </c>
      <c r="F261" s="3231">
        <v>1130</v>
      </c>
      <c r="G261" s="3231">
        <v>4180</v>
      </c>
    </row>
    <row r="262" spans="1:7" s="3220" customFormat="1" ht="14.25" customHeight="1">
      <c r="A262" s="3231" t="s">
        <v>305</v>
      </c>
      <c r="B262" s="3231" t="s">
        <v>3120</v>
      </c>
      <c r="C262" s="3231">
        <v>5860</v>
      </c>
      <c r="D262" s="3231">
        <v>5820</v>
      </c>
      <c r="E262" s="3231">
        <v>7640</v>
      </c>
      <c r="F262" s="3231">
        <v>1070</v>
      </c>
      <c r="G262" s="3231">
        <v>3570</v>
      </c>
    </row>
    <row r="263" spans="1:7" s="3220" customFormat="1" ht="14.25" customHeight="1">
      <c r="A263" s="3231" t="s">
        <v>305</v>
      </c>
      <c r="B263" s="3231" t="s">
        <v>3121</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3122</v>
      </c>
      <c r="C265" s="3231"/>
      <c r="D265" s="3231"/>
      <c r="E265" s="3231"/>
      <c r="F265" s="3231">
        <v>1500</v>
      </c>
      <c r="G265" s="3231"/>
    </row>
    <row r="266" spans="1:7" s="3220" customFormat="1" ht="14.25" customHeight="1">
      <c r="A266" s="3231" t="s">
        <v>305</v>
      </c>
      <c r="B266" s="3231" t="s">
        <v>3123</v>
      </c>
      <c r="C266" s="3231"/>
      <c r="D266" s="3231"/>
      <c r="E266" s="3231"/>
      <c r="F266" s="3231">
        <v>1500</v>
      </c>
      <c r="G266" s="3231"/>
    </row>
    <row r="267" spans="1:7" s="3220" customFormat="1" ht="14.25" customHeight="1">
      <c r="A267" s="3231" t="s">
        <v>305</v>
      </c>
      <c r="B267" s="3231" t="s">
        <v>3124</v>
      </c>
      <c r="C267" s="3231"/>
      <c r="D267" s="3231"/>
      <c r="E267" s="3231"/>
      <c r="F267" s="3231">
        <v>1500</v>
      </c>
      <c r="G267" s="3231"/>
    </row>
    <row r="268" spans="1:7" s="3220" customFormat="1" ht="14.25" customHeight="1">
      <c r="A268" s="3231" t="s">
        <v>305</v>
      </c>
      <c r="B268" s="3231" t="s">
        <v>3125</v>
      </c>
      <c r="C268" s="3231"/>
      <c r="D268" s="3231"/>
      <c r="E268" s="3231"/>
      <c r="F268" s="3231">
        <v>1290</v>
      </c>
      <c r="G268" s="3231"/>
    </row>
    <row r="269" spans="1:7" s="3220" customFormat="1" ht="14.25" customHeight="1">
      <c r="A269" s="3231" t="s">
        <v>305</v>
      </c>
      <c r="B269" s="3231" t="s">
        <v>3126</v>
      </c>
      <c r="C269" s="3231"/>
      <c r="D269" s="3231"/>
      <c r="E269" s="3231"/>
      <c r="F269" s="3231">
        <v>1150</v>
      </c>
      <c r="G269" s="3231"/>
    </row>
    <row r="270" spans="1:7" s="3220" customFormat="1" ht="14.25" customHeight="1">
      <c r="A270" s="3231" t="s">
        <v>305</v>
      </c>
      <c r="B270" s="3231" t="s">
        <v>3127</v>
      </c>
      <c r="C270" s="3231"/>
      <c r="D270" s="3231"/>
      <c r="E270" s="3231"/>
      <c r="F270" s="3231">
        <v>1380</v>
      </c>
      <c r="G270" s="3231"/>
    </row>
    <row r="271" spans="1:7" s="3220" customFormat="1" ht="14.25" customHeight="1">
      <c r="A271" s="3231" t="s">
        <v>305</v>
      </c>
      <c r="B271" s="3231" t="s">
        <v>3128</v>
      </c>
      <c r="C271" s="3231"/>
      <c r="D271" s="3231"/>
      <c r="E271" s="3231"/>
      <c r="F271" s="3231">
        <v>1460</v>
      </c>
      <c r="G271" s="3231"/>
    </row>
    <row r="272" spans="1:7" s="3220" customFormat="1" ht="14.25" customHeight="1">
      <c r="A272" s="3231" t="s">
        <v>305</v>
      </c>
      <c r="B272" s="3231" t="s">
        <v>3129</v>
      </c>
      <c r="C272" s="3231"/>
      <c r="D272" s="3231"/>
      <c r="E272" s="3231"/>
      <c r="F272" s="3231">
        <v>1460</v>
      </c>
      <c r="G272" s="3231"/>
    </row>
    <row r="273" spans="1:7" s="3220" customFormat="1" ht="14.25" customHeight="1">
      <c r="A273" s="3231" t="s">
        <v>305</v>
      </c>
      <c r="B273" s="3231" t="s">
        <v>3022</v>
      </c>
      <c r="C273" s="3231"/>
      <c r="D273" s="3231"/>
      <c r="E273" s="3231"/>
      <c r="F273" s="3231">
        <v>1490</v>
      </c>
      <c r="G273" s="3231"/>
    </row>
    <row r="274" spans="1:7" s="3220" customFormat="1" ht="14.25" customHeight="1">
      <c r="A274" s="3231" t="s">
        <v>305</v>
      </c>
      <c r="B274" s="3231" t="s">
        <v>3130</v>
      </c>
      <c r="C274" s="3231"/>
      <c r="D274" s="3231"/>
      <c r="E274" s="3231"/>
      <c r="F274" s="3231">
        <v>1490</v>
      </c>
      <c r="G274" s="3231"/>
    </row>
    <row r="275" spans="1:7" s="3220" customFormat="1" ht="14.25" customHeight="1">
      <c r="A275" s="3231" t="s">
        <v>305</v>
      </c>
      <c r="B275" s="3231" t="s">
        <v>3131</v>
      </c>
      <c r="C275" s="3231"/>
      <c r="D275" s="3231"/>
      <c r="E275" s="3231"/>
      <c r="F275" s="3231">
        <v>1220</v>
      </c>
      <c r="G275" s="3231"/>
    </row>
    <row r="276" spans="1:7" s="3220" customFormat="1" ht="14.25" customHeight="1" thickBot="1">
      <c r="A276" s="3239" t="s">
        <v>305</v>
      </c>
      <c r="B276" s="3241" t="s">
        <v>3132</v>
      </c>
      <c r="C276" s="3242"/>
      <c r="D276" s="3242"/>
      <c r="E276" s="3242"/>
      <c r="F276" s="3242">
        <v>1380</v>
      </c>
      <c r="G276" s="3242"/>
    </row>
    <row r="277" spans="1:7" s="3220" customFormat="1" ht="14.25" customHeight="1">
      <c r="A277" s="3236" t="s">
        <v>306</v>
      </c>
      <c r="B277" s="3227" t="s">
        <v>3133</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3134</v>
      </c>
      <c r="C279" s="3231">
        <v>4760</v>
      </c>
      <c r="D279" s="3231">
        <v>4720</v>
      </c>
      <c r="E279" s="3231">
        <v>5540</v>
      </c>
      <c r="F279" s="3231">
        <v>810</v>
      </c>
      <c r="G279" s="3244">
        <v>2850</v>
      </c>
    </row>
    <row r="280" spans="1:7" s="3220" customFormat="1" ht="14.25" customHeight="1">
      <c r="A280" s="3231" t="s">
        <v>306</v>
      </c>
      <c r="B280" s="3231" t="s">
        <v>3135</v>
      </c>
      <c r="C280" s="3231">
        <v>4010</v>
      </c>
      <c r="D280" s="3231">
        <v>3950</v>
      </c>
      <c r="E280" s="3231">
        <v>4710</v>
      </c>
      <c r="F280" s="3231">
        <v>800</v>
      </c>
      <c r="G280" s="3244">
        <v>2390</v>
      </c>
    </row>
    <row r="281" spans="1:7" s="3220" customFormat="1" ht="14.25" customHeight="1">
      <c r="A281" s="3231" t="s">
        <v>306</v>
      </c>
      <c r="B281" s="3231" t="s">
        <v>3136</v>
      </c>
      <c r="C281" s="3231">
        <v>4480</v>
      </c>
      <c r="D281" s="3231">
        <v>4420</v>
      </c>
      <c r="E281" s="3231">
        <v>5230</v>
      </c>
      <c r="F281" s="3231">
        <v>870</v>
      </c>
      <c r="G281" s="3244">
        <v>2660</v>
      </c>
    </row>
    <row r="282" spans="1:7" s="3220" customFormat="1" ht="14.25" customHeight="1">
      <c r="A282" s="3231" t="s">
        <v>306</v>
      </c>
      <c r="B282" s="3231" t="s">
        <v>3137</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3138</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3139</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2914</v>
      </c>
      <c r="C293" s="3231">
        <v>5320</v>
      </c>
      <c r="D293" s="3231">
        <v>5270</v>
      </c>
      <c r="E293" s="3231">
        <v>6160</v>
      </c>
      <c r="F293" s="3231">
        <v>990</v>
      </c>
      <c r="G293" s="3244">
        <v>3170</v>
      </c>
    </row>
    <row r="294" spans="1:7" s="3220" customFormat="1" ht="14.25" customHeight="1">
      <c r="A294" s="3231" t="s">
        <v>306</v>
      </c>
      <c r="B294" s="3231" t="s">
        <v>3140</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2933</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3141</v>
      </c>
      <c r="C302" s="3231">
        <v>5520</v>
      </c>
      <c r="D302" s="3231">
        <v>5470</v>
      </c>
      <c r="E302" s="3231">
        <v>6410</v>
      </c>
      <c r="F302" s="3231">
        <v>950</v>
      </c>
      <c r="G302" s="3244">
        <v>3300</v>
      </c>
    </row>
    <row r="303" spans="1:7" s="3220" customFormat="1" ht="14.25" customHeight="1">
      <c r="A303" s="3231" t="s">
        <v>306</v>
      </c>
      <c r="B303" s="3231" t="s">
        <v>2953</v>
      </c>
      <c r="C303" s="3231">
        <v>5630</v>
      </c>
      <c r="D303" s="3231">
        <v>5590</v>
      </c>
      <c r="E303" s="3231">
        <v>6550</v>
      </c>
      <c r="F303" s="3231">
        <v>1010</v>
      </c>
      <c r="G303" s="3244">
        <v>3370</v>
      </c>
    </row>
    <row r="304" spans="1:7" s="3220" customFormat="1" ht="14.25" customHeight="1">
      <c r="A304" s="3231" t="s">
        <v>306</v>
      </c>
      <c r="B304" s="3231" t="s">
        <v>2960</v>
      </c>
      <c r="C304" s="3231">
        <v>5680</v>
      </c>
      <c r="D304" s="3231">
        <v>5620</v>
      </c>
      <c r="E304" s="3231">
        <v>6620</v>
      </c>
      <c r="F304" s="3231">
        <v>1050</v>
      </c>
      <c r="G304" s="3244">
        <v>3390</v>
      </c>
    </row>
    <row r="305" spans="1:7" s="3220" customFormat="1" ht="14.25" customHeight="1">
      <c r="A305" s="3231" t="s">
        <v>306</v>
      </c>
      <c r="B305" s="3231" t="s">
        <v>2966</v>
      </c>
      <c r="C305" s="3231">
        <v>5590</v>
      </c>
      <c r="D305" s="3231">
        <v>5530</v>
      </c>
      <c r="E305" s="3231">
        <v>6460</v>
      </c>
      <c r="F305" s="3231">
        <v>900</v>
      </c>
      <c r="G305" s="3244">
        <v>3340</v>
      </c>
    </row>
    <row r="306" spans="1:7" s="3220" customFormat="1" ht="14.25" customHeight="1">
      <c r="A306" s="3231" t="s">
        <v>306</v>
      </c>
      <c r="B306" s="3231" t="s">
        <v>3142</v>
      </c>
      <c r="C306" s="3231">
        <v>5560</v>
      </c>
      <c r="D306" s="3231">
        <v>5510</v>
      </c>
      <c r="E306" s="3231">
        <v>6440</v>
      </c>
      <c r="F306" s="3231">
        <v>900</v>
      </c>
      <c r="G306" s="3244">
        <v>3320</v>
      </c>
    </row>
    <row r="307" spans="1:7" s="3220" customFormat="1" ht="14.25" customHeight="1">
      <c r="A307" s="3231" t="s">
        <v>306</v>
      </c>
      <c r="B307" s="3231" t="s">
        <v>2978</v>
      </c>
      <c r="C307" s="3231">
        <v>5650</v>
      </c>
      <c r="D307" s="3231">
        <v>5600</v>
      </c>
      <c r="E307" s="3231">
        <v>6590</v>
      </c>
      <c r="F307" s="3231">
        <v>930</v>
      </c>
      <c r="G307" s="3244">
        <v>3380</v>
      </c>
    </row>
    <row r="308" spans="1:7" s="3220" customFormat="1" ht="14.25" customHeight="1">
      <c r="A308" s="3231" t="s">
        <v>306</v>
      </c>
      <c r="B308" s="3231" t="s">
        <v>3143</v>
      </c>
      <c r="C308" s="3231">
        <v>5620</v>
      </c>
      <c r="D308" s="3231">
        <v>5580</v>
      </c>
      <c r="E308" s="3231">
        <v>6540</v>
      </c>
      <c r="F308" s="3231">
        <v>910</v>
      </c>
      <c r="G308" s="3244">
        <v>3370</v>
      </c>
    </row>
    <row r="309" spans="1:7" s="3220" customFormat="1" ht="14.25" customHeight="1">
      <c r="A309" s="3231" t="s">
        <v>306</v>
      </c>
      <c r="B309" s="3231" t="s">
        <v>3144</v>
      </c>
      <c r="C309" s="3231">
        <v>5060</v>
      </c>
      <c r="D309" s="3231">
        <v>5020</v>
      </c>
      <c r="E309" s="3231">
        <v>6370</v>
      </c>
      <c r="F309" s="3231">
        <v>800</v>
      </c>
      <c r="G309" s="3244">
        <v>3020</v>
      </c>
    </row>
    <row r="310" spans="1:7" s="3220" customFormat="1" ht="14.25" customHeight="1">
      <c r="A310" s="3231" t="s">
        <v>306</v>
      </c>
      <c r="B310" s="3231" t="s">
        <v>2993</v>
      </c>
      <c r="C310" s="3231">
        <v>5150</v>
      </c>
      <c r="D310" s="3231">
        <v>5110</v>
      </c>
      <c r="E310" s="3231">
        <v>6500</v>
      </c>
      <c r="F310" s="3231">
        <v>880</v>
      </c>
      <c r="G310" s="3244">
        <v>3080</v>
      </c>
    </row>
    <row r="311" spans="1:7" s="3220" customFormat="1" ht="14.25" customHeight="1">
      <c r="A311" s="3231" t="s">
        <v>306</v>
      </c>
      <c r="B311" s="3231" t="s">
        <v>3145</v>
      </c>
      <c r="C311" s="3231">
        <v>4750</v>
      </c>
      <c r="D311" s="3231">
        <v>4710</v>
      </c>
      <c r="E311" s="3231">
        <v>5510</v>
      </c>
      <c r="F311" s="3231">
        <v>880</v>
      </c>
      <c r="G311" s="3244">
        <v>2840</v>
      </c>
    </row>
    <row r="312" spans="1:7" s="3220" customFormat="1" ht="14.25" customHeight="1">
      <c r="A312" s="3231" t="s">
        <v>306</v>
      </c>
      <c r="B312" s="3231" t="s">
        <v>3003</v>
      </c>
      <c r="C312" s="3231">
        <v>4690</v>
      </c>
      <c r="D312" s="3231">
        <v>4640</v>
      </c>
      <c r="E312" s="3231">
        <v>5420</v>
      </c>
      <c r="F312" s="3231">
        <v>800</v>
      </c>
      <c r="G312" s="3244">
        <v>2800</v>
      </c>
    </row>
    <row r="313" spans="1:7" s="3220" customFormat="1" ht="14.25" customHeight="1">
      <c r="A313" s="3231" t="s">
        <v>306</v>
      </c>
      <c r="B313" s="3231" t="s">
        <v>3008</v>
      </c>
      <c r="C313" s="3231">
        <v>4810</v>
      </c>
      <c r="D313" s="3231">
        <v>4760</v>
      </c>
      <c r="E313" s="3231">
        <v>5550</v>
      </c>
      <c r="F313" s="3231">
        <v>920</v>
      </c>
      <c r="G313" s="3244">
        <v>2870</v>
      </c>
    </row>
    <row r="314" spans="1:7" s="3220" customFormat="1" ht="14.25" customHeight="1">
      <c r="A314" s="3231" t="s">
        <v>306</v>
      </c>
      <c r="B314" s="3231" t="s">
        <v>3146</v>
      </c>
      <c r="C314" s="3231"/>
      <c r="D314" s="3231"/>
      <c r="E314" s="3231"/>
      <c r="F314" s="3231">
        <v>1020</v>
      </c>
      <c r="G314" s="3244"/>
    </row>
    <row r="315" spans="1:7" s="3220" customFormat="1" ht="14.25" customHeight="1">
      <c r="A315" s="3231" t="s">
        <v>306</v>
      </c>
      <c r="B315" s="3231" t="s">
        <v>3147</v>
      </c>
      <c r="C315" s="3231"/>
      <c r="D315" s="3231"/>
      <c r="E315" s="3231"/>
      <c r="F315" s="3231">
        <v>1050</v>
      </c>
      <c r="G315" s="3244"/>
    </row>
    <row r="316" spans="1:7" s="3220" customFormat="1" ht="14.25" customHeight="1">
      <c r="A316" s="3231" t="s">
        <v>306</v>
      </c>
      <c r="B316" s="3231" t="s">
        <v>3023</v>
      </c>
      <c r="C316" s="3231"/>
      <c r="D316" s="3231"/>
      <c r="E316" s="3231"/>
      <c r="F316" s="3231">
        <v>900</v>
      </c>
      <c r="G316" s="3244"/>
    </row>
    <row r="317" spans="1:7" s="3220" customFormat="1" ht="14.25" customHeight="1">
      <c r="A317" s="3231" t="s">
        <v>306</v>
      </c>
      <c r="B317" s="3231" t="s">
        <v>3148</v>
      </c>
      <c r="C317" s="3231"/>
      <c r="D317" s="3231"/>
      <c r="E317" s="3231"/>
      <c r="F317" s="3231">
        <v>920</v>
      </c>
      <c r="G317" s="3244"/>
    </row>
    <row r="318" spans="1:7" s="3220" customFormat="1" ht="14.25" customHeight="1">
      <c r="A318" s="3231" t="s">
        <v>306</v>
      </c>
      <c r="B318" s="3231" t="s">
        <v>3149</v>
      </c>
      <c r="C318" s="3231"/>
      <c r="D318" s="3231"/>
      <c r="E318" s="3231"/>
      <c r="F318" s="3231">
        <v>1080</v>
      </c>
      <c r="G318" s="3244"/>
    </row>
    <row r="319" spans="1:7" s="3220" customFormat="1" ht="14.25" customHeight="1">
      <c r="A319" s="3231" t="s">
        <v>306</v>
      </c>
      <c r="B319" s="3231" t="s">
        <v>3036</v>
      </c>
      <c r="C319" s="3231"/>
      <c r="D319" s="3231"/>
      <c r="E319" s="3231"/>
      <c r="F319" s="3231">
        <v>1020</v>
      </c>
      <c r="G319" s="3244"/>
    </row>
    <row r="320" spans="1:7" s="3220" customFormat="1" ht="14.25" customHeight="1">
      <c r="A320" s="3231" t="s">
        <v>306</v>
      </c>
      <c r="B320" s="3231" t="s">
        <v>3039</v>
      </c>
      <c r="C320" s="3231"/>
      <c r="D320" s="3231"/>
      <c r="E320" s="3231"/>
      <c r="F320" s="3231">
        <v>1050</v>
      </c>
      <c r="G320" s="3244"/>
    </row>
    <row r="321" spans="1:7" s="3220" customFormat="1" ht="14.25" customHeight="1">
      <c r="A321" s="3231" t="s">
        <v>306</v>
      </c>
      <c r="B321" s="3231" t="s">
        <v>3041</v>
      </c>
      <c r="C321" s="3231"/>
      <c r="D321" s="3231"/>
      <c r="E321" s="3231"/>
      <c r="F321" s="3231">
        <v>960</v>
      </c>
      <c r="G321" s="3244"/>
    </row>
    <row r="322" spans="1:7" s="3220" customFormat="1" ht="14.25" customHeight="1">
      <c r="A322" s="3231" t="s">
        <v>306</v>
      </c>
      <c r="B322" s="3231" t="s">
        <v>3043</v>
      </c>
      <c r="C322" s="3231"/>
      <c r="D322" s="3231"/>
      <c r="E322" s="3231"/>
      <c r="F322" s="3231">
        <v>960</v>
      </c>
      <c r="G322" s="3244"/>
    </row>
    <row r="323" spans="1:7" s="3220" customFormat="1" ht="14.25" customHeight="1">
      <c r="A323" s="3231" t="s">
        <v>306</v>
      </c>
      <c r="B323" s="3231" t="s">
        <v>3045</v>
      </c>
      <c r="C323" s="3231"/>
      <c r="D323" s="3231"/>
      <c r="E323" s="3231"/>
      <c r="F323" s="3231">
        <v>880</v>
      </c>
      <c r="G323" s="3244"/>
    </row>
    <row r="324" spans="1:7" s="3220" customFormat="1" ht="14.25" customHeight="1">
      <c r="A324" s="3231" t="s">
        <v>306</v>
      </c>
      <c r="B324" s="3231" t="s">
        <v>3047</v>
      </c>
      <c r="C324" s="3231"/>
      <c r="D324" s="3231"/>
      <c r="E324" s="3231"/>
      <c r="F324" s="3231">
        <v>930</v>
      </c>
      <c r="G324" s="3244"/>
    </row>
    <row r="325" spans="1:7" s="3220" customFormat="1" ht="14.25" customHeight="1">
      <c r="A325" s="3231" t="s">
        <v>306</v>
      </c>
      <c r="B325" s="3232" t="s">
        <v>3049</v>
      </c>
      <c r="C325" s="3231"/>
      <c r="D325" s="3231"/>
      <c r="E325" s="3231"/>
      <c r="F325" s="3231">
        <v>900</v>
      </c>
      <c r="G325" s="3244"/>
    </row>
    <row r="326" spans="1:7" s="3220" customFormat="1" ht="14.25" customHeight="1" thickBot="1">
      <c r="A326" s="3245" t="s">
        <v>306</v>
      </c>
      <c r="B326" s="3238" t="s">
        <v>3051</v>
      </c>
      <c r="C326" s="3238"/>
      <c r="D326" s="3238"/>
      <c r="E326" s="3238"/>
      <c r="F326" s="3238">
        <v>790</v>
      </c>
      <c r="G326" s="3246"/>
    </row>
    <row r="327" spans="1:7" s="3220" customFormat="1" ht="14.25" customHeight="1">
      <c r="A327" s="3236" t="s">
        <v>307</v>
      </c>
      <c r="B327" s="3227" t="s">
        <v>3150</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3151</v>
      </c>
      <c r="C329" s="3231">
        <v>2730</v>
      </c>
      <c r="D329" s="3231">
        <v>2690</v>
      </c>
      <c r="E329" s="3231">
        <v>3100</v>
      </c>
      <c r="F329" s="3231">
        <v>660</v>
      </c>
      <c r="G329" s="3231">
        <v>1610</v>
      </c>
    </row>
    <row r="330" spans="1:7" s="3220" customFormat="1" ht="14.25" customHeight="1">
      <c r="A330" s="3231" t="s">
        <v>307</v>
      </c>
      <c r="B330" s="3231" t="s">
        <v>3152</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2885</v>
      </c>
      <c r="C332" s="3231">
        <v>3520</v>
      </c>
      <c r="D332" s="3231">
        <v>3480</v>
      </c>
      <c r="E332" s="3231">
        <v>3830</v>
      </c>
      <c r="F332" s="3231">
        <v>720</v>
      </c>
      <c r="G332" s="3231">
        <v>2090</v>
      </c>
    </row>
    <row r="333" spans="1:7" s="3220" customFormat="1" ht="14.25" customHeight="1">
      <c r="A333" s="3231" t="s">
        <v>307</v>
      </c>
      <c r="B333" s="3231" t="s">
        <v>3153</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2895</v>
      </c>
      <c r="C336" s="3231">
        <v>3570</v>
      </c>
      <c r="D336" s="3231">
        <v>3530</v>
      </c>
      <c r="E336" s="3231">
        <v>3880</v>
      </c>
      <c r="F336" s="3231">
        <v>770</v>
      </c>
      <c r="G336" s="3231">
        <v>2110</v>
      </c>
    </row>
    <row r="337" spans="1:10" s="3220" customFormat="1" ht="14.25" customHeight="1">
      <c r="A337" s="3231" t="s">
        <v>307</v>
      </c>
      <c r="B337" s="3231" t="s">
        <v>3154</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3155</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3156</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2920</v>
      </c>
      <c r="C345" s="3231">
        <v>3190</v>
      </c>
      <c r="D345" s="3231">
        <v>3140</v>
      </c>
      <c r="E345" s="3231">
        <v>3450</v>
      </c>
      <c r="F345" s="3231">
        <v>720</v>
      </c>
      <c r="G345" s="3231">
        <v>1880</v>
      </c>
      <c r="J345" s="3220"/>
    </row>
    <row r="346" spans="1:10">
      <c r="A346" s="3231" t="s">
        <v>307</v>
      </c>
      <c r="B346" s="3231" t="s">
        <v>3157</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2929</v>
      </c>
      <c r="C348" s="3231">
        <v>4000</v>
      </c>
      <c r="D348" s="3231">
        <v>3950</v>
      </c>
      <c r="E348" s="3231">
        <v>4430</v>
      </c>
      <c r="F348" s="3231">
        <v>760</v>
      </c>
      <c r="G348" s="3231">
        <v>2360</v>
      </c>
      <c r="J348" s="3220"/>
    </row>
    <row r="349" spans="1:10">
      <c r="A349" s="3231" t="s">
        <v>307</v>
      </c>
      <c r="B349" s="3231" t="s">
        <v>2934</v>
      </c>
      <c r="C349" s="3231">
        <v>3820</v>
      </c>
      <c r="D349" s="3231">
        <v>3780</v>
      </c>
      <c r="E349" s="3231">
        <v>4170</v>
      </c>
      <c r="F349" s="3231">
        <v>710</v>
      </c>
      <c r="G349" s="3231">
        <v>2260</v>
      </c>
      <c r="J349" s="3220"/>
    </row>
    <row r="350" spans="1:10">
      <c r="A350" s="3231" t="s">
        <v>307</v>
      </c>
      <c r="B350" s="3231" t="s">
        <v>3158</v>
      </c>
      <c r="C350" s="3231">
        <v>3760</v>
      </c>
      <c r="D350" s="3231">
        <v>3730</v>
      </c>
      <c r="E350" s="3231">
        <v>4100</v>
      </c>
      <c r="F350" s="3231">
        <v>800</v>
      </c>
      <c r="G350" s="3231">
        <v>2230</v>
      </c>
      <c r="J350" s="3220"/>
    </row>
    <row r="351" spans="1:10">
      <c r="A351" s="3231" t="s">
        <v>307</v>
      </c>
      <c r="B351" s="3231" t="s">
        <v>2942</v>
      </c>
      <c r="C351" s="3231">
        <v>3610</v>
      </c>
      <c r="D351" s="3231">
        <v>3580</v>
      </c>
      <c r="E351" s="3231">
        <v>3930</v>
      </c>
      <c r="F351" s="3231">
        <v>700</v>
      </c>
      <c r="G351" s="3231">
        <v>2140</v>
      </c>
      <c r="J351" s="3220"/>
    </row>
    <row r="352" spans="1:10">
      <c r="A352" s="3231" t="s">
        <v>307</v>
      </c>
      <c r="B352" s="3231" t="s">
        <v>2947</v>
      </c>
      <c r="C352" s="3231">
        <v>3670</v>
      </c>
      <c r="D352" s="3231">
        <v>3630</v>
      </c>
      <c r="E352" s="3231">
        <v>4000</v>
      </c>
      <c r="F352" s="3231">
        <v>750</v>
      </c>
      <c r="G352" s="3231">
        <v>2180</v>
      </c>
    </row>
    <row r="353" spans="1:7" s="3224" customFormat="1">
      <c r="A353" s="3231" t="s">
        <v>307</v>
      </c>
      <c r="B353" s="3231" t="s">
        <v>3159</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2967</v>
      </c>
      <c r="C355" s="3231">
        <v>3650</v>
      </c>
      <c r="D355" s="3231">
        <v>3610</v>
      </c>
      <c r="E355" s="3231">
        <v>4200</v>
      </c>
      <c r="F355" s="3231">
        <v>640</v>
      </c>
      <c r="G355" s="3231">
        <v>2160</v>
      </c>
    </row>
    <row r="356" spans="1:7" s="3224" customFormat="1">
      <c r="A356" s="3231" t="s">
        <v>307</v>
      </c>
      <c r="B356" s="3231" t="s">
        <v>2974</v>
      </c>
      <c r="C356" s="3231">
        <v>3260</v>
      </c>
      <c r="D356" s="3231">
        <v>3230</v>
      </c>
      <c r="E356" s="3231">
        <v>3740</v>
      </c>
      <c r="F356" s="3231">
        <v>600</v>
      </c>
      <c r="G356" s="3231">
        <v>1930</v>
      </c>
    </row>
    <row r="357" spans="1:7" s="3224" customFormat="1" ht="12" thickBot="1">
      <c r="A357" s="3239" t="s">
        <v>307</v>
      </c>
      <c r="B357" s="3242" t="s">
        <v>3160</v>
      </c>
      <c r="C357" s="3242">
        <v>3690</v>
      </c>
      <c r="D357" s="3242">
        <v>3650</v>
      </c>
      <c r="E357" s="3242">
        <v>4020</v>
      </c>
      <c r="F357" s="3242">
        <v>700</v>
      </c>
      <c r="G357" s="3242">
        <v>2190</v>
      </c>
    </row>
    <row r="358" spans="1:7" s="3224" customFormat="1">
      <c r="A358" s="3236" t="s">
        <v>3161</v>
      </c>
      <c r="B358" s="3227" t="s">
        <v>3162</v>
      </c>
      <c r="C358" s="3227">
        <v>2080</v>
      </c>
      <c r="D358" s="3227">
        <v>2040</v>
      </c>
      <c r="E358" s="3227">
        <v>2010</v>
      </c>
      <c r="F358" s="3227">
        <v>530</v>
      </c>
      <c r="G358" s="3243">
        <v>1230</v>
      </c>
    </row>
    <row r="359" spans="1:7" s="3224" customFormat="1">
      <c r="A359" s="3231" t="s">
        <v>3161</v>
      </c>
      <c r="B359" s="3231" t="s">
        <v>3163</v>
      </c>
      <c r="C359" s="3231">
        <v>1850</v>
      </c>
      <c r="D359" s="3231">
        <v>1820</v>
      </c>
      <c r="E359" s="3231">
        <v>1780</v>
      </c>
      <c r="F359" s="3231">
        <v>520</v>
      </c>
      <c r="G359" s="3244">
        <v>1100</v>
      </c>
    </row>
    <row r="360" spans="1:7" s="3224" customFormat="1">
      <c r="A360" s="3231" t="s">
        <v>3161</v>
      </c>
      <c r="B360" s="3231" t="s">
        <v>3164</v>
      </c>
      <c r="C360" s="3231">
        <v>2020</v>
      </c>
      <c r="D360" s="3231">
        <v>1990</v>
      </c>
      <c r="E360" s="3231">
        <v>1950</v>
      </c>
      <c r="F360" s="3231">
        <v>500</v>
      </c>
      <c r="G360" s="3244">
        <v>1200</v>
      </c>
    </row>
    <row r="361" spans="1:7" s="3224" customFormat="1">
      <c r="A361" s="3231" t="s">
        <v>3161</v>
      </c>
      <c r="B361" s="3231" t="s">
        <v>153</v>
      </c>
      <c r="C361" s="3231">
        <v>2260</v>
      </c>
      <c r="D361" s="3231">
        <v>2220</v>
      </c>
      <c r="E361" s="3231">
        <v>2180</v>
      </c>
      <c r="F361" s="3231">
        <v>580</v>
      </c>
      <c r="G361" s="3244">
        <v>1340</v>
      </c>
    </row>
    <row r="362" spans="1:7" s="3224" customFormat="1">
      <c r="A362" s="3231" t="s">
        <v>3161</v>
      </c>
      <c r="B362" s="3231" t="s">
        <v>3165</v>
      </c>
      <c r="C362" s="3231">
        <v>2650</v>
      </c>
      <c r="D362" s="3231">
        <v>2610</v>
      </c>
      <c r="E362" s="3231">
        <v>2570</v>
      </c>
      <c r="F362" s="3231">
        <v>630</v>
      </c>
      <c r="G362" s="3244">
        <v>1570</v>
      </c>
    </row>
    <row r="363" spans="1:7" s="3224" customFormat="1">
      <c r="A363" s="3231" t="s">
        <v>3161</v>
      </c>
      <c r="B363" s="3231" t="s">
        <v>2886</v>
      </c>
      <c r="C363" s="3231">
        <v>2390</v>
      </c>
      <c r="D363" s="3231">
        <v>2360</v>
      </c>
      <c r="E363" s="3231">
        <v>2320</v>
      </c>
      <c r="F363" s="3231">
        <v>600</v>
      </c>
      <c r="G363" s="3244">
        <v>1420</v>
      </c>
    </row>
    <row r="364" spans="1:7" s="3224" customFormat="1">
      <c r="A364" s="3231" t="s">
        <v>3161</v>
      </c>
      <c r="B364" s="3231" t="s">
        <v>3166</v>
      </c>
      <c r="C364" s="3231">
        <v>2050</v>
      </c>
      <c r="D364" s="3231">
        <v>2030</v>
      </c>
      <c r="E364" s="3231">
        <v>1990</v>
      </c>
      <c r="F364" s="3231">
        <v>550</v>
      </c>
      <c r="G364" s="3244">
        <v>1220</v>
      </c>
    </row>
    <row r="365" spans="1:7" s="3224" customFormat="1">
      <c r="A365" s="3231" t="s">
        <v>3161</v>
      </c>
      <c r="B365" s="3231" t="s">
        <v>200</v>
      </c>
      <c r="C365" s="3231">
        <v>2140</v>
      </c>
      <c r="D365" s="3231">
        <v>2100</v>
      </c>
      <c r="E365" s="3231">
        <v>2060</v>
      </c>
      <c r="F365" s="3231">
        <v>540</v>
      </c>
      <c r="G365" s="3244">
        <v>1270</v>
      </c>
    </row>
    <row r="366" spans="1:7" s="3224" customFormat="1">
      <c r="A366" s="3231" t="s">
        <v>3161</v>
      </c>
      <c r="B366" s="3231" t="s">
        <v>2893</v>
      </c>
      <c r="C366" s="3231">
        <v>2410</v>
      </c>
      <c r="D366" s="3231">
        <v>2370</v>
      </c>
      <c r="E366" s="3231">
        <v>2330</v>
      </c>
      <c r="F366" s="3231">
        <v>570</v>
      </c>
      <c r="G366" s="3244">
        <v>1440</v>
      </c>
    </row>
    <row r="367" spans="1:7" s="3224" customFormat="1">
      <c r="A367" s="3231" t="s">
        <v>3161</v>
      </c>
      <c r="B367" s="3231" t="s">
        <v>3167</v>
      </c>
      <c r="C367" s="3231">
        <v>2300</v>
      </c>
      <c r="D367" s="3231">
        <v>2260</v>
      </c>
      <c r="E367" s="3231">
        <v>2220</v>
      </c>
      <c r="F367" s="3231">
        <v>560</v>
      </c>
      <c r="G367" s="3244">
        <v>1370</v>
      </c>
    </row>
    <row r="368" spans="1:7" s="3224" customFormat="1">
      <c r="A368" s="3231" t="s">
        <v>3161</v>
      </c>
      <c r="B368" s="3231" t="s">
        <v>3168</v>
      </c>
      <c r="C368" s="3231">
        <v>2430</v>
      </c>
      <c r="D368" s="3231">
        <v>2390</v>
      </c>
      <c r="E368" s="3231">
        <v>2350</v>
      </c>
      <c r="F368" s="3231">
        <v>570</v>
      </c>
      <c r="G368" s="3244">
        <v>1450</v>
      </c>
    </row>
    <row r="369" spans="1:7" s="3224" customFormat="1">
      <c r="A369" s="3231" t="s">
        <v>3161</v>
      </c>
      <c r="B369" s="3231" t="s">
        <v>214</v>
      </c>
      <c r="C369" s="3231">
        <v>2320</v>
      </c>
      <c r="D369" s="3231">
        <v>2290</v>
      </c>
      <c r="E369" s="3231">
        <v>2250</v>
      </c>
      <c r="F369" s="3231">
        <v>550</v>
      </c>
      <c r="G369" s="3244">
        <v>1380</v>
      </c>
    </row>
    <row r="370" spans="1:7" s="3224" customFormat="1">
      <c r="A370" s="3231" t="s">
        <v>3161</v>
      </c>
      <c r="B370" s="3231" t="s">
        <v>221</v>
      </c>
      <c r="C370" s="3231">
        <v>2190</v>
      </c>
      <c r="D370" s="3231">
        <v>2170</v>
      </c>
      <c r="E370" s="3231">
        <v>2130</v>
      </c>
      <c r="F370" s="3231">
        <v>530</v>
      </c>
      <c r="G370" s="3244">
        <v>1310</v>
      </c>
    </row>
    <row r="371" spans="1:7" s="3224" customFormat="1">
      <c r="A371" s="3231" t="s">
        <v>3161</v>
      </c>
      <c r="B371" s="3231" t="s">
        <v>229</v>
      </c>
      <c r="C371" s="3231">
        <v>2460</v>
      </c>
      <c r="D371" s="3231">
        <v>2420</v>
      </c>
      <c r="E371" s="3231">
        <v>2370</v>
      </c>
      <c r="F371" s="3231">
        <v>560</v>
      </c>
      <c r="G371" s="3244">
        <v>1470</v>
      </c>
    </row>
    <row r="372" spans="1:7" s="3224" customFormat="1">
      <c r="A372" s="3231" t="s">
        <v>3161</v>
      </c>
      <c r="B372" s="3231" t="s">
        <v>3169</v>
      </c>
      <c r="C372" s="3231">
        <v>2250</v>
      </c>
      <c r="D372" s="3231">
        <v>2210</v>
      </c>
      <c r="E372" s="3231">
        <v>2180</v>
      </c>
      <c r="F372" s="3231">
        <v>550</v>
      </c>
      <c r="G372" s="3244">
        <v>1340</v>
      </c>
    </row>
    <row r="373" spans="1:7" s="3224" customFormat="1">
      <c r="A373" s="3231" t="s">
        <v>3161</v>
      </c>
      <c r="B373" s="3231" t="s">
        <v>258</v>
      </c>
      <c r="C373" s="3231">
        <v>2210</v>
      </c>
      <c r="D373" s="3231">
        <v>2190</v>
      </c>
      <c r="E373" s="3231">
        <v>2150</v>
      </c>
      <c r="F373" s="3231">
        <v>530</v>
      </c>
      <c r="G373" s="3244">
        <v>1320</v>
      </c>
    </row>
    <row r="374" spans="1:7" s="3224" customFormat="1">
      <c r="A374" s="3231" t="s">
        <v>3161</v>
      </c>
      <c r="B374" s="3231" t="s">
        <v>266</v>
      </c>
      <c r="C374" s="3231">
        <v>2320</v>
      </c>
      <c r="D374" s="3231">
        <v>2280</v>
      </c>
      <c r="E374" s="3231">
        <v>2230</v>
      </c>
      <c r="F374" s="3231">
        <v>580</v>
      </c>
      <c r="G374" s="3244">
        <v>1380</v>
      </c>
    </row>
    <row r="375" spans="1:7" s="3224" customFormat="1">
      <c r="A375" s="3231" t="s">
        <v>3161</v>
      </c>
      <c r="B375" s="3231" t="s">
        <v>3170</v>
      </c>
      <c r="C375" s="3231">
        <v>2090</v>
      </c>
      <c r="D375" s="3231">
        <v>2050</v>
      </c>
      <c r="E375" s="3231">
        <v>2020</v>
      </c>
      <c r="F375" s="3231">
        <v>520</v>
      </c>
      <c r="G375" s="3244">
        <v>1240</v>
      </c>
    </row>
    <row r="376" spans="1:7" s="3224" customFormat="1">
      <c r="A376" s="3231" t="s">
        <v>3161</v>
      </c>
      <c r="B376" s="3231" t="s">
        <v>277</v>
      </c>
      <c r="C376" s="3231">
        <v>2010</v>
      </c>
      <c r="D376" s="3231">
        <v>1980</v>
      </c>
      <c r="E376" s="3231">
        <v>1940</v>
      </c>
      <c r="F376" s="3231">
        <v>540</v>
      </c>
      <c r="G376" s="3244">
        <v>1190</v>
      </c>
    </row>
    <row r="377" spans="1:7" s="3224" customFormat="1" ht="12" thickBot="1">
      <c r="A377" s="3239" t="s">
        <v>3161</v>
      </c>
      <c r="B377" s="3242" t="s">
        <v>2923</v>
      </c>
      <c r="C377" s="3242">
        <v>1930</v>
      </c>
      <c r="D377" s="3242">
        <v>1890</v>
      </c>
      <c r="E377" s="3242">
        <v>1860</v>
      </c>
      <c r="F377" s="3242">
        <v>530</v>
      </c>
      <c r="G377" s="3247">
        <v>1150</v>
      </c>
    </row>
    <row r="378" spans="1:7" s="3224" customFormat="1">
      <c r="A378" s="3248" t="s">
        <v>3171</v>
      </c>
      <c r="B378" s="3227" t="s">
        <v>3172</v>
      </c>
      <c r="C378" s="3227">
        <v>1520</v>
      </c>
      <c r="D378" s="3227">
        <v>1490</v>
      </c>
      <c r="E378" s="3227">
        <v>1460</v>
      </c>
      <c r="F378" s="3227">
        <v>460</v>
      </c>
      <c r="G378" s="3243">
        <v>940</v>
      </c>
    </row>
    <row r="379" spans="1:7" s="3224" customFormat="1">
      <c r="A379" s="3249" t="s">
        <v>3171</v>
      </c>
      <c r="B379" s="3231" t="s">
        <v>3173</v>
      </c>
      <c r="C379" s="3231">
        <v>1500</v>
      </c>
      <c r="D379" s="3231">
        <v>1470</v>
      </c>
      <c r="E379" s="3231">
        <v>1430</v>
      </c>
      <c r="F379" s="3231">
        <v>460</v>
      </c>
      <c r="G379" s="3244">
        <v>920</v>
      </c>
    </row>
    <row r="380" spans="1:7" s="3224" customFormat="1">
      <c r="A380" s="3249" t="s">
        <v>3171</v>
      </c>
      <c r="B380" s="3231" t="s">
        <v>3174</v>
      </c>
      <c r="C380" s="3231">
        <v>1620</v>
      </c>
      <c r="D380" s="3231">
        <v>1590</v>
      </c>
      <c r="E380" s="3231">
        <v>1560</v>
      </c>
      <c r="F380" s="3231">
        <v>480</v>
      </c>
      <c r="G380" s="3244">
        <v>1000</v>
      </c>
    </row>
    <row r="381" spans="1:7" s="3224" customFormat="1">
      <c r="A381" s="3249" t="s">
        <v>3171</v>
      </c>
      <c r="B381" s="3231" t="s">
        <v>3175</v>
      </c>
      <c r="C381" s="3231">
        <v>1460</v>
      </c>
      <c r="D381" s="3231">
        <v>1430</v>
      </c>
      <c r="E381" s="3231">
        <v>1390</v>
      </c>
      <c r="F381" s="3231">
        <v>450</v>
      </c>
      <c r="G381" s="3244">
        <v>900</v>
      </c>
    </row>
    <row r="382" spans="1:7" s="3224" customFormat="1">
      <c r="A382" s="3249" t="s">
        <v>3171</v>
      </c>
      <c r="B382" s="3231" t="s">
        <v>3176</v>
      </c>
      <c r="C382" s="3231">
        <v>1310</v>
      </c>
      <c r="D382" s="3231">
        <v>1280</v>
      </c>
      <c r="E382" s="3231">
        <v>1250</v>
      </c>
      <c r="F382" s="3231">
        <v>440</v>
      </c>
      <c r="G382" s="3244">
        <v>800</v>
      </c>
    </row>
    <row r="383" spans="1:7" s="3224" customFormat="1">
      <c r="A383" s="3249" t="s">
        <v>3171</v>
      </c>
      <c r="B383" s="3231" t="s">
        <v>3177</v>
      </c>
      <c r="C383" s="3231">
        <v>1260</v>
      </c>
      <c r="D383" s="3231">
        <v>1230</v>
      </c>
      <c r="E383" s="3231">
        <v>1200</v>
      </c>
      <c r="F383" s="3231">
        <v>420</v>
      </c>
      <c r="G383" s="3244">
        <v>770</v>
      </c>
    </row>
    <row r="384" spans="1:7" s="3224" customFormat="1" ht="12" thickBot="1">
      <c r="A384" s="3250" t="s">
        <v>3171</v>
      </c>
      <c r="B384" s="3238" t="s">
        <v>3178</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4186" t="s">
        <v>3179</v>
      </c>
      <c r="B1" s="4186"/>
    </row>
    <row r="2" spans="1:7" ht="14.25" thickBot="1">
      <c r="A2" s="3253"/>
      <c r="B2" s="3253"/>
    </row>
    <row r="3" spans="1:7" ht="14.25" thickBot="1">
      <c r="A3" s="3253"/>
      <c r="B3" s="3253"/>
      <c r="C3" s="3254" t="s">
        <v>2805</v>
      </c>
      <c r="D3" s="3254" t="s">
        <v>2865</v>
      </c>
      <c r="E3" s="3254" t="s">
        <v>2807</v>
      </c>
      <c r="F3" s="3254" t="s">
        <v>2866</v>
      </c>
      <c r="G3" s="3254" t="s">
        <v>2625</v>
      </c>
    </row>
    <row r="4" spans="1:7" ht="14.25" thickBot="1">
      <c r="A4" s="3255" t="s">
        <v>2864</v>
      </c>
      <c r="B4" s="3256" t="s">
        <v>2870</v>
      </c>
      <c r="C4" s="3254"/>
      <c r="D4" s="3254"/>
      <c r="E4" s="3254"/>
      <c r="F4" s="3254"/>
      <c r="G4" s="3254"/>
    </row>
    <row r="5" spans="1:7">
      <c r="A5" s="3257" t="s">
        <v>2838</v>
      </c>
      <c r="B5" s="3258" t="s">
        <v>2852</v>
      </c>
      <c r="C5" s="3259">
        <v>9.8000000000000004E-2</v>
      </c>
      <c r="D5" s="3259">
        <v>8.6999999999999994E-2</v>
      </c>
      <c r="E5" s="3259">
        <v>8.6999999999999994E-2</v>
      </c>
      <c r="F5" s="3259">
        <v>9.8000000000000004E-2</v>
      </c>
      <c r="G5" s="3260">
        <v>9.5000000000000001E-2</v>
      </c>
    </row>
    <row r="6" spans="1:7">
      <c r="A6" s="3261" t="s">
        <v>144</v>
      </c>
      <c r="B6" s="3262" t="s">
        <v>2867</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2853</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2903</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2921</v>
      </c>
      <c r="C29" s="3271"/>
      <c r="D29" s="3267">
        <v>5.1999999999999998E-2</v>
      </c>
      <c r="E29" s="3267">
        <v>7.0000000000000007E-2</v>
      </c>
      <c r="F29" s="3271"/>
      <c r="G29" s="3269">
        <v>7.0999999999999994E-2</v>
      </c>
    </row>
    <row r="30" spans="1:7">
      <c r="A30" s="3272" t="s">
        <v>296</v>
      </c>
      <c r="B30" s="3258" t="s">
        <v>2854</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2840</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2924</v>
      </c>
      <c r="C50" s="3263">
        <v>9.8000000000000004E-2</v>
      </c>
      <c r="D50" s="3263">
        <v>7.2999999999999995E-2</v>
      </c>
      <c r="E50" s="3263">
        <v>7.0999999999999994E-2</v>
      </c>
      <c r="F50" s="3274"/>
      <c r="G50" s="3264">
        <v>7.2999999999999995E-2</v>
      </c>
    </row>
    <row r="51" spans="1:7">
      <c r="A51" s="3273" t="s">
        <v>296</v>
      </c>
      <c r="B51" s="3262" t="s">
        <v>2926</v>
      </c>
      <c r="C51" s="3263">
        <v>9.9000000000000005E-2</v>
      </c>
      <c r="D51" s="3263">
        <v>8.5000000000000006E-2</v>
      </c>
      <c r="E51" s="3263">
        <v>6.3E-2</v>
      </c>
      <c r="F51" s="3274"/>
      <c r="G51" s="3264">
        <v>9.6000000000000002E-2</v>
      </c>
    </row>
    <row r="52" spans="1:7">
      <c r="A52" s="3273" t="s">
        <v>296</v>
      </c>
      <c r="B52" s="3262" t="s">
        <v>2930</v>
      </c>
      <c r="C52" s="3263">
        <v>7.3999999999999996E-2</v>
      </c>
      <c r="D52" s="3263">
        <v>9.6000000000000002E-2</v>
      </c>
      <c r="E52" s="3263">
        <v>0.05</v>
      </c>
      <c r="F52" s="3274"/>
      <c r="G52" s="3264">
        <v>9.8000000000000004E-2</v>
      </c>
    </row>
    <row r="53" spans="1:7">
      <c r="A53" s="3273" t="s">
        <v>296</v>
      </c>
      <c r="B53" s="3262" t="s">
        <v>2935</v>
      </c>
      <c r="C53" s="3263">
        <v>8.5999999999999993E-2</v>
      </c>
      <c r="D53" s="3274"/>
      <c r="E53" s="3263">
        <v>9.1999999999999998E-2</v>
      </c>
      <c r="F53" s="3274"/>
      <c r="G53" s="3275"/>
    </row>
    <row r="54" spans="1:7" ht="14.25" thickBot="1">
      <c r="A54" s="3276" t="s">
        <v>296</v>
      </c>
      <c r="B54" s="3266" t="s">
        <v>2938</v>
      </c>
      <c r="C54" s="3267">
        <v>9.6000000000000002E-2</v>
      </c>
      <c r="D54" s="3268"/>
      <c r="E54" s="3277"/>
      <c r="F54" s="3268"/>
      <c r="G54" s="3278"/>
    </row>
    <row r="55" spans="1:7">
      <c r="A55" s="3272" t="s">
        <v>110</v>
      </c>
      <c r="B55" s="3258" t="s">
        <v>2855</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2936</v>
      </c>
      <c r="C78" s="3263">
        <v>0.1</v>
      </c>
      <c r="D78" s="3263">
        <v>8.5000000000000006E-2</v>
      </c>
      <c r="E78" s="3263">
        <v>9.6000000000000002E-2</v>
      </c>
      <c r="F78" s="3274"/>
      <c r="G78" s="3264">
        <v>9.6000000000000002E-2</v>
      </c>
    </row>
    <row r="79" spans="1:7">
      <c r="A79" s="3273" t="s">
        <v>110</v>
      </c>
      <c r="B79" s="3262" t="s">
        <v>2939</v>
      </c>
      <c r="C79" s="3263">
        <v>0.05</v>
      </c>
      <c r="D79" s="3263">
        <v>9.6000000000000002E-2</v>
      </c>
      <c r="E79" s="3263">
        <v>9.5000000000000001E-2</v>
      </c>
      <c r="F79" s="3274"/>
      <c r="G79" s="3264">
        <v>9.8000000000000004E-2</v>
      </c>
    </row>
    <row r="80" spans="1:7">
      <c r="A80" s="3273" t="s">
        <v>110</v>
      </c>
      <c r="B80" s="3262" t="s">
        <v>2943</v>
      </c>
      <c r="C80" s="3263">
        <v>8.5999999999999993E-2</v>
      </c>
      <c r="D80" s="3279"/>
      <c r="E80" s="3263">
        <v>0.1</v>
      </c>
      <c r="F80" s="3274"/>
      <c r="G80" s="3275"/>
    </row>
    <row r="81" spans="1:7">
      <c r="A81" s="3273" t="s">
        <v>110</v>
      </c>
      <c r="B81" s="3262" t="s">
        <v>2948</v>
      </c>
      <c r="C81" s="3263">
        <v>9.6000000000000002E-2</v>
      </c>
      <c r="D81" s="3274"/>
      <c r="E81" s="3263">
        <v>9.8000000000000004E-2</v>
      </c>
      <c r="F81" s="3274"/>
      <c r="G81" s="3275"/>
    </row>
    <row r="82" spans="1:7">
      <c r="A82" s="3273" t="s">
        <v>110</v>
      </c>
      <c r="B82" s="3262" t="s">
        <v>2955</v>
      </c>
      <c r="C82" s="3279"/>
      <c r="D82" s="3274"/>
      <c r="E82" s="3263">
        <v>7.6999999999999999E-2</v>
      </c>
      <c r="F82" s="3274"/>
      <c r="G82" s="3275"/>
    </row>
    <row r="83" spans="1:7">
      <c r="A83" s="3273" t="s">
        <v>110</v>
      </c>
      <c r="B83" s="3262" t="s">
        <v>2961</v>
      </c>
      <c r="C83" s="3274"/>
      <c r="D83" s="3274"/>
      <c r="E83" s="3274"/>
      <c r="F83" s="3263">
        <v>0.1</v>
      </c>
      <c r="G83" s="3280"/>
    </row>
    <row r="84" spans="1:7">
      <c r="A84" s="3273" t="s">
        <v>110</v>
      </c>
      <c r="B84" s="3262" t="s">
        <v>2968</v>
      </c>
      <c r="C84" s="3274"/>
      <c r="D84" s="3274"/>
      <c r="E84" s="3274"/>
      <c r="F84" s="3263">
        <v>0.1</v>
      </c>
      <c r="G84" s="3280"/>
    </row>
    <row r="85" spans="1:7">
      <c r="A85" s="3273" t="s">
        <v>110</v>
      </c>
      <c r="B85" s="3262" t="s">
        <v>2975</v>
      </c>
      <c r="C85" s="3274"/>
      <c r="D85" s="3274"/>
      <c r="E85" s="3274"/>
      <c r="F85" s="3263">
        <v>0.1</v>
      </c>
      <c r="G85" s="3280"/>
    </row>
    <row r="86" spans="1:7" ht="14.25" thickBot="1">
      <c r="A86" s="3276" t="s">
        <v>110</v>
      </c>
      <c r="B86" s="3266" t="s">
        <v>2980</v>
      </c>
      <c r="C86" s="3267">
        <v>9.8000000000000004E-2</v>
      </c>
      <c r="D86" s="3267">
        <v>9.8000000000000004E-2</v>
      </c>
      <c r="E86" s="3267">
        <v>9.6000000000000002E-2</v>
      </c>
      <c r="F86" s="3277"/>
      <c r="G86" s="3269">
        <v>0.1</v>
      </c>
    </row>
    <row r="87" spans="1:7">
      <c r="A87" s="3272" t="s">
        <v>303</v>
      </c>
      <c r="B87" s="3258" t="s">
        <v>2856</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2949</v>
      </c>
      <c r="C113" s="3263">
        <v>0.1</v>
      </c>
      <c r="D113" s="3263">
        <v>0.1</v>
      </c>
      <c r="E113" s="3274"/>
      <c r="F113" s="3274"/>
      <c r="G113" s="3264">
        <v>0.1</v>
      </c>
    </row>
    <row r="114" spans="1:7">
      <c r="A114" s="3273" t="s">
        <v>303</v>
      </c>
      <c r="B114" s="3262" t="s">
        <v>2956</v>
      </c>
      <c r="C114" s="3263">
        <v>9.7000000000000003E-2</v>
      </c>
      <c r="D114" s="3263">
        <v>9.7000000000000003E-2</v>
      </c>
      <c r="E114" s="3274"/>
      <c r="F114" s="3274"/>
      <c r="G114" s="3264">
        <v>9.9000000000000005E-2</v>
      </c>
    </row>
    <row r="115" spans="1:7">
      <c r="A115" s="3273" t="s">
        <v>303</v>
      </c>
      <c r="B115" s="3262" t="s">
        <v>2962</v>
      </c>
      <c r="C115" s="3263">
        <v>0.1</v>
      </c>
      <c r="D115" s="3263">
        <v>0.1</v>
      </c>
      <c r="E115" s="3274"/>
      <c r="F115" s="3274"/>
      <c r="G115" s="3264">
        <v>0.1</v>
      </c>
    </row>
    <row r="116" spans="1:7">
      <c r="A116" s="3273" t="s">
        <v>303</v>
      </c>
      <c r="B116" s="3262" t="s">
        <v>2969</v>
      </c>
      <c r="C116" s="3263">
        <v>0.1</v>
      </c>
      <c r="D116" s="3263">
        <v>0.1</v>
      </c>
      <c r="E116" s="3274"/>
      <c r="F116" s="3274"/>
      <c r="G116" s="3264">
        <v>0.1</v>
      </c>
    </row>
    <row r="117" spans="1:7">
      <c r="A117" s="3273" t="s">
        <v>303</v>
      </c>
      <c r="B117" s="3262" t="s">
        <v>2976</v>
      </c>
      <c r="C117" s="3263">
        <v>9.7000000000000003E-2</v>
      </c>
      <c r="D117" s="3263">
        <v>9.7000000000000003E-2</v>
      </c>
      <c r="E117" s="3274"/>
      <c r="F117" s="3274"/>
      <c r="G117" s="3264">
        <v>9.7000000000000003E-2</v>
      </c>
    </row>
    <row r="118" spans="1:7">
      <c r="A118" s="3273" t="s">
        <v>303</v>
      </c>
      <c r="B118" s="3262" t="s">
        <v>2981</v>
      </c>
      <c r="C118" s="3263">
        <v>0.1</v>
      </c>
      <c r="D118" s="3263">
        <v>0.1</v>
      </c>
      <c r="E118" s="3274"/>
      <c r="F118" s="3274"/>
      <c r="G118" s="3264">
        <v>0.1</v>
      </c>
    </row>
    <row r="119" spans="1:7">
      <c r="A119" s="3273" t="s">
        <v>303</v>
      </c>
      <c r="B119" s="3262" t="s">
        <v>2985</v>
      </c>
      <c r="C119" s="3263">
        <v>5.0999999999999997E-2</v>
      </c>
      <c r="D119" s="3263">
        <v>5.1999999999999998E-2</v>
      </c>
      <c r="E119" s="3274"/>
      <c r="F119" s="3279"/>
      <c r="G119" s="3264">
        <v>0.06</v>
      </c>
    </row>
    <row r="120" spans="1:7">
      <c r="A120" s="3273" t="s">
        <v>303</v>
      </c>
      <c r="B120" s="3262" t="s">
        <v>2989</v>
      </c>
      <c r="C120" s="3274"/>
      <c r="D120" s="3274"/>
      <c r="E120" s="3274"/>
      <c r="F120" s="3263">
        <v>0.1</v>
      </c>
      <c r="G120" s="3280"/>
    </row>
    <row r="121" spans="1:7">
      <c r="A121" s="3273" t="s">
        <v>303</v>
      </c>
      <c r="B121" s="3262" t="s">
        <v>2994</v>
      </c>
      <c r="C121" s="3274"/>
      <c r="D121" s="3274"/>
      <c r="E121" s="3274"/>
      <c r="F121" s="3263">
        <v>0.1</v>
      </c>
      <c r="G121" s="3280"/>
    </row>
    <row r="122" spans="1:7">
      <c r="A122" s="3273" t="s">
        <v>303</v>
      </c>
      <c r="B122" s="3262" t="s">
        <v>2999</v>
      </c>
      <c r="C122" s="3263">
        <v>0.1</v>
      </c>
      <c r="D122" s="3263">
        <v>0.1</v>
      </c>
      <c r="E122" s="3263">
        <v>9.8000000000000004E-2</v>
      </c>
      <c r="F122" s="3263">
        <v>0.1</v>
      </c>
      <c r="G122" s="3264">
        <v>0.1</v>
      </c>
    </row>
    <row r="123" spans="1:7">
      <c r="A123" s="3273" t="s">
        <v>303</v>
      </c>
      <c r="B123" s="3262" t="s">
        <v>3004</v>
      </c>
      <c r="C123" s="3263">
        <v>0.1</v>
      </c>
      <c r="D123" s="3263">
        <v>0.1</v>
      </c>
      <c r="E123" s="3263">
        <v>9.8000000000000004E-2</v>
      </c>
      <c r="F123" s="3263">
        <v>0.1</v>
      </c>
      <c r="G123" s="3264">
        <v>0.1</v>
      </c>
    </row>
    <row r="124" spans="1:7">
      <c r="A124" s="3273" t="s">
        <v>303</v>
      </c>
      <c r="B124" s="3262" t="s">
        <v>3009</v>
      </c>
      <c r="C124" s="3263">
        <v>0.1</v>
      </c>
      <c r="D124" s="3263">
        <v>0.1</v>
      </c>
      <c r="E124" s="3263">
        <v>9.8000000000000004E-2</v>
      </c>
      <c r="F124" s="3279"/>
      <c r="G124" s="3264">
        <v>0.1</v>
      </c>
    </row>
    <row r="125" spans="1:7">
      <c r="A125" s="3273" t="s">
        <v>303</v>
      </c>
      <c r="B125" s="3262" t="s">
        <v>3014</v>
      </c>
      <c r="C125" s="3263">
        <v>9.8000000000000004E-2</v>
      </c>
      <c r="D125" s="3263">
        <v>9.8000000000000004E-2</v>
      </c>
      <c r="E125" s="3263">
        <v>9.6000000000000002E-2</v>
      </c>
      <c r="F125" s="3279"/>
      <c r="G125" s="3264">
        <v>0.1</v>
      </c>
    </row>
    <row r="126" spans="1:7" ht="14.25" thickBot="1">
      <c r="A126" s="3276" t="s">
        <v>303</v>
      </c>
      <c r="B126" s="3266" t="s">
        <v>3180</v>
      </c>
      <c r="C126" s="3267">
        <v>0.1</v>
      </c>
      <c r="D126" s="3267">
        <v>0.1</v>
      </c>
      <c r="E126" s="3267">
        <v>9.8000000000000004E-2</v>
      </c>
      <c r="F126" s="3267">
        <v>0.1</v>
      </c>
      <c r="G126" s="3269">
        <v>0.1</v>
      </c>
    </row>
    <row r="127" spans="1:7">
      <c r="A127" s="3272" t="s">
        <v>29</v>
      </c>
      <c r="B127" s="3258" t="s">
        <v>2857</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2927</v>
      </c>
      <c r="C148" s="3263">
        <v>0.13</v>
      </c>
      <c r="D148" s="3263">
        <v>0.13</v>
      </c>
      <c r="E148" s="3263">
        <v>0.13</v>
      </c>
      <c r="F148" s="3274"/>
      <c r="G148" s="3264">
        <v>0.13</v>
      </c>
    </row>
    <row r="149" spans="1:7">
      <c r="A149" s="3273" t="s">
        <v>29</v>
      </c>
      <c r="B149" s="3262" t="s">
        <v>2931</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2950</v>
      </c>
      <c r="C153" s="3263">
        <v>0.13</v>
      </c>
      <c r="D153" s="3263">
        <v>0.13</v>
      </c>
      <c r="E153" s="3263">
        <v>0.13</v>
      </c>
      <c r="F153" s="3263">
        <v>0.13</v>
      </c>
      <c r="G153" s="3264">
        <v>0.13</v>
      </c>
    </row>
    <row r="154" spans="1:7">
      <c r="A154" s="3273" t="s">
        <v>29</v>
      </c>
      <c r="B154" s="3262" t="s">
        <v>2957</v>
      </c>
      <c r="C154" s="3263">
        <v>0.121</v>
      </c>
      <c r="D154" s="3263">
        <v>0.121</v>
      </c>
      <c r="E154" s="3263">
        <v>0.105</v>
      </c>
      <c r="F154" s="3263">
        <v>0.121</v>
      </c>
      <c r="G154" s="3264">
        <v>0.123</v>
      </c>
    </row>
    <row r="155" spans="1:7">
      <c r="A155" s="3273" t="s">
        <v>29</v>
      </c>
      <c r="B155" s="3262" t="s">
        <v>2963</v>
      </c>
      <c r="C155" s="3263">
        <v>0.1</v>
      </c>
      <c r="D155" s="3263">
        <v>0.1</v>
      </c>
      <c r="E155" s="3263">
        <v>0.1</v>
      </c>
      <c r="F155" s="3263">
        <v>0.1</v>
      </c>
      <c r="G155" s="3264">
        <v>0.1</v>
      </c>
    </row>
    <row r="156" spans="1:7">
      <c r="A156" s="3273" t="s">
        <v>29</v>
      </c>
      <c r="B156" s="3262" t="s">
        <v>2970</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2990</v>
      </c>
      <c r="C160" s="3263">
        <v>0.13</v>
      </c>
      <c r="D160" s="3263">
        <v>0.13</v>
      </c>
      <c r="E160" s="3263">
        <v>0.124</v>
      </c>
      <c r="F160" s="3263">
        <v>0.126</v>
      </c>
      <c r="G160" s="3264">
        <v>0.13</v>
      </c>
    </row>
    <row r="161" spans="1:7">
      <c r="A161" s="3273" t="s">
        <v>29</v>
      </c>
      <c r="B161" s="3262" t="s">
        <v>2995</v>
      </c>
      <c r="C161" s="3263">
        <v>0.13</v>
      </c>
      <c r="D161" s="3263">
        <v>0.13</v>
      </c>
      <c r="E161" s="3263">
        <v>0.124</v>
      </c>
      <c r="F161" s="3263">
        <v>0.127</v>
      </c>
      <c r="G161" s="3264">
        <v>0.13</v>
      </c>
    </row>
    <row r="162" spans="1:7">
      <c r="A162" s="3273" t="s">
        <v>29</v>
      </c>
      <c r="B162" s="3262" t="s">
        <v>3000</v>
      </c>
      <c r="C162" s="3263">
        <v>0.1</v>
      </c>
      <c r="D162" s="3263">
        <v>0.1</v>
      </c>
      <c r="E162" s="3263">
        <v>0.1</v>
      </c>
      <c r="F162" s="3263">
        <v>0.121</v>
      </c>
      <c r="G162" s="3264">
        <v>0.105</v>
      </c>
    </row>
    <row r="163" spans="1:7">
      <c r="A163" s="3273" t="s">
        <v>29</v>
      </c>
      <c r="B163" s="3262" t="s">
        <v>3005</v>
      </c>
      <c r="C163" s="3263">
        <v>0.1</v>
      </c>
      <c r="D163" s="3263">
        <v>0.1</v>
      </c>
      <c r="E163" s="3263">
        <v>0.1</v>
      </c>
      <c r="F163" s="3263">
        <v>0.1</v>
      </c>
      <c r="G163" s="3264">
        <v>0.1</v>
      </c>
    </row>
    <row r="164" spans="1:7">
      <c r="A164" s="3273" t="s">
        <v>29</v>
      </c>
      <c r="B164" s="3262" t="s">
        <v>3010</v>
      </c>
      <c r="C164" s="3279"/>
      <c r="D164" s="3279"/>
      <c r="E164" s="3279"/>
      <c r="F164" s="3263">
        <v>0.1</v>
      </c>
      <c r="G164" s="3275"/>
    </row>
    <row r="165" spans="1:7">
      <c r="A165" s="3273" t="s">
        <v>29</v>
      </c>
      <c r="B165" s="3262" t="s">
        <v>3181</v>
      </c>
      <c r="C165" s="3263">
        <v>0.126</v>
      </c>
      <c r="D165" s="3263">
        <v>0.126</v>
      </c>
      <c r="E165" s="3263">
        <v>0.11899999999999999</v>
      </c>
      <c r="F165" s="3263">
        <v>0.13</v>
      </c>
      <c r="G165" s="3264">
        <v>0.128</v>
      </c>
    </row>
    <row r="166" spans="1:7">
      <c r="A166" s="3273" t="s">
        <v>29</v>
      </c>
      <c r="B166" s="3262" t="s">
        <v>3020</v>
      </c>
      <c r="C166" s="3263">
        <v>0.129</v>
      </c>
      <c r="D166" s="3263">
        <v>0.129</v>
      </c>
      <c r="E166" s="3263">
        <v>0.123</v>
      </c>
      <c r="F166" s="3263">
        <v>0.128</v>
      </c>
      <c r="G166" s="3264">
        <v>0.13</v>
      </c>
    </row>
    <row r="167" spans="1:7">
      <c r="A167" s="3273" t="s">
        <v>29</v>
      </c>
      <c r="B167" s="3262" t="s">
        <v>3024</v>
      </c>
      <c r="C167" s="3263">
        <v>0.125</v>
      </c>
      <c r="D167" s="3263">
        <v>0.125</v>
      </c>
      <c r="E167" s="3263">
        <v>0.11700000000000001</v>
      </c>
      <c r="F167" s="3263">
        <v>0.13</v>
      </c>
      <c r="G167" s="3264">
        <v>0.126</v>
      </c>
    </row>
    <row r="168" spans="1:7">
      <c r="A168" s="3273" t="s">
        <v>29</v>
      </c>
      <c r="B168" s="3262" t="s">
        <v>3029</v>
      </c>
      <c r="C168" s="3263">
        <v>0.128</v>
      </c>
      <c r="D168" s="3263">
        <v>0.128</v>
      </c>
      <c r="E168" s="3263">
        <v>0.123</v>
      </c>
      <c r="F168" s="3274"/>
      <c r="G168" s="3264">
        <v>0.13</v>
      </c>
    </row>
    <row r="169" spans="1:7">
      <c r="A169" s="3273" t="s">
        <v>29</v>
      </c>
      <c r="B169" s="3262" t="s">
        <v>3182</v>
      </c>
      <c r="C169" s="3279"/>
      <c r="D169" s="3279"/>
      <c r="E169" s="3279"/>
      <c r="F169" s="3263">
        <v>0.05</v>
      </c>
      <c r="G169" s="3275"/>
    </row>
    <row r="170" spans="1:7">
      <c r="A170" s="3273" t="s">
        <v>29</v>
      </c>
      <c r="B170" s="3262" t="s">
        <v>3183</v>
      </c>
      <c r="C170" s="3279"/>
      <c r="D170" s="3279"/>
      <c r="E170" s="3279"/>
      <c r="F170" s="3263">
        <v>0.05</v>
      </c>
      <c r="G170" s="3275"/>
    </row>
    <row r="171" spans="1:7">
      <c r="A171" s="3273" t="s">
        <v>29</v>
      </c>
      <c r="B171" s="3262" t="s">
        <v>3184</v>
      </c>
      <c r="C171" s="3279"/>
      <c r="D171" s="3279"/>
      <c r="E171" s="3279"/>
      <c r="F171" s="3263">
        <v>0.05</v>
      </c>
      <c r="G171" s="3280"/>
    </row>
    <row r="172" spans="1:7">
      <c r="A172" s="3273" t="s">
        <v>29</v>
      </c>
      <c r="B172" s="3262" t="s">
        <v>3185</v>
      </c>
      <c r="C172" s="3279"/>
      <c r="D172" s="3279"/>
      <c r="E172" s="3279"/>
      <c r="F172" s="3263">
        <v>0.05</v>
      </c>
      <c r="G172" s="3280"/>
    </row>
    <row r="173" spans="1:7">
      <c r="A173" s="3273" t="s">
        <v>29</v>
      </c>
      <c r="B173" s="3262" t="s">
        <v>3186</v>
      </c>
      <c r="C173" s="3279"/>
      <c r="D173" s="3279"/>
      <c r="E173" s="3279"/>
      <c r="F173" s="3263">
        <v>0.05</v>
      </c>
      <c r="G173" s="3275"/>
    </row>
    <row r="174" spans="1:7">
      <c r="A174" s="3273" t="s">
        <v>29</v>
      </c>
      <c r="B174" s="3262" t="s">
        <v>3187</v>
      </c>
      <c r="C174" s="3279"/>
      <c r="D174" s="3279"/>
      <c r="E174" s="3279"/>
      <c r="F174" s="3263">
        <v>0.05</v>
      </c>
      <c r="G174" s="3275"/>
    </row>
    <row r="175" spans="1:7">
      <c r="A175" s="3273" t="s">
        <v>29</v>
      </c>
      <c r="B175" s="3262" t="s">
        <v>3188</v>
      </c>
      <c r="C175" s="3279"/>
      <c r="D175" s="3279"/>
      <c r="E175" s="3279"/>
      <c r="F175" s="3263">
        <v>0.05</v>
      </c>
      <c r="G175" s="3275"/>
    </row>
    <row r="176" spans="1:7">
      <c r="A176" s="3273" t="s">
        <v>29</v>
      </c>
      <c r="B176" s="3262" t="s">
        <v>3189</v>
      </c>
      <c r="C176" s="3279"/>
      <c r="D176" s="3279"/>
      <c r="E176" s="3279"/>
      <c r="F176" s="3263">
        <v>0.05</v>
      </c>
      <c r="G176" s="3275"/>
    </row>
    <row r="177" spans="1:7">
      <c r="A177" s="3273" t="s">
        <v>29</v>
      </c>
      <c r="B177" s="3262" t="s">
        <v>3190</v>
      </c>
      <c r="C177" s="3274"/>
      <c r="D177" s="3274"/>
      <c r="E177" s="3274"/>
      <c r="F177" s="3263">
        <v>0.05</v>
      </c>
      <c r="G177" s="3280"/>
    </row>
    <row r="178" spans="1:7">
      <c r="A178" s="3273" t="s">
        <v>29</v>
      </c>
      <c r="B178" s="3262" t="s">
        <v>3191</v>
      </c>
      <c r="C178" s="3274"/>
      <c r="D178" s="3274"/>
      <c r="E178" s="3274"/>
      <c r="F178" s="3263">
        <v>0.05</v>
      </c>
      <c r="G178" s="3280"/>
    </row>
    <row r="179" spans="1:7">
      <c r="A179" s="3273" t="s">
        <v>29</v>
      </c>
      <c r="B179" s="3262" t="s">
        <v>3192</v>
      </c>
      <c r="C179" s="3274"/>
      <c r="D179" s="3274"/>
      <c r="E179" s="3274"/>
      <c r="F179" s="3263">
        <v>0.05</v>
      </c>
      <c r="G179" s="3280"/>
    </row>
    <row r="180" spans="1:7">
      <c r="A180" s="3273" t="s">
        <v>29</v>
      </c>
      <c r="B180" s="3262" t="s">
        <v>3193</v>
      </c>
      <c r="C180" s="3274"/>
      <c r="D180" s="3274"/>
      <c r="E180" s="3274"/>
      <c r="F180" s="3263">
        <v>0.05</v>
      </c>
      <c r="G180" s="3280"/>
    </row>
    <row r="181" spans="1:7">
      <c r="A181" s="3273" t="s">
        <v>29</v>
      </c>
      <c r="B181" s="3262" t="s">
        <v>3194</v>
      </c>
      <c r="C181" s="3274"/>
      <c r="D181" s="3274"/>
      <c r="E181" s="3274"/>
      <c r="F181" s="3263">
        <v>0.05</v>
      </c>
      <c r="G181" s="3280"/>
    </row>
    <row r="182" spans="1:7">
      <c r="A182" s="3273" t="s">
        <v>29</v>
      </c>
      <c r="B182" s="3262" t="s">
        <v>3195</v>
      </c>
      <c r="C182" s="3274"/>
      <c r="D182" s="3274"/>
      <c r="E182" s="3274"/>
      <c r="F182" s="3263">
        <v>0.05</v>
      </c>
      <c r="G182" s="3280"/>
    </row>
    <row r="183" spans="1:7">
      <c r="A183" s="3273" t="s">
        <v>29</v>
      </c>
      <c r="B183" s="3262" t="s">
        <v>3196</v>
      </c>
      <c r="C183" s="3274"/>
      <c r="D183" s="3274"/>
      <c r="E183" s="3274"/>
      <c r="F183" s="3263">
        <v>0.05</v>
      </c>
      <c r="G183" s="3280"/>
    </row>
    <row r="184" spans="1:7">
      <c r="A184" s="3273" t="s">
        <v>29</v>
      </c>
      <c r="B184" s="3262" t="s">
        <v>3197</v>
      </c>
      <c r="C184" s="3274"/>
      <c r="D184" s="3274"/>
      <c r="E184" s="3274"/>
      <c r="F184" s="3263">
        <v>0.05</v>
      </c>
      <c r="G184" s="3280"/>
    </row>
    <row r="185" spans="1:7">
      <c r="A185" s="3273" t="s">
        <v>29</v>
      </c>
      <c r="B185" s="3262" t="s">
        <v>3198</v>
      </c>
      <c r="C185" s="3274"/>
      <c r="D185" s="3274"/>
      <c r="E185" s="3274"/>
      <c r="F185" s="3263">
        <v>0.05</v>
      </c>
      <c r="G185" s="3280"/>
    </row>
    <row r="186" spans="1:7">
      <c r="A186" s="3273" t="s">
        <v>29</v>
      </c>
      <c r="B186" s="3262" t="s">
        <v>3199</v>
      </c>
      <c r="C186" s="3274"/>
      <c r="D186" s="3274"/>
      <c r="E186" s="3274"/>
      <c r="F186" s="3263">
        <v>0.05</v>
      </c>
      <c r="G186" s="3280"/>
    </row>
    <row r="187" spans="1:7">
      <c r="A187" s="3273" t="s">
        <v>29</v>
      </c>
      <c r="B187" s="3262" t="s">
        <v>3200</v>
      </c>
      <c r="C187" s="3274"/>
      <c r="D187" s="3274"/>
      <c r="E187" s="3274"/>
      <c r="F187" s="3263">
        <v>0.05</v>
      </c>
      <c r="G187" s="3280"/>
    </row>
    <row r="188" spans="1:7">
      <c r="A188" s="3273" t="s">
        <v>29</v>
      </c>
      <c r="B188" s="3262" t="s">
        <v>3201</v>
      </c>
      <c r="C188" s="3274"/>
      <c r="D188" s="3274"/>
      <c r="E188" s="3274"/>
      <c r="F188" s="3263">
        <v>0.05</v>
      </c>
      <c r="G188" s="3280"/>
    </row>
    <row r="189" spans="1:7" ht="14.25" thickBot="1">
      <c r="A189" s="3276" t="s">
        <v>29</v>
      </c>
      <c r="B189" s="3266" t="s">
        <v>3202</v>
      </c>
      <c r="C189" s="3268"/>
      <c r="D189" s="3268"/>
      <c r="E189" s="3268"/>
      <c r="F189" s="3267">
        <v>0.05</v>
      </c>
      <c r="G189" s="3281"/>
    </row>
    <row r="190" spans="1:7">
      <c r="A190" s="3272" t="s">
        <v>304</v>
      </c>
      <c r="B190" s="3258" t="s">
        <v>2858</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2894</v>
      </c>
      <c r="C199" s="3263">
        <v>0.13</v>
      </c>
      <c r="D199" s="3263">
        <v>0.13</v>
      </c>
      <c r="E199" s="3263">
        <v>0.13</v>
      </c>
      <c r="F199" s="3263">
        <v>0.13</v>
      </c>
      <c r="G199" s="3264">
        <v>0.13</v>
      </c>
    </row>
    <row r="200" spans="1:7">
      <c r="A200" s="3273" t="s">
        <v>304</v>
      </c>
      <c r="B200" s="3262" t="s">
        <v>2897</v>
      </c>
      <c r="C200" s="3279"/>
      <c r="D200" s="3279"/>
      <c r="E200" s="3279"/>
      <c r="F200" s="3263">
        <v>0.13</v>
      </c>
      <c r="G200" s="3275"/>
    </row>
    <row r="201" spans="1:7">
      <c r="A201" s="3273" t="s">
        <v>304</v>
      </c>
      <c r="B201" s="3262" t="s">
        <v>2902</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2905</v>
      </c>
      <c r="C203" s="3263">
        <v>0.129</v>
      </c>
      <c r="D203" s="3263">
        <v>0.129</v>
      </c>
      <c r="E203" s="3263">
        <v>0.13</v>
      </c>
      <c r="F203" s="3263">
        <v>0.13</v>
      </c>
      <c r="G203" s="3264">
        <v>0.13</v>
      </c>
    </row>
    <row r="204" spans="1:7">
      <c r="A204" s="3273" t="s">
        <v>304</v>
      </c>
      <c r="B204" s="3262" t="s">
        <v>2908</v>
      </c>
      <c r="C204" s="3263">
        <v>0.129</v>
      </c>
      <c r="D204" s="3263">
        <v>0.129</v>
      </c>
      <c r="E204" s="3263">
        <v>0.123</v>
      </c>
      <c r="F204" s="3263">
        <v>0.13</v>
      </c>
      <c r="G204" s="3264">
        <v>0.13</v>
      </c>
    </row>
    <row r="205" spans="1:7">
      <c r="A205" s="3273" t="s">
        <v>304</v>
      </c>
      <c r="B205" s="3262" t="s">
        <v>2910</v>
      </c>
      <c r="C205" s="3263">
        <v>0.13</v>
      </c>
      <c r="D205" s="3263">
        <v>0.13</v>
      </c>
      <c r="E205" s="3263">
        <v>0.13</v>
      </c>
      <c r="F205" s="3263">
        <v>0.13</v>
      </c>
      <c r="G205" s="3264">
        <v>0.13</v>
      </c>
    </row>
    <row r="206" spans="1:7">
      <c r="A206" s="3273" t="s">
        <v>304</v>
      </c>
      <c r="B206" s="3262" t="s">
        <v>2913</v>
      </c>
      <c r="C206" s="3263">
        <v>0.13</v>
      </c>
      <c r="D206" s="3263">
        <v>0.13</v>
      </c>
      <c r="E206" s="3263">
        <v>0.13</v>
      </c>
      <c r="F206" s="3263">
        <v>0.128</v>
      </c>
      <c r="G206" s="3264">
        <v>0.13</v>
      </c>
    </row>
    <row r="207" spans="1:7">
      <c r="A207" s="3273" t="s">
        <v>304</v>
      </c>
      <c r="B207" s="3262" t="s">
        <v>2915</v>
      </c>
      <c r="C207" s="3263">
        <v>0.13</v>
      </c>
      <c r="D207" s="3263">
        <v>0.13</v>
      </c>
      <c r="E207" s="3263">
        <v>0.13</v>
      </c>
      <c r="F207" s="3263">
        <v>0.13</v>
      </c>
      <c r="G207" s="3264">
        <v>0.13</v>
      </c>
    </row>
    <row r="208" spans="1:7">
      <c r="A208" s="3273" t="s">
        <v>304</v>
      </c>
      <c r="B208" s="3262" t="s">
        <v>2918</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2925</v>
      </c>
      <c r="C210" s="3263">
        <v>0.121</v>
      </c>
      <c r="D210" s="3263">
        <v>0.121</v>
      </c>
      <c r="E210" s="3263">
        <v>0.125</v>
      </c>
      <c r="F210" s="3263">
        <v>0.13</v>
      </c>
      <c r="G210" s="3264">
        <v>0.123</v>
      </c>
    </row>
    <row r="211" spans="1:7">
      <c r="A211" s="3273" t="s">
        <v>304</v>
      </c>
      <c r="B211" s="3262" t="s">
        <v>2928</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2940</v>
      </c>
      <c r="C214" s="3263">
        <v>0.128</v>
      </c>
      <c r="D214" s="3263">
        <v>0.128</v>
      </c>
      <c r="E214" s="3263">
        <v>0.13</v>
      </c>
      <c r="F214" s="3263">
        <v>0.13</v>
      </c>
      <c r="G214" s="3264">
        <v>0.13</v>
      </c>
    </row>
    <row r="215" spans="1:7">
      <c r="A215" s="3273" t="s">
        <v>304</v>
      </c>
      <c r="B215" s="3262" t="s">
        <v>2944</v>
      </c>
      <c r="C215" s="3263">
        <v>0.13</v>
      </c>
      <c r="D215" s="3263">
        <v>0.13</v>
      </c>
      <c r="E215" s="3263">
        <v>0.13</v>
      </c>
      <c r="F215" s="3263">
        <v>0.129</v>
      </c>
      <c r="G215" s="3264">
        <v>0.13</v>
      </c>
    </row>
    <row r="216" spans="1:7">
      <c r="A216" s="3273" t="s">
        <v>304</v>
      </c>
      <c r="B216" s="3262" t="s">
        <v>2951</v>
      </c>
      <c r="C216" s="3263">
        <v>0.13</v>
      </c>
      <c r="D216" s="3263">
        <v>0.13</v>
      </c>
      <c r="E216" s="3263">
        <v>0.13</v>
      </c>
      <c r="F216" s="3263">
        <v>0.13</v>
      </c>
      <c r="G216" s="3264">
        <v>0.13</v>
      </c>
    </row>
    <row r="217" spans="1:7">
      <c r="A217" s="3273" t="s">
        <v>304</v>
      </c>
      <c r="B217" s="3262" t="s">
        <v>2958</v>
      </c>
      <c r="C217" s="3263">
        <v>0.129</v>
      </c>
      <c r="D217" s="3263">
        <v>0.129</v>
      </c>
      <c r="E217" s="3263">
        <v>0.13</v>
      </c>
      <c r="F217" s="3263">
        <v>0.13</v>
      </c>
      <c r="G217" s="3264">
        <v>0.13</v>
      </c>
    </row>
    <row r="218" spans="1:7">
      <c r="A218" s="3273" t="s">
        <v>304</v>
      </c>
      <c r="B218" s="3262" t="s">
        <v>2964</v>
      </c>
      <c r="C218" s="3274"/>
      <c r="D218" s="3274"/>
      <c r="E218" s="3274"/>
      <c r="F218" s="3263">
        <v>0.05</v>
      </c>
      <c r="G218" s="3280"/>
    </row>
    <row r="219" spans="1:7">
      <c r="A219" s="3273" t="s">
        <v>304</v>
      </c>
      <c r="B219" s="3262" t="s">
        <v>2971</v>
      </c>
      <c r="C219" s="3274"/>
      <c r="D219" s="3274"/>
      <c r="E219" s="3274"/>
      <c r="F219" s="3263">
        <v>0.05</v>
      </c>
      <c r="G219" s="3280"/>
    </row>
    <row r="220" spans="1:7">
      <c r="A220" s="3273" t="s">
        <v>304</v>
      </c>
      <c r="B220" s="3262" t="s">
        <v>2977</v>
      </c>
      <c r="C220" s="3274"/>
      <c r="D220" s="3274"/>
      <c r="E220" s="3274"/>
      <c r="F220" s="3263">
        <v>0.05</v>
      </c>
      <c r="G220" s="3280"/>
    </row>
    <row r="221" spans="1:7">
      <c r="A221" s="3273" t="s">
        <v>304</v>
      </c>
      <c r="B221" s="3262" t="s">
        <v>2982</v>
      </c>
      <c r="C221" s="3274"/>
      <c r="D221" s="3274"/>
      <c r="E221" s="3274"/>
      <c r="F221" s="3263">
        <v>0.05</v>
      </c>
      <c r="G221" s="3280"/>
    </row>
    <row r="222" spans="1:7">
      <c r="A222" s="3273" t="s">
        <v>304</v>
      </c>
      <c r="B222" s="3262" t="s">
        <v>2986</v>
      </c>
      <c r="C222" s="3274"/>
      <c r="D222" s="3274"/>
      <c r="E222" s="3274"/>
      <c r="F222" s="3263">
        <v>0.05</v>
      </c>
      <c r="G222" s="3280"/>
    </row>
    <row r="223" spans="1:7">
      <c r="A223" s="3273" t="s">
        <v>304</v>
      </c>
      <c r="B223" s="3262" t="s">
        <v>2991</v>
      </c>
      <c r="C223" s="3274"/>
      <c r="D223" s="3274"/>
      <c r="E223" s="3274"/>
      <c r="F223" s="3263">
        <v>0.05</v>
      </c>
      <c r="G223" s="3280"/>
    </row>
    <row r="224" spans="1:7">
      <c r="A224" s="3273" t="s">
        <v>304</v>
      </c>
      <c r="B224" s="3262" t="s">
        <v>2996</v>
      </c>
      <c r="C224" s="3274"/>
      <c r="D224" s="3274"/>
      <c r="E224" s="3274"/>
      <c r="F224" s="3263">
        <v>0.05</v>
      </c>
      <c r="G224" s="3280"/>
    </row>
    <row r="225" spans="1:7">
      <c r="A225" s="3273" t="s">
        <v>304</v>
      </c>
      <c r="B225" s="3262" t="s">
        <v>3001</v>
      </c>
      <c r="C225" s="3274"/>
      <c r="D225" s="3274"/>
      <c r="E225" s="3274"/>
      <c r="F225" s="3263">
        <v>0.05</v>
      </c>
      <c r="G225" s="3280"/>
    </row>
    <row r="226" spans="1:7">
      <c r="A226" s="3273" t="s">
        <v>304</v>
      </c>
      <c r="B226" s="3262" t="s">
        <v>3203</v>
      </c>
      <c r="C226" s="3274"/>
      <c r="D226" s="3274"/>
      <c r="E226" s="3274"/>
      <c r="F226" s="3263">
        <v>0.05</v>
      </c>
      <c r="G226" s="3280"/>
    </row>
    <row r="227" spans="1:7">
      <c r="A227" s="3273" t="s">
        <v>304</v>
      </c>
      <c r="B227" s="3262" t="s">
        <v>3204</v>
      </c>
      <c r="C227" s="3274"/>
      <c r="D227" s="3274"/>
      <c r="E227" s="3274"/>
      <c r="F227" s="3263">
        <v>0.05</v>
      </c>
      <c r="G227" s="3280"/>
    </row>
    <row r="228" spans="1:7">
      <c r="A228" s="3273" t="s">
        <v>304</v>
      </c>
      <c r="B228" s="3262" t="s">
        <v>3205</v>
      </c>
      <c r="C228" s="3274"/>
      <c r="D228" s="3274"/>
      <c r="E228" s="3274"/>
      <c r="F228" s="3263">
        <v>0.05</v>
      </c>
      <c r="G228" s="3280"/>
    </row>
    <row r="229" spans="1:7">
      <c r="A229" s="3273" t="s">
        <v>304</v>
      </c>
      <c r="B229" s="3262" t="s">
        <v>3206</v>
      </c>
      <c r="C229" s="3274"/>
      <c r="D229" s="3274"/>
      <c r="E229" s="3274"/>
      <c r="F229" s="3263">
        <v>0.05</v>
      </c>
      <c r="G229" s="3280"/>
    </row>
    <row r="230" spans="1:7">
      <c r="A230" s="3273" t="s">
        <v>304</v>
      </c>
      <c r="B230" s="3262" t="s">
        <v>3207</v>
      </c>
      <c r="C230" s="3274"/>
      <c r="D230" s="3274"/>
      <c r="E230" s="3274"/>
      <c r="F230" s="3263">
        <v>0.05</v>
      </c>
      <c r="G230" s="3280"/>
    </row>
    <row r="231" spans="1:7">
      <c r="A231" s="3273" t="s">
        <v>304</v>
      </c>
      <c r="B231" s="3262" t="s">
        <v>3208</v>
      </c>
      <c r="C231" s="3274"/>
      <c r="D231" s="3274"/>
      <c r="E231" s="3274"/>
      <c r="F231" s="3263">
        <v>0.05</v>
      </c>
      <c r="G231" s="3280"/>
    </row>
    <row r="232" spans="1:7">
      <c r="A232" s="3273" t="s">
        <v>304</v>
      </c>
      <c r="B232" s="3262" t="s">
        <v>3209</v>
      </c>
      <c r="C232" s="3274"/>
      <c r="D232" s="3274"/>
      <c r="E232" s="3274"/>
      <c r="F232" s="3263">
        <v>0.05</v>
      </c>
      <c r="G232" s="3280"/>
    </row>
    <row r="233" spans="1:7" ht="14.25" thickBot="1">
      <c r="A233" s="3276" t="s">
        <v>304</v>
      </c>
      <c r="B233" s="3266" t="s">
        <v>3210</v>
      </c>
      <c r="C233" s="3268"/>
      <c r="D233" s="3268"/>
      <c r="E233" s="3268"/>
      <c r="F233" s="3267">
        <v>0.05</v>
      </c>
      <c r="G233" s="3281"/>
    </row>
    <row r="234" spans="1:7">
      <c r="A234" s="3272" t="s">
        <v>305</v>
      </c>
      <c r="B234" s="3258" t="s">
        <v>2859</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2879</v>
      </c>
      <c r="C238" s="3263">
        <v>0.14899999999999999</v>
      </c>
      <c r="D238" s="3263">
        <v>0.14899999999999999</v>
      </c>
      <c r="E238" s="3263">
        <v>0.15</v>
      </c>
      <c r="F238" s="3263">
        <v>0.15</v>
      </c>
      <c r="G238" s="3264">
        <v>0.15</v>
      </c>
    </row>
    <row r="239" spans="1:7">
      <c r="A239" s="3273" t="s">
        <v>305</v>
      </c>
      <c r="B239" s="3262" t="s">
        <v>2883</v>
      </c>
      <c r="C239" s="3263">
        <v>0.15</v>
      </c>
      <c r="D239" s="3263">
        <v>0.15</v>
      </c>
      <c r="E239" s="3263">
        <v>0.15</v>
      </c>
      <c r="F239" s="3263">
        <v>0.15</v>
      </c>
      <c r="G239" s="3264">
        <v>0.15</v>
      </c>
    </row>
    <row r="240" spans="1:7">
      <c r="A240" s="3273" t="s">
        <v>305</v>
      </c>
      <c r="B240" s="3262" t="s">
        <v>2888</v>
      </c>
      <c r="C240" s="3263">
        <v>0.15</v>
      </c>
      <c r="D240" s="3263">
        <v>0.15</v>
      </c>
      <c r="E240" s="3263">
        <v>0.15</v>
      </c>
      <c r="F240" s="3263">
        <v>0.15</v>
      </c>
      <c r="G240" s="3264">
        <v>0.15</v>
      </c>
    </row>
    <row r="241" spans="1:7">
      <c r="A241" s="3273" t="s">
        <v>305</v>
      </c>
      <c r="B241" s="3262" t="s">
        <v>2892</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2898</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2906</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2911</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2919</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2932</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2941</v>
      </c>
      <c r="C258" s="3263">
        <v>0.14299999999999999</v>
      </c>
      <c r="D258" s="3263">
        <v>0.14299999999999999</v>
      </c>
      <c r="E258" s="3263">
        <v>0.15</v>
      </c>
      <c r="F258" s="3263">
        <v>0.14799999999999999</v>
      </c>
      <c r="G258" s="3264">
        <v>0.14599999999999999</v>
      </c>
    </row>
    <row r="259" spans="1:7">
      <c r="A259" s="3273" t="s">
        <v>305</v>
      </c>
      <c r="B259" s="3262" t="s">
        <v>2945</v>
      </c>
      <c r="C259" s="3263">
        <v>0.14399999999999999</v>
      </c>
      <c r="D259" s="3263">
        <v>0.14399999999999999</v>
      </c>
      <c r="E259" s="3263">
        <v>0.14899999999999999</v>
      </c>
      <c r="F259" s="3263">
        <v>0.14699999999999999</v>
      </c>
      <c r="G259" s="3264">
        <v>0.14599999999999999</v>
      </c>
    </row>
    <row r="260" spans="1:7">
      <c r="A260" s="3273" t="s">
        <v>305</v>
      </c>
      <c r="B260" s="3262" t="s">
        <v>2952</v>
      </c>
      <c r="C260" s="3263">
        <v>0.109</v>
      </c>
      <c r="D260" s="3263">
        <v>0.111</v>
      </c>
      <c r="E260" s="3263">
        <v>0.13100000000000001</v>
      </c>
      <c r="F260" s="3263">
        <v>0.126</v>
      </c>
      <c r="G260" s="3264">
        <v>0.11899999999999999</v>
      </c>
    </row>
    <row r="261" spans="1:7">
      <c r="A261" s="3273" t="s">
        <v>305</v>
      </c>
      <c r="B261" s="3262" t="s">
        <v>2959</v>
      </c>
      <c r="C261" s="3263">
        <v>0.1</v>
      </c>
      <c r="D261" s="3263">
        <v>0.1</v>
      </c>
      <c r="E261" s="3263">
        <v>0.11799999999999999</v>
      </c>
      <c r="F261" s="3263">
        <v>0.108</v>
      </c>
      <c r="G261" s="3264">
        <v>0.107</v>
      </c>
    </row>
    <row r="262" spans="1:7">
      <c r="A262" s="3273" t="s">
        <v>305</v>
      </c>
      <c r="B262" s="3262" t="s">
        <v>2965</v>
      </c>
      <c r="C262" s="3263">
        <v>0.1</v>
      </c>
      <c r="D262" s="3263">
        <v>0.1</v>
      </c>
      <c r="E262" s="3263">
        <v>0.1</v>
      </c>
      <c r="F262" s="3263">
        <v>0.14099999999999999</v>
      </c>
      <c r="G262" s="3264">
        <v>0.1</v>
      </c>
    </row>
    <row r="263" spans="1:7">
      <c r="A263" s="3273" t="s">
        <v>305</v>
      </c>
      <c r="B263" s="3262" t="s">
        <v>2972</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2983</v>
      </c>
      <c r="C265" s="3274"/>
      <c r="D265" s="3274"/>
      <c r="E265" s="3274"/>
      <c r="F265" s="3263">
        <v>0.05</v>
      </c>
      <c r="G265" s="3280"/>
    </row>
    <row r="266" spans="1:7">
      <c r="A266" s="3273" t="s">
        <v>305</v>
      </c>
      <c r="B266" s="3262" t="s">
        <v>2987</v>
      </c>
      <c r="C266" s="3274"/>
      <c r="D266" s="3274"/>
      <c r="E266" s="3274"/>
      <c r="F266" s="3263">
        <v>0.05</v>
      </c>
      <c r="G266" s="3280"/>
    </row>
    <row r="267" spans="1:7">
      <c r="A267" s="3273" t="s">
        <v>305</v>
      </c>
      <c r="B267" s="3262" t="s">
        <v>2992</v>
      </c>
      <c r="C267" s="3274"/>
      <c r="D267" s="3274"/>
      <c r="E267" s="3274"/>
      <c r="F267" s="3263">
        <v>0.05</v>
      </c>
      <c r="G267" s="3280"/>
    </row>
    <row r="268" spans="1:7">
      <c r="A268" s="3273" t="s">
        <v>305</v>
      </c>
      <c r="B268" s="3262" t="s">
        <v>2997</v>
      </c>
      <c r="C268" s="3274"/>
      <c r="D268" s="3274"/>
      <c r="E268" s="3274"/>
      <c r="F268" s="3263">
        <v>0.05</v>
      </c>
      <c r="G268" s="3280"/>
    </row>
    <row r="269" spans="1:7">
      <c r="A269" s="3273" t="s">
        <v>305</v>
      </c>
      <c r="B269" s="3262" t="s">
        <v>3002</v>
      </c>
      <c r="C269" s="3274"/>
      <c r="D269" s="3274"/>
      <c r="E269" s="3274"/>
      <c r="F269" s="3263">
        <v>0.05</v>
      </c>
      <c r="G269" s="3280"/>
    </row>
    <row r="270" spans="1:7">
      <c r="A270" s="3273" t="s">
        <v>305</v>
      </c>
      <c r="B270" s="3262" t="s">
        <v>3007</v>
      </c>
      <c r="C270" s="3274"/>
      <c r="D270" s="3274"/>
      <c r="E270" s="3274"/>
      <c r="F270" s="3263">
        <v>0.05</v>
      </c>
      <c r="G270" s="3280"/>
    </row>
    <row r="271" spans="1:7">
      <c r="A271" s="3273" t="s">
        <v>305</v>
      </c>
      <c r="B271" s="3262" t="s">
        <v>3211</v>
      </c>
      <c r="C271" s="3274"/>
      <c r="D271" s="3274"/>
      <c r="E271" s="3274"/>
      <c r="F271" s="3263">
        <v>0.05</v>
      </c>
      <c r="G271" s="3280"/>
    </row>
    <row r="272" spans="1:7">
      <c r="A272" s="3273" t="s">
        <v>305</v>
      </c>
      <c r="B272" s="3262" t="s">
        <v>3212</v>
      </c>
      <c r="C272" s="3274"/>
      <c r="D272" s="3274"/>
      <c r="E272" s="3274"/>
      <c r="F272" s="3263">
        <v>0.05</v>
      </c>
      <c r="G272" s="3280"/>
    </row>
    <row r="273" spans="1:7">
      <c r="A273" s="3273" t="s">
        <v>305</v>
      </c>
      <c r="B273" s="3262" t="s">
        <v>3213</v>
      </c>
      <c r="C273" s="3274"/>
      <c r="D273" s="3274"/>
      <c r="E273" s="3274"/>
      <c r="F273" s="3263">
        <v>0.05</v>
      </c>
      <c r="G273" s="3280"/>
    </row>
    <row r="274" spans="1:7">
      <c r="A274" s="3273" t="s">
        <v>305</v>
      </c>
      <c r="B274" s="3262" t="s">
        <v>3214</v>
      </c>
      <c r="C274" s="3274"/>
      <c r="D274" s="3274"/>
      <c r="E274" s="3274"/>
      <c r="F274" s="3263">
        <v>0.05</v>
      </c>
      <c r="G274" s="3280"/>
    </row>
    <row r="275" spans="1:7">
      <c r="A275" s="3273" t="s">
        <v>305</v>
      </c>
      <c r="B275" s="3262" t="s">
        <v>3215</v>
      </c>
      <c r="C275" s="3274"/>
      <c r="D275" s="3274"/>
      <c r="E275" s="3274"/>
      <c r="F275" s="3263">
        <v>0.05</v>
      </c>
      <c r="G275" s="3280"/>
    </row>
    <row r="276" spans="1:7" ht="14.25" thickBot="1">
      <c r="A276" s="3276" t="s">
        <v>305</v>
      </c>
      <c r="B276" s="3266" t="s">
        <v>3216</v>
      </c>
      <c r="C276" s="3268"/>
      <c r="D276" s="3268"/>
      <c r="E276" s="3268"/>
      <c r="F276" s="3267">
        <v>0.05</v>
      </c>
      <c r="G276" s="3281"/>
    </row>
    <row r="277" spans="1:7">
      <c r="A277" s="3272" t="s">
        <v>306</v>
      </c>
      <c r="B277" s="3258" t="s">
        <v>2860</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2872</v>
      </c>
      <c r="C279" s="3263">
        <v>0.15</v>
      </c>
      <c r="D279" s="3263">
        <v>0.15</v>
      </c>
      <c r="E279" s="3263">
        <v>0.15</v>
      </c>
      <c r="F279" s="3263">
        <v>0.15</v>
      </c>
      <c r="G279" s="3264">
        <v>0.15</v>
      </c>
    </row>
    <row r="280" spans="1:7">
      <c r="A280" s="3273" t="s">
        <v>306</v>
      </c>
      <c r="B280" s="3262" t="s">
        <v>2876</v>
      </c>
      <c r="C280" s="3263">
        <v>0.15</v>
      </c>
      <c r="D280" s="3263">
        <v>0.15</v>
      </c>
      <c r="E280" s="3263">
        <v>0.15</v>
      </c>
      <c r="F280" s="3263">
        <v>0.15</v>
      </c>
      <c r="G280" s="3264">
        <v>0.15</v>
      </c>
    </row>
    <row r="281" spans="1:7">
      <c r="A281" s="3273" t="s">
        <v>306</v>
      </c>
      <c r="B281" s="3262" t="s">
        <v>2880</v>
      </c>
      <c r="C281" s="3263">
        <v>0.15</v>
      </c>
      <c r="D281" s="3263">
        <v>0.15</v>
      </c>
      <c r="E281" s="3263">
        <v>0.15</v>
      </c>
      <c r="F281" s="3263">
        <v>0.15</v>
      </c>
      <c r="G281" s="3264">
        <v>0.15</v>
      </c>
    </row>
    <row r="282" spans="1:7">
      <c r="A282" s="3273" t="s">
        <v>306</v>
      </c>
      <c r="B282" s="3262" t="s">
        <v>2884</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2899</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2904</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2914</v>
      </c>
      <c r="C293" s="3263">
        <v>0.15</v>
      </c>
      <c r="D293" s="3263">
        <v>0.15</v>
      </c>
      <c r="E293" s="3263">
        <v>0.15</v>
      </c>
      <c r="F293" s="3263">
        <v>0.14499999999999999</v>
      </c>
      <c r="G293" s="3264">
        <v>0.15</v>
      </c>
    </row>
    <row r="294" spans="1:7">
      <c r="A294" s="3273" t="s">
        <v>306</v>
      </c>
      <c r="B294" s="3262" t="s">
        <v>2916</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2933</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2946</v>
      </c>
      <c r="C302" s="3263">
        <v>0.15</v>
      </c>
      <c r="D302" s="3263">
        <v>0.15</v>
      </c>
      <c r="E302" s="3263">
        <v>0.15</v>
      </c>
      <c r="F302" s="3263">
        <v>0.14699999999999999</v>
      </c>
      <c r="G302" s="3264">
        <v>0.15</v>
      </c>
    </row>
    <row r="303" spans="1:7">
      <c r="A303" s="3273" t="s">
        <v>306</v>
      </c>
      <c r="B303" s="3262" t="s">
        <v>2953</v>
      </c>
      <c r="C303" s="3263">
        <v>0.15</v>
      </c>
      <c r="D303" s="3263">
        <v>0.15</v>
      </c>
      <c r="E303" s="3263">
        <v>0.15</v>
      </c>
      <c r="F303" s="3263">
        <v>0.14199999999999999</v>
      </c>
      <c r="G303" s="3264">
        <v>0.15</v>
      </c>
    </row>
    <row r="304" spans="1:7">
      <c r="A304" s="3273" t="s">
        <v>306</v>
      </c>
      <c r="B304" s="3262" t="s">
        <v>2960</v>
      </c>
      <c r="C304" s="3263">
        <v>0.15</v>
      </c>
      <c r="D304" s="3263">
        <v>0.15</v>
      </c>
      <c r="E304" s="3263">
        <v>0.15</v>
      </c>
      <c r="F304" s="3263">
        <v>0.14499999999999999</v>
      </c>
      <c r="G304" s="3264">
        <v>0.15</v>
      </c>
    </row>
    <row r="305" spans="1:7">
      <c r="A305" s="3273" t="s">
        <v>306</v>
      </c>
      <c r="B305" s="3262" t="s">
        <v>2966</v>
      </c>
      <c r="C305" s="3263">
        <v>0.15</v>
      </c>
      <c r="D305" s="3263">
        <v>0.15</v>
      </c>
      <c r="E305" s="3263">
        <v>0.15</v>
      </c>
      <c r="F305" s="3263">
        <v>0.111</v>
      </c>
      <c r="G305" s="3264">
        <v>0.15</v>
      </c>
    </row>
    <row r="306" spans="1:7">
      <c r="A306" s="3273" t="s">
        <v>306</v>
      </c>
      <c r="B306" s="3262" t="s">
        <v>2973</v>
      </c>
      <c r="C306" s="3263">
        <v>0.15</v>
      </c>
      <c r="D306" s="3263">
        <v>0.15</v>
      </c>
      <c r="E306" s="3263">
        <v>0.15</v>
      </c>
      <c r="F306" s="3263">
        <v>0.126</v>
      </c>
      <c r="G306" s="3264">
        <v>0.15</v>
      </c>
    </row>
    <row r="307" spans="1:7">
      <c r="A307" s="3273" t="s">
        <v>306</v>
      </c>
      <c r="B307" s="3262" t="s">
        <v>2978</v>
      </c>
      <c r="C307" s="3263">
        <v>0.15</v>
      </c>
      <c r="D307" s="3263">
        <v>0.15</v>
      </c>
      <c r="E307" s="3263">
        <v>0.15</v>
      </c>
      <c r="F307" s="3263">
        <v>0.12</v>
      </c>
      <c r="G307" s="3264">
        <v>0.15</v>
      </c>
    </row>
    <row r="308" spans="1:7">
      <c r="A308" s="3273" t="s">
        <v>306</v>
      </c>
      <c r="B308" s="3262" t="s">
        <v>2984</v>
      </c>
      <c r="C308" s="3263">
        <v>0.15</v>
      </c>
      <c r="D308" s="3263">
        <v>0.15</v>
      </c>
      <c r="E308" s="3263">
        <v>0.15</v>
      </c>
      <c r="F308" s="3263">
        <v>0.13</v>
      </c>
      <c r="G308" s="3264">
        <v>0.15</v>
      </c>
    </row>
    <row r="309" spans="1:7">
      <c r="A309" s="3273" t="s">
        <v>306</v>
      </c>
      <c r="B309" s="3262" t="s">
        <v>2988</v>
      </c>
      <c r="C309" s="3263">
        <v>0.15</v>
      </c>
      <c r="D309" s="3263">
        <v>0.15</v>
      </c>
      <c r="E309" s="3263">
        <v>0.15</v>
      </c>
      <c r="F309" s="3263">
        <v>0.14099999999999999</v>
      </c>
      <c r="G309" s="3264">
        <v>0.15</v>
      </c>
    </row>
    <row r="310" spans="1:7">
      <c r="A310" s="3273" t="s">
        <v>306</v>
      </c>
      <c r="B310" s="3262" t="s">
        <v>2993</v>
      </c>
      <c r="C310" s="3263">
        <v>0.15</v>
      </c>
      <c r="D310" s="3263">
        <v>0.15</v>
      </c>
      <c r="E310" s="3263">
        <v>0.15</v>
      </c>
      <c r="F310" s="3263">
        <v>0.15</v>
      </c>
      <c r="G310" s="3264">
        <v>0.15</v>
      </c>
    </row>
    <row r="311" spans="1:7">
      <c r="A311" s="3273" t="s">
        <v>306</v>
      </c>
      <c r="B311" s="3262" t="s">
        <v>2998</v>
      </c>
      <c r="C311" s="3263">
        <v>0.13200000000000001</v>
      </c>
      <c r="D311" s="3263">
        <v>0.13300000000000001</v>
      </c>
      <c r="E311" s="3263">
        <v>0.14499999999999999</v>
      </c>
      <c r="F311" s="3263">
        <v>0.14199999999999999</v>
      </c>
      <c r="G311" s="3264">
        <v>0.14000000000000001</v>
      </c>
    </row>
    <row r="312" spans="1:7">
      <c r="A312" s="3273" t="s">
        <v>306</v>
      </c>
      <c r="B312" s="3262" t="s">
        <v>3003</v>
      </c>
      <c r="C312" s="3263">
        <v>0.13800000000000001</v>
      </c>
      <c r="D312" s="3263">
        <v>0.14000000000000001</v>
      </c>
      <c r="E312" s="3263">
        <v>0.14599999999999999</v>
      </c>
      <c r="F312" s="3263">
        <v>0.14899999999999999</v>
      </c>
      <c r="G312" s="3264">
        <v>0.14199999999999999</v>
      </c>
    </row>
    <row r="313" spans="1:7">
      <c r="A313" s="3273" t="s">
        <v>306</v>
      </c>
      <c r="B313" s="3262" t="s">
        <v>3008</v>
      </c>
      <c r="C313" s="3263">
        <v>0.125</v>
      </c>
      <c r="D313" s="3263">
        <v>0.127</v>
      </c>
      <c r="E313" s="3263">
        <v>0.14399999999999999</v>
      </c>
      <c r="F313" s="3263">
        <v>0.115</v>
      </c>
      <c r="G313" s="3264">
        <v>0.13600000000000001</v>
      </c>
    </row>
    <row r="314" spans="1:7">
      <c r="A314" s="3273" t="s">
        <v>306</v>
      </c>
      <c r="B314" s="3262" t="s">
        <v>3217</v>
      </c>
      <c r="C314" s="3279"/>
      <c r="D314" s="3279"/>
      <c r="E314" s="3279"/>
      <c r="F314" s="3263">
        <v>0.05</v>
      </c>
      <c r="G314" s="3280"/>
    </row>
    <row r="315" spans="1:7">
      <c r="A315" s="3273" t="s">
        <v>306</v>
      </c>
      <c r="B315" s="3262" t="s">
        <v>3218</v>
      </c>
      <c r="C315" s="3279"/>
      <c r="D315" s="3279"/>
      <c r="E315" s="3279"/>
      <c r="F315" s="3263">
        <v>0.05</v>
      </c>
      <c r="G315" s="3280"/>
    </row>
    <row r="316" spans="1:7">
      <c r="A316" s="3273" t="s">
        <v>306</v>
      </c>
      <c r="B316" s="3262" t="s">
        <v>3219</v>
      </c>
      <c r="C316" s="3274"/>
      <c r="D316" s="3274"/>
      <c r="E316" s="3274"/>
      <c r="F316" s="3263">
        <v>0.05</v>
      </c>
      <c r="G316" s="3280"/>
    </row>
    <row r="317" spans="1:7">
      <c r="A317" s="3273" t="s">
        <v>306</v>
      </c>
      <c r="B317" s="3262" t="s">
        <v>3220</v>
      </c>
      <c r="C317" s="3274"/>
      <c r="D317" s="3274"/>
      <c r="E317" s="3274"/>
      <c r="F317" s="3263">
        <v>0.05</v>
      </c>
      <c r="G317" s="3280"/>
    </row>
    <row r="318" spans="1:7">
      <c r="A318" s="3273" t="s">
        <v>306</v>
      </c>
      <c r="B318" s="3262" t="s">
        <v>3221</v>
      </c>
      <c r="C318" s="3274"/>
      <c r="D318" s="3274"/>
      <c r="E318" s="3274"/>
      <c r="F318" s="3263">
        <v>0.05</v>
      </c>
      <c r="G318" s="3280"/>
    </row>
    <row r="319" spans="1:7">
      <c r="A319" s="3273" t="s">
        <v>306</v>
      </c>
      <c r="B319" s="3262" t="s">
        <v>3222</v>
      </c>
      <c r="C319" s="3274"/>
      <c r="D319" s="3274"/>
      <c r="E319" s="3274"/>
      <c r="F319" s="3263">
        <v>0.05</v>
      </c>
      <c r="G319" s="3280"/>
    </row>
    <row r="320" spans="1:7">
      <c r="A320" s="3273" t="s">
        <v>306</v>
      </c>
      <c r="B320" s="3262" t="s">
        <v>3223</v>
      </c>
      <c r="C320" s="3274"/>
      <c r="D320" s="3274"/>
      <c r="E320" s="3274"/>
      <c r="F320" s="3263">
        <v>0.05</v>
      </c>
      <c r="G320" s="3280"/>
    </row>
    <row r="321" spans="1:7">
      <c r="A321" s="3273" t="s">
        <v>306</v>
      </c>
      <c r="B321" s="3262" t="s">
        <v>3224</v>
      </c>
      <c r="C321" s="3274"/>
      <c r="D321" s="3274"/>
      <c r="E321" s="3274"/>
      <c r="F321" s="3263">
        <v>0.05</v>
      </c>
      <c r="G321" s="3280"/>
    </row>
    <row r="322" spans="1:7">
      <c r="A322" s="3273" t="s">
        <v>306</v>
      </c>
      <c r="B322" s="3262" t="s">
        <v>3225</v>
      </c>
      <c r="C322" s="3274"/>
      <c r="D322" s="3274"/>
      <c r="E322" s="3274"/>
      <c r="F322" s="3263">
        <v>0.05</v>
      </c>
      <c r="G322" s="3280"/>
    </row>
    <row r="323" spans="1:7">
      <c r="A323" s="3273" t="s">
        <v>306</v>
      </c>
      <c r="B323" s="3262" t="s">
        <v>3226</v>
      </c>
      <c r="C323" s="3274"/>
      <c r="D323" s="3274"/>
      <c r="E323" s="3274"/>
      <c r="F323" s="3263">
        <v>0.05</v>
      </c>
      <c r="G323" s="3280"/>
    </row>
    <row r="324" spans="1:7">
      <c r="A324" s="3273" t="s">
        <v>306</v>
      </c>
      <c r="B324" s="3262" t="s">
        <v>3227</v>
      </c>
      <c r="C324" s="3274"/>
      <c r="D324" s="3274"/>
      <c r="E324" s="3274"/>
      <c r="F324" s="3263">
        <v>0.05</v>
      </c>
      <c r="G324" s="3280"/>
    </row>
    <row r="325" spans="1:7">
      <c r="A325" s="3273" t="s">
        <v>306</v>
      </c>
      <c r="B325" s="3262" t="s">
        <v>3228</v>
      </c>
      <c r="C325" s="3274"/>
      <c r="D325" s="3274"/>
      <c r="E325" s="3274"/>
      <c r="F325" s="3263">
        <v>0.05</v>
      </c>
      <c r="G325" s="3280"/>
    </row>
    <row r="326" spans="1:7" ht="14.25" thickBot="1">
      <c r="A326" s="3276" t="s">
        <v>306</v>
      </c>
      <c r="B326" s="3266" t="s">
        <v>3229</v>
      </c>
      <c r="C326" s="3268"/>
      <c r="D326" s="3268"/>
      <c r="E326" s="3268"/>
      <c r="F326" s="3267">
        <v>0.05</v>
      </c>
      <c r="G326" s="3281"/>
    </row>
    <row r="327" spans="1:7">
      <c r="A327" s="3272" t="s">
        <v>307</v>
      </c>
      <c r="B327" s="3258" t="s">
        <v>2861</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2873</v>
      </c>
      <c r="C329" s="3263">
        <v>0.15</v>
      </c>
      <c r="D329" s="3263">
        <v>0.15</v>
      </c>
      <c r="E329" s="3263">
        <v>0.15</v>
      </c>
      <c r="F329" s="3263">
        <v>0.15</v>
      </c>
      <c r="G329" s="3264">
        <v>0.15</v>
      </c>
    </row>
    <row r="330" spans="1:7">
      <c r="A330" s="3273" t="s">
        <v>307</v>
      </c>
      <c r="B330" s="3262" t="s">
        <v>2877</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2885</v>
      </c>
      <c r="C332" s="3263">
        <v>0.15</v>
      </c>
      <c r="D332" s="3263">
        <v>0.15</v>
      </c>
      <c r="E332" s="3263">
        <v>0.15</v>
      </c>
      <c r="F332" s="3263">
        <v>0.15</v>
      </c>
      <c r="G332" s="3264">
        <v>0.15</v>
      </c>
    </row>
    <row r="333" spans="1:7">
      <c r="A333" s="3273" t="s">
        <v>307</v>
      </c>
      <c r="B333" s="3262" t="s">
        <v>2889</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2895</v>
      </c>
      <c r="C336" s="3263">
        <v>0.15</v>
      </c>
      <c r="D336" s="3263">
        <v>0.15</v>
      </c>
      <c r="E336" s="3263">
        <v>0.15</v>
      </c>
      <c r="F336" s="3263">
        <v>0.14199999999999999</v>
      </c>
      <c r="G336" s="3264">
        <v>0.15</v>
      </c>
    </row>
    <row r="337" spans="1:7">
      <c r="A337" s="3273" t="s">
        <v>307</v>
      </c>
      <c r="B337" s="3262" t="s">
        <v>2900</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2907</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2912</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2920</v>
      </c>
      <c r="C345" s="3263">
        <v>0.15</v>
      </c>
      <c r="D345" s="3263">
        <v>0.15</v>
      </c>
      <c r="E345" s="3263">
        <v>0.15</v>
      </c>
      <c r="F345" s="3263">
        <v>0.13800000000000001</v>
      </c>
      <c r="G345" s="3264">
        <v>0.15</v>
      </c>
    </row>
    <row r="346" spans="1:7">
      <c r="A346" s="3273" t="s">
        <v>307</v>
      </c>
      <c r="B346" s="3262" t="s">
        <v>2922</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2929</v>
      </c>
      <c r="C348" s="3263">
        <v>0.15</v>
      </c>
      <c r="D348" s="3263">
        <v>0.15</v>
      </c>
      <c r="E348" s="3263">
        <v>0.15</v>
      </c>
      <c r="F348" s="3263">
        <v>0.14399999999999999</v>
      </c>
      <c r="G348" s="3264">
        <v>0.15</v>
      </c>
    </row>
    <row r="349" spans="1:7">
      <c r="A349" s="3273" t="s">
        <v>307</v>
      </c>
      <c r="B349" s="3262" t="s">
        <v>2934</v>
      </c>
      <c r="C349" s="3263">
        <v>0.15</v>
      </c>
      <c r="D349" s="3263">
        <v>0.15</v>
      </c>
      <c r="E349" s="3263">
        <v>0.15</v>
      </c>
      <c r="F349" s="3263">
        <v>0.15</v>
      </c>
      <c r="G349" s="3264">
        <v>0.15</v>
      </c>
    </row>
    <row r="350" spans="1:7">
      <c r="A350" s="3273" t="s">
        <v>307</v>
      </c>
      <c r="B350" s="3262" t="s">
        <v>2937</v>
      </c>
      <c r="C350" s="3263">
        <v>0.15</v>
      </c>
      <c r="D350" s="3263">
        <v>0.15</v>
      </c>
      <c r="E350" s="3263">
        <v>0.15</v>
      </c>
      <c r="F350" s="3263">
        <v>0.14699999999999999</v>
      </c>
      <c r="G350" s="3264">
        <v>0.15</v>
      </c>
    </row>
    <row r="351" spans="1:7">
      <c r="A351" s="3273" t="s">
        <v>307</v>
      </c>
      <c r="B351" s="3262" t="s">
        <v>2942</v>
      </c>
      <c r="C351" s="3263">
        <v>0.15</v>
      </c>
      <c r="D351" s="3263">
        <v>0.15</v>
      </c>
      <c r="E351" s="3263">
        <v>0.15</v>
      </c>
      <c r="F351" s="3263">
        <v>0.13</v>
      </c>
      <c r="G351" s="3264">
        <v>0.15</v>
      </c>
    </row>
    <row r="352" spans="1:7">
      <c r="A352" s="3273" t="s">
        <v>307</v>
      </c>
      <c r="B352" s="3262" t="s">
        <v>2947</v>
      </c>
      <c r="C352" s="3263">
        <v>0.15</v>
      </c>
      <c r="D352" s="3263">
        <v>0.15</v>
      </c>
      <c r="E352" s="3263">
        <v>0.15</v>
      </c>
      <c r="F352" s="3263">
        <v>0.14599999999999999</v>
      </c>
      <c r="G352" s="3264">
        <v>0.15</v>
      </c>
    </row>
    <row r="353" spans="1:7">
      <c r="A353" s="3273" t="s">
        <v>307</v>
      </c>
      <c r="B353" s="3262" t="s">
        <v>2954</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2967</v>
      </c>
      <c r="C355" s="3263">
        <v>0.15</v>
      </c>
      <c r="D355" s="3263">
        <v>0.15</v>
      </c>
      <c r="E355" s="3263">
        <v>0.15</v>
      </c>
      <c r="F355" s="3263">
        <v>0.15</v>
      </c>
      <c r="G355" s="3264">
        <v>0.15</v>
      </c>
    </row>
    <row r="356" spans="1:7">
      <c r="A356" s="3273" t="s">
        <v>307</v>
      </c>
      <c r="B356" s="3262" t="s">
        <v>2974</v>
      </c>
      <c r="C356" s="3263">
        <v>0.15</v>
      </c>
      <c r="D356" s="3263">
        <v>0.15</v>
      </c>
      <c r="E356" s="3263">
        <v>0.15</v>
      </c>
      <c r="F356" s="3263">
        <v>0.15</v>
      </c>
      <c r="G356" s="3264">
        <v>0.15</v>
      </c>
    </row>
    <row r="357" spans="1:7" ht="14.25" thickBot="1">
      <c r="A357" s="3276" t="s">
        <v>307</v>
      </c>
      <c r="B357" s="3266" t="s">
        <v>2979</v>
      </c>
      <c r="C357" s="3267">
        <v>0.126</v>
      </c>
      <c r="D357" s="3267">
        <v>0.127</v>
      </c>
      <c r="E357" s="3267">
        <v>0.14299999999999999</v>
      </c>
      <c r="F357" s="3267">
        <v>0.125</v>
      </c>
      <c r="G357" s="3269">
        <v>0.129</v>
      </c>
    </row>
    <row r="358" spans="1:7">
      <c r="A358" s="3272" t="s">
        <v>2848</v>
      </c>
      <c r="B358" s="3258" t="s">
        <v>2862</v>
      </c>
      <c r="C358" s="3259">
        <v>0.15</v>
      </c>
      <c r="D358" s="3259">
        <v>0.15</v>
      </c>
      <c r="E358" s="3259">
        <v>0.15</v>
      </c>
      <c r="F358" s="3259">
        <v>0.15</v>
      </c>
      <c r="G358" s="3260">
        <v>0.15</v>
      </c>
    </row>
    <row r="359" spans="1:7">
      <c r="A359" s="3273" t="s">
        <v>2848</v>
      </c>
      <c r="B359" s="3262" t="s">
        <v>2868</v>
      </c>
      <c r="C359" s="3263">
        <v>0.1</v>
      </c>
      <c r="D359" s="3263">
        <v>0.1</v>
      </c>
      <c r="E359" s="3263">
        <v>0.1</v>
      </c>
      <c r="F359" s="3263">
        <v>0.1</v>
      </c>
      <c r="G359" s="3264">
        <v>0.1</v>
      </c>
    </row>
    <row r="360" spans="1:7">
      <c r="A360" s="3273" t="s">
        <v>2848</v>
      </c>
      <c r="B360" s="3262" t="s">
        <v>2874</v>
      </c>
      <c r="C360" s="3263">
        <v>0.15</v>
      </c>
      <c r="D360" s="3263">
        <v>0.15</v>
      </c>
      <c r="E360" s="3263">
        <v>0.15</v>
      </c>
      <c r="F360" s="3263">
        <v>0.14899999999999999</v>
      </c>
      <c r="G360" s="3264">
        <v>0.15</v>
      </c>
    </row>
    <row r="361" spans="1:7">
      <c r="A361" s="3273" t="s">
        <v>2848</v>
      </c>
      <c r="B361" s="3262" t="s">
        <v>153</v>
      </c>
      <c r="C361" s="3263">
        <v>0.15</v>
      </c>
      <c r="D361" s="3263">
        <v>0.15</v>
      </c>
      <c r="E361" s="3263">
        <v>0.15</v>
      </c>
      <c r="F361" s="3263">
        <v>0.115</v>
      </c>
      <c r="G361" s="3264">
        <v>0.15</v>
      </c>
    </row>
    <row r="362" spans="1:7">
      <c r="A362" s="3273" t="s">
        <v>2848</v>
      </c>
      <c r="B362" s="3262" t="s">
        <v>2881</v>
      </c>
      <c r="C362" s="3263">
        <v>0.15</v>
      </c>
      <c r="D362" s="3263">
        <v>0.15</v>
      </c>
      <c r="E362" s="3263">
        <v>0.15</v>
      </c>
      <c r="F362" s="3263">
        <v>0.106</v>
      </c>
      <c r="G362" s="3264">
        <v>0.15</v>
      </c>
    </row>
    <row r="363" spans="1:7">
      <c r="A363" s="3273" t="s">
        <v>2848</v>
      </c>
      <c r="B363" s="3262" t="s">
        <v>2886</v>
      </c>
      <c r="C363" s="3263">
        <v>0.15</v>
      </c>
      <c r="D363" s="3263">
        <v>0.15</v>
      </c>
      <c r="E363" s="3263">
        <v>0.15</v>
      </c>
      <c r="F363" s="3263">
        <v>0.14699999999999999</v>
      </c>
      <c r="G363" s="3264">
        <v>0.15</v>
      </c>
    </row>
    <row r="364" spans="1:7">
      <c r="A364" s="3273" t="s">
        <v>2848</v>
      </c>
      <c r="B364" s="3262" t="s">
        <v>2890</v>
      </c>
      <c r="C364" s="3263">
        <v>0.15</v>
      </c>
      <c r="D364" s="3263">
        <v>0.15</v>
      </c>
      <c r="E364" s="3263">
        <v>0.15</v>
      </c>
      <c r="F364" s="3263">
        <v>0.14799999999999999</v>
      </c>
      <c r="G364" s="3264">
        <v>0.15</v>
      </c>
    </row>
    <row r="365" spans="1:7">
      <c r="A365" s="3273" t="s">
        <v>2848</v>
      </c>
      <c r="B365" s="3262" t="s">
        <v>200</v>
      </c>
      <c r="C365" s="3263">
        <v>0.15</v>
      </c>
      <c r="D365" s="3263">
        <v>0.15</v>
      </c>
      <c r="E365" s="3263">
        <v>0.15</v>
      </c>
      <c r="F365" s="3263">
        <v>0.15</v>
      </c>
      <c r="G365" s="3264">
        <v>0.15</v>
      </c>
    </row>
    <row r="366" spans="1:7">
      <c r="A366" s="3273" t="s">
        <v>2848</v>
      </c>
      <c r="B366" s="3262" t="s">
        <v>2893</v>
      </c>
      <c r="C366" s="3263">
        <v>0.15</v>
      </c>
      <c r="D366" s="3263">
        <v>0.15</v>
      </c>
      <c r="E366" s="3263">
        <v>0.15</v>
      </c>
      <c r="F366" s="3263">
        <v>0.15</v>
      </c>
      <c r="G366" s="3264">
        <v>0.15</v>
      </c>
    </row>
    <row r="367" spans="1:7">
      <c r="A367" s="3273" t="s">
        <v>2848</v>
      </c>
      <c r="B367" s="3262" t="s">
        <v>2896</v>
      </c>
      <c r="C367" s="3263">
        <v>0.15</v>
      </c>
      <c r="D367" s="3263">
        <v>0.15</v>
      </c>
      <c r="E367" s="3263">
        <v>0.15</v>
      </c>
      <c r="F367" s="3263">
        <v>0.14699999999999999</v>
      </c>
      <c r="G367" s="3264">
        <v>0.15</v>
      </c>
    </row>
    <row r="368" spans="1:7">
      <c r="A368" s="3273" t="s">
        <v>2848</v>
      </c>
      <c r="B368" s="3262" t="s">
        <v>2901</v>
      </c>
      <c r="C368" s="3263">
        <v>0.15</v>
      </c>
      <c r="D368" s="3263">
        <v>0.15</v>
      </c>
      <c r="E368" s="3263">
        <v>0.15</v>
      </c>
      <c r="F368" s="3263">
        <v>0.13600000000000001</v>
      </c>
      <c r="G368" s="3264">
        <v>0.15</v>
      </c>
    </row>
    <row r="369" spans="1:7">
      <c r="A369" s="3273" t="s">
        <v>2848</v>
      </c>
      <c r="B369" s="3262" t="s">
        <v>214</v>
      </c>
      <c r="C369" s="3263">
        <v>0.15</v>
      </c>
      <c r="D369" s="3263">
        <v>0.15</v>
      </c>
      <c r="E369" s="3263">
        <v>0.15</v>
      </c>
      <c r="F369" s="3263">
        <v>0.14399999999999999</v>
      </c>
      <c r="G369" s="3264">
        <v>0.15</v>
      </c>
    </row>
    <row r="370" spans="1:7">
      <c r="A370" s="3273" t="s">
        <v>2848</v>
      </c>
      <c r="B370" s="3262" t="s">
        <v>221</v>
      </c>
      <c r="C370" s="3263">
        <v>0.15</v>
      </c>
      <c r="D370" s="3263">
        <v>0.15</v>
      </c>
      <c r="E370" s="3263">
        <v>0.15</v>
      </c>
      <c r="F370" s="3263">
        <v>0.14599999999999999</v>
      </c>
      <c r="G370" s="3264">
        <v>0.15</v>
      </c>
    </row>
    <row r="371" spans="1:7">
      <c r="A371" s="3273" t="s">
        <v>2848</v>
      </c>
      <c r="B371" s="3262" t="s">
        <v>229</v>
      </c>
      <c r="C371" s="3263">
        <v>0.15</v>
      </c>
      <c r="D371" s="3263">
        <v>0.15</v>
      </c>
      <c r="E371" s="3263">
        <v>0.15</v>
      </c>
      <c r="F371" s="3263">
        <v>0.12</v>
      </c>
      <c r="G371" s="3264">
        <v>0.15</v>
      </c>
    </row>
    <row r="372" spans="1:7">
      <c r="A372" s="3273" t="s">
        <v>2848</v>
      </c>
      <c r="B372" s="3262" t="s">
        <v>2909</v>
      </c>
      <c r="C372" s="3263">
        <v>0.15</v>
      </c>
      <c r="D372" s="3263">
        <v>0.15</v>
      </c>
      <c r="E372" s="3263">
        <v>0.15</v>
      </c>
      <c r="F372" s="3263">
        <v>0.14299999999999999</v>
      </c>
      <c r="G372" s="3264">
        <v>0.15</v>
      </c>
    </row>
    <row r="373" spans="1:7">
      <c r="A373" s="3273" t="s">
        <v>2848</v>
      </c>
      <c r="B373" s="3262" t="s">
        <v>258</v>
      </c>
      <c r="C373" s="3263">
        <v>0.15</v>
      </c>
      <c r="D373" s="3263">
        <v>0.15</v>
      </c>
      <c r="E373" s="3263">
        <v>0.15</v>
      </c>
      <c r="F373" s="3263">
        <v>0.14599999999999999</v>
      </c>
      <c r="G373" s="3264">
        <v>0.15</v>
      </c>
    </row>
    <row r="374" spans="1:7">
      <c r="A374" s="3273" t="s">
        <v>2848</v>
      </c>
      <c r="B374" s="3262" t="s">
        <v>266</v>
      </c>
      <c r="C374" s="3263">
        <v>0.15</v>
      </c>
      <c r="D374" s="3263">
        <v>0.15</v>
      </c>
      <c r="E374" s="3263">
        <v>0.15</v>
      </c>
      <c r="F374" s="3263">
        <v>0.14399999999999999</v>
      </c>
      <c r="G374" s="3264">
        <v>0.15</v>
      </c>
    </row>
    <row r="375" spans="1:7">
      <c r="A375" s="3273" t="s">
        <v>2848</v>
      </c>
      <c r="B375" s="3262" t="s">
        <v>2917</v>
      </c>
      <c r="C375" s="3263">
        <v>0.15</v>
      </c>
      <c r="D375" s="3263">
        <v>0.15</v>
      </c>
      <c r="E375" s="3263">
        <v>0.15</v>
      </c>
      <c r="F375" s="3263">
        <v>0.13</v>
      </c>
      <c r="G375" s="3264">
        <v>0.15</v>
      </c>
    </row>
    <row r="376" spans="1:7">
      <c r="A376" s="3273" t="s">
        <v>2848</v>
      </c>
      <c r="B376" s="3262" t="s">
        <v>277</v>
      </c>
      <c r="C376" s="3263">
        <v>0.15</v>
      </c>
      <c r="D376" s="3263">
        <v>0.15</v>
      </c>
      <c r="E376" s="3263">
        <v>0.15</v>
      </c>
      <c r="F376" s="3263">
        <v>0.14199999999999999</v>
      </c>
      <c r="G376" s="3264">
        <v>0.15</v>
      </c>
    </row>
    <row r="377" spans="1:7" ht="14.25" thickBot="1">
      <c r="A377" s="3276" t="s">
        <v>2848</v>
      </c>
      <c r="B377" s="3266" t="s">
        <v>2923</v>
      </c>
      <c r="C377" s="3267">
        <v>0.15</v>
      </c>
      <c r="D377" s="3267">
        <v>0.15</v>
      </c>
      <c r="E377" s="3267">
        <v>0.15</v>
      </c>
      <c r="F377" s="3267">
        <v>0.14000000000000001</v>
      </c>
      <c r="G377" s="3269">
        <v>0.15</v>
      </c>
    </row>
    <row r="378" spans="1:7">
      <c r="A378" s="3272" t="s">
        <v>2849</v>
      </c>
      <c r="B378" s="3258" t="s">
        <v>2863</v>
      </c>
      <c r="C378" s="3259">
        <v>0.15</v>
      </c>
      <c r="D378" s="3259">
        <v>0.15</v>
      </c>
      <c r="E378" s="3259">
        <v>0.15</v>
      </c>
      <c r="F378" s="3259">
        <v>0.107</v>
      </c>
      <c r="G378" s="3260">
        <v>0.15</v>
      </c>
    </row>
    <row r="379" spans="1:7">
      <c r="A379" s="3273" t="s">
        <v>2849</v>
      </c>
      <c r="B379" s="3262" t="s">
        <v>2869</v>
      </c>
      <c r="C379" s="3263">
        <v>0.15</v>
      </c>
      <c r="D379" s="3263">
        <v>0.15</v>
      </c>
      <c r="E379" s="3263">
        <v>0.15</v>
      </c>
      <c r="F379" s="3263">
        <v>0.115</v>
      </c>
      <c r="G379" s="3264">
        <v>0.14899999999999999</v>
      </c>
    </row>
    <row r="380" spans="1:7">
      <c r="A380" s="3273" t="s">
        <v>2849</v>
      </c>
      <c r="B380" s="3262" t="s">
        <v>2875</v>
      </c>
      <c r="C380" s="3263">
        <v>0.15</v>
      </c>
      <c r="D380" s="3263">
        <v>0.15</v>
      </c>
      <c r="E380" s="3263">
        <v>0.15</v>
      </c>
      <c r="F380" s="3263">
        <v>0.1</v>
      </c>
      <c r="G380" s="3264">
        <v>0.14799999999999999</v>
      </c>
    </row>
    <row r="381" spans="1:7">
      <c r="A381" s="3273" t="s">
        <v>2849</v>
      </c>
      <c r="B381" s="3262" t="s">
        <v>2878</v>
      </c>
      <c r="C381" s="3263">
        <v>0.15</v>
      </c>
      <c r="D381" s="3263">
        <v>0.15</v>
      </c>
      <c r="E381" s="3263">
        <v>0.15</v>
      </c>
      <c r="F381" s="3263">
        <v>0.126</v>
      </c>
      <c r="G381" s="3264">
        <v>0.15</v>
      </c>
    </row>
    <row r="382" spans="1:7">
      <c r="A382" s="3273" t="s">
        <v>2849</v>
      </c>
      <c r="B382" s="3262" t="s">
        <v>2882</v>
      </c>
      <c r="C382" s="3263">
        <v>0.15</v>
      </c>
      <c r="D382" s="3263">
        <v>0.15</v>
      </c>
      <c r="E382" s="3263">
        <v>0.15</v>
      </c>
      <c r="F382" s="3263">
        <v>0.15</v>
      </c>
      <c r="G382" s="3264">
        <v>0.15</v>
      </c>
    </row>
    <row r="383" spans="1:7">
      <c r="A383" s="3273" t="s">
        <v>2849</v>
      </c>
      <c r="B383" s="3262" t="s">
        <v>2887</v>
      </c>
      <c r="C383" s="3263">
        <v>0.15</v>
      </c>
      <c r="D383" s="3263">
        <v>0.15</v>
      </c>
      <c r="E383" s="3263">
        <v>0.15</v>
      </c>
      <c r="F383" s="3263">
        <v>0.14699999999999999</v>
      </c>
      <c r="G383" s="3264">
        <v>0.15</v>
      </c>
    </row>
    <row r="384" spans="1:7" ht="14.25" thickBot="1">
      <c r="A384" s="3283" t="s">
        <v>2849</v>
      </c>
      <c r="B384" s="3284" t="s">
        <v>2891</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4187" t="s">
        <v>3230</v>
      </c>
      <c r="B1" s="4187"/>
      <c r="C1" s="4187"/>
      <c r="D1" s="4187"/>
      <c r="E1" s="4187"/>
      <c r="F1" s="4188"/>
    </row>
    <row r="2" spans="1:6">
      <c r="A2" s="3289" t="s">
        <v>3231</v>
      </c>
      <c r="B2" s="3290"/>
      <c r="C2" s="3290"/>
      <c r="D2" s="3290"/>
      <c r="E2" s="3290"/>
      <c r="F2" s="3290"/>
    </row>
    <row r="3" spans="1:6">
      <c r="A3" s="3289" t="s">
        <v>3232</v>
      </c>
      <c r="B3" s="3290"/>
      <c r="C3" s="3290"/>
      <c r="D3" s="3290"/>
      <c r="E3" s="3290"/>
      <c r="F3" s="3291" t="s">
        <v>3233</v>
      </c>
    </row>
    <row r="4" spans="1:6">
      <c r="A4" s="3292" t="s">
        <v>672</v>
      </c>
      <c r="B4" s="3292" t="s">
        <v>673</v>
      </c>
      <c r="C4" s="3292" t="s">
        <v>21</v>
      </c>
      <c r="D4" s="3292" t="s">
        <v>674</v>
      </c>
      <c r="E4" s="3292" t="s">
        <v>3</v>
      </c>
      <c r="F4" s="3292" t="s">
        <v>3234</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9">
        <f>基准地价修正!G23</f>
        <v>45583</v>
      </c>
      <c r="B1" s="3208" t="s">
        <v>2836</v>
      </c>
      <c r="C1" s="3209"/>
      <c r="D1" s="3209"/>
      <c r="E1" s="3209"/>
      <c r="F1" s="3209"/>
      <c r="G1" s="3209"/>
      <c r="H1" s="3209"/>
      <c r="I1" s="3209"/>
      <c r="J1" s="3163"/>
      <c r="K1" s="3209" t="s">
        <v>454</v>
      </c>
      <c r="L1" s="3209"/>
      <c r="M1" s="3209"/>
      <c r="N1" s="3209"/>
      <c r="O1" s="3209"/>
      <c r="P1" s="3209"/>
      <c r="Q1" s="3163"/>
      <c r="R1" s="4189" t="s">
        <v>456</v>
      </c>
      <c r="S1" s="4190"/>
      <c r="T1" s="4190"/>
      <c r="U1" s="4190"/>
      <c r="V1" s="4190"/>
      <c r="W1" s="4190"/>
      <c r="X1" s="3163"/>
      <c r="Y1" s="4189" t="s">
        <v>457</v>
      </c>
      <c r="Z1" s="4190"/>
      <c r="AA1" s="4190"/>
      <c r="AB1" s="4190"/>
      <c r="AC1" s="4190"/>
      <c r="AD1" s="4190"/>
    </row>
    <row r="2" spans="1:30" s="3141" customFormat="1" ht="14.25" thickBot="1">
      <c r="B2" s="3142"/>
      <c r="C2" s="3143"/>
      <c r="D2" s="3144" t="s">
        <v>2804</v>
      </c>
      <c r="E2" s="3145" t="s">
        <v>2805</v>
      </c>
      <c r="F2" s="3145" t="s">
        <v>2806</v>
      </c>
      <c r="G2" s="3145" t="s">
        <v>2807</v>
      </c>
      <c r="H2" s="3145" t="s">
        <v>2808</v>
      </c>
      <c r="I2" s="3145" t="s">
        <v>2625</v>
      </c>
      <c r="J2" s="3146"/>
      <c r="K2" s="3144" t="s">
        <v>2804</v>
      </c>
      <c r="L2" s="3145" t="s">
        <v>2805</v>
      </c>
      <c r="M2" s="3145" t="s">
        <v>2806</v>
      </c>
      <c r="N2" s="3145" t="s">
        <v>2807</v>
      </c>
      <c r="O2" s="3145" t="s">
        <v>2809</v>
      </c>
      <c r="P2" s="3145" t="s">
        <v>2625</v>
      </c>
      <c r="Q2" s="3146"/>
      <c r="R2" s="3144" t="s">
        <v>2804</v>
      </c>
      <c r="S2" s="3145" t="s">
        <v>2805</v>
      </c>
      <c r="T2" s="3145" t="s">
        <v>2806</v>
      </c>
      <c r="U2" s="3145" t="s">
        <v>2810</v>
      </c>
      <c r="V2" s="3145" t="s">
        <v>2811</v>
      </c>
      <c r="W2" s="3145" t="s">
        <v>2625</v>
      </c>
      <c r="X2" s="3146"/>
      <c r="Y2" s="3144" t="s">
        <v>2804</v>
      </c>
      <c r="Z2" s="3145" t="s">
        <v>2805</v>
      </c>
      <c r="AA2" s="3145" t="s">
        <v>2806</v>
      </c>
      <c r="AB2" s="3145" t="s">
        <v>2812</v>
      </c>
      <c r="AC2" s="3145" t="s">
        <v>2811</v>
      </c>
      <c r="AD2" s="3145" t="s">
        <v>2625</v>
      </c>
    </row>
    <row r="3" spans="1:30" s="3159" customFormat="1" ht="12.75">
      <c r="A3" s="3147" t="s">
        <v>2813</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3366</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3367</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3365</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2814</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2815</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ROUND(IF([16]项目基本情况!B8="出让",SUMPRODUCT(PRODUCT(1+K9:K16)),SUMPRODUCT(PRODUCT(1+K9:K15))),4)</f>
        <v>1.0565</v>
      </c>
      <c r="S9" s="3190">
        <f>ROUND(IF([16]项目基本情况!B8="出让",SUMPRODUCT(PRODUCT(1+L9:L16)),SUMPRODUCT(PRODUCT(1+L9:L15))),4)</f>
        <v>1.0250999999999999</v>
      </c>
      <c r="T9" s="3190">
        <f>ROUND(IF([16]项目基本情况!B8="出让",SUMPRODUCT(PRODUCT(1+M9:M16)),SUMPRODUCT(PRODUCT(1+M9:M15))),4)</f>
        <v>1.0145</v>
      </c>
      <c r="U9" s="3190">
        <f>ROUND(IF([16]项目基本情况!B8="出让",SUMPRODUCT(PRODUCT(1+N9:N16)),SUMPRODUCT(PRODUCT(1+N9:N15))),4)</f>
        <v>1.0618000000000001</v>
      </c>
      <c r="V9" s="3190">
        <f>ROUND(IF([16]项目基本情况!B8="出让",SUMPRODUCT(PRODUCT(1+O9:O16)),SUMPRODUCT(PRODUCT(1+O9:O15))),4)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ROUND(IF([16]项目基本情况!B8="出让",SUMPRODUCT(PRODUCT(1+K10:K16)),SUMPRODUCT(PRODUCT(1+K10:K15))),4)</f>
        <v>1.05</v>
      </c>
      <c r="S10" s="3181">
        <f>ROUND(IF([16]项目基本情况!B8="出让",SUMPRODUCT(PRODUCT(1+L10:L16)),SUMPRODUCT(PRODUCT(1+L10:L15))),4)</f>
        <v>1.0229999999999999</v>
      </c>
      <c r="T10" s="3181">
        <f>ROUND(IF([16]项目基本情况!B8="出让",SUMPRODUCT(PRODUCT(1+M10:M16)),SUMPRODUCT(PRODUCT(1+M10:M15))),4)</f>
        <v>1.0134000000000001</v>
      </c>
      <c r="U10" s="3181">
        <f>ROUND(IF([16]项目基本情况!B8="出让",SUMPRODUCT(PRODUCT(1+N10:N16)),SUMPRODUCT(PRODUCT(1+N10:N15))),4)</f>
        <v>1.0545</v>
      </c>
      <c r="V10" s="3181">
        <f>ROUND(IF([16]项目基本情况!B8="出让",SUMPRODUCT(PRODUCT(1+O10:O16)),SUMPRODUCT(PRODUCT(1+O10:O15))),4)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ROUND(IF([16]项目基本情况!B8="出让",SUMPRODUCT(PRODUCT(1+K11:K16)),SUMPRODUCT(PRODUCT(1+K11:K15))),4)</f>
        <v>1.0430999999999999</v>
      </c>
      <c r="S11" s="3181">
        <f>ROUND(IF([16]项目基本情况!B8="出让",SUMPRODUCT(PRODUCT(1+L11:L16)),SUMPRODUCT(PRODUCT(1+L11:L15))),4)</f>
        <v>1.0197000000000001</v>
      </c>
      <c r="T11" s="3181">
        <f>ROUND(IF([16]项目基本情况!B8="出让",SUMPRODUCT(PRODUCT(1+M11:M16)),SUMPRODUCT(PRODUCT(1+M11:M15))),4)</f>
        <v>1.0109999999999999</v>
      </c>
      <c r="U11" s="3181">
        <f>ROUND(IF([16]项目基本情况!B8="出让",SUMPRODUCT(PRODUCT(1+N11:N16)),SUMPRODUCT(PRODUCT(1+N11:N15))),4)</f>
        <v>1.0468999999999999</v>
      </c>
      <c r="V11" s="3181">
        <f>ROUND(IF([16]项目基本情况!B8="出让",SUMPRODUCT(PRODUCT(1+O11:O16)),SUMPRODUCT(PRODUCT(1+O11:O15))),4)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2816</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ROUND(IF([16]项目基本情况!B8="出让",SUMPRODUCT(PRODUCT(1+K12:K16)),SUMPRODUCT(PRODUCT(1+K12:K15))),4)</f>
        <v>1.0335000000000001</v>
      </c>
      <c r="S12" s="3181">
        <f>ROUND(IF([16]项目基本情况!B8="出让",SUMPRODUCT(PRODUCT(1+L12:L16)),SUMPRODUCT(PRODUCT(1+L12:L15))),4)</f>
        <v>1.0182</v>
      </c>
      <c r="T12" s="3181">
        <f>ROUND(IF([16]项目基本情况!B8="出让",SUMPRODUCT(PRODUCT(1+M12:M16)),SUMPRODUCT(PRODUCT(1+M12:M15))),4)</f>
        <v>1.0108999999999999</v>
      </c>
      <c r="U12" s="3181">
        <f>ROUND(IF([16]项目基本情况!B8="出让",SUMPRODUCT(PRODUCT(1+N12:N16)),SUMPRODUCT(PRODUCT(1+N12:N15))),4)</f>
        <v>1.0361</v>
      </c>
      <c r="V12" s="3181">
        <f>ROUND(IF([16]项目基本情况!B8="出让",SUMPRODUCT(PRODUCT(1+O12:O16)),SUMPRODUCT(PRODUCT(1+O12:O15))),4)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2817</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ROUND(IF([16]项目基本情况!B8="出让",SUMPRODUCT(PRODUCT(1+K13:K16)),SUMPRODUCT(PRODUCT(1+K13:K15))),4)</f>
        <v>1.0244</v>
      </c>
      <c r="S13" s="3181">
        <f>ROUND(IF([16]项目基本情况!B8="出让",SUMPRODUCT(PRODUCT(1+L13:L16)),SUMPRODUCT(PRODUCT(1+L13:L15))),4)</f>
        <v>1.0138</v>
      </c>
      <c r="T13" s="3181">
        <f>ROUND(IF([16]项目基本情况!B8="出让",SUMPRODUCT(PRODUCT(1+M13:M16)),SUMPRODUCT(PRODUCT(1+M13:M15))),4)</f>
        <v>1.0072000000000001</v>
      </c>
      <c r="U13" s="3181">
        <f>ROUND(IF([16]项目基本情况!B8="出让",SUMPRODUCT(PRODUCT(1+N13:N16)),SUMPRODUCT(PRODUCT(1+N13:N15))),4)</f>
        <v>1.0262</v>
      </c>
      <c r="V13" s="3181">
        <f>ROUND(IF([16]项目基本情况!B8="出让",SUMPRODUCT(PRODUCT(1+O13:O16)),SUMPRODUCT(PRODUCT(1+O13:O15))),4)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2818</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ROUND(IF([16]项目基本情况!B8="出让",SUMPRODUCT(PRODUCT(1+K14:K16)),SUMPRODUCT(PRODUCT(1+K14:K15))),4)</f>
        <v>1.0139</v>
      </c>
      <c r="S14" s="3181">
        <f>ROUND(IF([16]项目基本情况!B8="出让",SUMPRODUCT(PRODUCT(1+L14:L16)),SUMPRODUCT(PRODUCT(1+L14:L15))),4)</f>
        <v>1.0113000000000001</v>
      </c>
      <c r="T14" s="3181">
        <f>ROUND(IF([16]项目基本情况!B8="出让",SUMPRODUCT(PRODUCT(1+M14:M16)),SUMPRODUCT(PRODUCT(1+M14:M15))),4)</f>
        <v>1.0065</v>
      </c>
      <c r="U14" s="3181">
        <f>ROUND(IF([16]项目基本情况!B8="出让",SUMPRODUCT(PRODUCT(1+N14:N16)),SUMPRODUCT(PRODUCT(1+N14:N15))),4)</f>
        <v>1.0143</v>
      </c>
      <c r="V14" s="3181">
        <f>ROUND(IF([16]项目基本情况!B8="出让",SUMPRODUCT(PRODUCT(1+O14:O16)),SUMPRODUCT(PRODUCT(1+O14:O15))),4)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2819</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ROUND(IF([16]项目基本情况!B8="出让",SUMPRODUCT(PRODUCT(1+K15:K16)),SUMPRODUCT(PRODUCT(1+K15:K15))),4)</f>
        <v>1.0092000000000001</v>
      </c>
      <c r="S15" s="3181">
        <f>ROUND(IF([16]项目基本情况!B8="出让",SUMPRODUCT(PRODUCT(1+L15:L16)),SUMPRODUCT(PRODUCT(1+L15:L15))),4)</f>
        <v>1.0072000000000001</v>
      </c>
      <c r="T15" s="3181">
        <f>ROUND(IF([16]项目基本情况!B8="出让",SUMPRODUCT(PRODUCT(1+M15:M16)),SUMPRODUCT(PRODUCT(1+M15:M15))),4)</f>
        <v>1.0041</v>
      </c>
      <c r="U15" s="3181">
        <f>ROUND(IF([16]项目基本情况!B8="出让",SUMPRODUCT(PRODUCT(1+N15:N16)),SUMPRODUCT(PRODUCT(1+N15:N15))),4)</f>
        <v>1.0095000000000001</v>
      </c>
      <c r="V15" s="3181">
        <f>ROUND(IF([16]项目基本情况!B8="出让",SUMPRODUCT(PRODUCT(1+O15:O16)),SUMPRODUCT(PRODUCT(1+O15:O15))),4)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2820</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5" t="s">
        <v>3363</v>
      </c>
    </row>
    <row r="19" spans="1:30" s="3007" customFormat="1">
      <c r="I19" s="3206" t="s">
        <v>2821</v>
      </c>
    </row>
    <row r="20" spans="1:30" s="3007" customFormat="1"/>
    <row r="21" spans="1:30" s="3207" customFormat="1" ht="12.75">
      <c r="B21" s="3208" t="s">
        <v>2822</v>
      </c>
      <c r="C21" s="3209"/>
      <c r="D21" s="3209"/>
      <c r="E21" s="3209"/>
      <c r="F21" s="3209"/>
      <c r="G21" s="3209"/>
      <c r="H21" s="3209"/>
      <c r="I21" s="3209"/>
      <c r="J21" s="3163"/>
      <c r="K21" s="3209" t="s">
        <v>2823</v>
      </c>
      <c r="L21" s="3209"/>
      <c r="M21" s="3209"/>
      <c r="N21" s="3209"/>
      <c r="O21" s="3209"/>
      <c r="P21" s="3209"/>
      <c r="Q21" s="3163"/>
      <c r="R21" s="4189" t="s">
        <v>2824</v>
      </c>
      <c r="S21" s="4190"/>
      <c r="T21" s="4190"/>
      <c r="U21" s="4190"/>
      <c r="V21" s="4190"/>
      <c r="W21" s="4190"/>
      <c r="X21" s="3163"/>
      <c r="Y21" s="4189" t="s">
        <v>2825</v>
      </c>
      <c r="Z21" s="4190"/>
      <c r="AA21" s="4190"/>
      <c r="AB21" s="4190"/>
      <c r="AC21" s="4190"/>
      <c r="AD21" s="4190"/>
    </row>
    <row r="22" spans="1:30" s="3141" customFormat="1" ht="14.25" thickBot="1">
      <c r="B22" s="3142"/>
      <c r="C22" s="3143"/>
      <c r="D22" s="3144" t="s">
        <v>2826</v>
      </c>
      <c r="E22" s="3145" t="s">
        <v>2827</v>
      </c>
      <c r="F22" s="3145" t="s">
        <v>2828</v>
      </c>
      <c r="G22" s="3145" t="s">
        <v>2829</v>
      </c>
      <c r="H22" s="3145"/>
      <c r="I22" s="3145" t="s">
        <v>2830</v>
      </c>
      <c r="J22" s="3146"/>
      <c r="K22" s="3144" t="s">
        <v>2826</v>
      </c>
      <c r="L22" s="3145" t="s">
        <v>2827</v>
      </c>
      <c r="M22" s="3145" t="s">
        <v>2828</v>
      </c>
      <c r="N22" s="3145" t="s">
        <v>2829</v>
      </c>
      <c r="O22" s="3145"/>
      <c r="P22" s="3145" t="s">
        <v>2830</v>
      </c>
      <c r="Q22" s="3146"/>
      <c r="R22" s="3144" t="s">
        <v>2826</v>
      </c>
      <c r="S22" s="3145" t="s">
        <v>2827</v>
      </c>
      <c r="T22" s="3145" t="s">
        <v>2828</v>
      </c>
      <c r="U22" s="3145" t="s">
        <v>2829</v>
      </c>
      <c r="V22" s="3145"/>
      <c r="W22" s="3145" t="s">
        <v>2830</v>
      </c>
      <c r="X22" s="3146"/>
      <c r="Y22" s="3144" t="s">
        <v>2826</v>
      </c>
      <c r="Z22" s="3145" t="s">
        <v>2827</v>
      </c>
      <c r="AA22" s="3145" t="s">
        <v>2828</v>
      </c>
      <c r="AB22" s="3145" t="s">
        <v>2829</v>
      </c>
      <c r="AC22" s="3145"/>
      <c r="AD22" s="3145" t="s">
        <v>2830</v>
      </c>
    </row>
    <row r="23" spans="1:30" s="3159" customFormat="1" ht="12.75">
      <c r="A23" s="3147" t="s">
        <v>2831</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3366</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ROUND(IF([16]项目基本情况!$B$8="出让",SUMPRODUCT(PRODUCT(1+L25:L$36)),SUMPRODUCT(PRODUCT(1+L25:L$35))),4)</f>
        <v>1.0286999999999999</v>
      </c>
      <c r="T25" s="3181">
        <f>ROUND(IF([16]项目基本情况!$B$8="出让",SUMPRODUCT(PRODUCT(1+M25:M$36)),SUMPRODUCT(PRODUCT(1+M25:M$35))),4)</f>
        <v>1.0164</v>
      </c>
      <c r="U25" s="3181">
        <f>ROUND(IF([16]项目基本情况!$B$8="出让",SUMPRODUCT(PRODUCT(1+N25:N$36)),SUMPRODUCT(PRODUCT(1+N25:N$35))),4)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3367</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ROUND(IF([16]项目基本情况!$B$8="出让",SUMPRODUCT(PRODUCT(1+L26:L$36)),SUMPRODUCT(PRODUCT(1+L26:L$35))),4)</f>
        <v>1.0286999999999999</v>
      </c>
      <c r="T26" s="3181">
        <f>ROUND(IF([16]项目基本情况!$B$8="出让",SUMPRODUCT(PRODUCT(1+M26:M$36)),SUMPRODUCT(PRODUCT(1+M26:M$35))),4)</f>
        <v>1.0164</v>
      </c>
      <c r="U26" s="3181">
        <f>ROUND(IF([16]项目基本情况!$B$8="出让",SUMPRODUCT(PRODUCT(1+N26:N$36)),SUMPRODUCT(PRODUCT(1+N26:N$35))),4)</f>
        <v>1.0506</v>
      </c>
      <c r="V26" s="3181"/>
      <c r="W26" s="3181">
        <f t="shared" ref="W26:W28" si="32">T26</f>
        <v>1.0164</v>
      </c>
      <c r="X26" s="3179"/>
      <c r="Y26" s="3182"/>
      <c r="Z26" s="3210"/>
      <c r="AA26" s="3446"/>
      <c r="AB26" s="3446"/>
      <c r="AC26" s="3211"/>
      <c r="AD26" s="3182"/>
    </row>
    <row r="27" spans="1:30" s="3183" customFormat="1" ht="12.75">
      <c r="A27" s="3174" t="s">
        <v>3365</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ROUND(IF([16]项目基本情况!$B$8="出让",SUMPRODUCT(PRODUCT(1+L27:L$36)),SUMPRODUCT(PRODUCT(1+L27:L$35))),4)</f>
        <v>1.0286999999999999</v>
      </c>
      <c r="T27" s="3181">
        <f>ROUND(IF([16]项目基本情况!$B$8="出让",SUMPRODUCT(PRODUCT(1+M27:M$36)),SUMPRODUCT(PRODUCT(1+M27:M$35))),4)</f>
        <v>1.0164</v>
      </c>
      <c r="U27" s="3181">
        <f>ROUND(IF([16]项目基本情况!$B$8="出让",SUMPRODUCT(PRODUCT(1+N27:N$36)),SUMPRODUCT(PRODUCT(1+N27:N$35))),4)</f>
        <v>1.0506</v>
      </c>
      <c r="V27" s="3181"/>
      <c r="W27" s="3181">
        <f t="shared" si="32"/>
        <v>1.0164</v>
      </c>
      <c r="X27" s="3179"/>
      <c r="Y27" s="3182"/>
      <c r="Z27" s="3210"/>
      <c r="AA27" s="3446"/>
      <c r="AB27" s="3446"/>
      <c r="AC27" s="3211"/>
      <c r="AD27" s="3182"/>
    </row>
    <row r="28" spans="1:30" s="3183" customFormat="1" ht="12.75">
      <c r="A28" s="3174" t="s">
        <v>2814</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ROUND(IF([16]项目基本情况!$B$8="出让",SUMPRODUCT(PRODUCT(1+L28:L$36)),SUMPRODUCT(PRODUCT(1+L28:L$35))),4)</f>
        <v>1.0286999999999999</v>
      </c>
      <c r="T28" s="3181">
        <f>ROUND(IF([16]项目基本情况!$B$8="出让",SUMPRODUCT(PRODUCT(1+M28:M$36)),SUMPRODUCT(PRODUCT(1+M28:M$35))),4)</f>
        <v>1.0164</v>
      </c>
      <c r="U28" s="3181">
        <f>ROUND(IF([16]项目基本情况!$B$8="出让",SUMPRODUCT(PRODUCT(1+N28:N$36)),SUMPRODUCT(PRODUCT(1+N28:N$35))),4)</f>
        <v>1.0506</v>
      </c>
      <c r="V28" s="3181"/>
      <c r="W28" s="3181">
        <f t="shared" si="32"/>
        <v>1.0164</v>
      </c>
      <c r="X28" s="3179"/>
      <c r="Y28" s="3182"/>
      <c r="Z28" s="3210"/>
      <c r="AA28" s="3446"/>
      <c r="AB28" s="3446"/>
      <c r="AC28" s="3211"/>
      <c r="AD28" s="3182"/>
    </row>
    <row r="29" spans="1:30" s="3193" customFormat="1" ht="12.75">
      <c r="A29" s="3184" t="s">
        <v>3361</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ROUND(IF([16]项目基本情况!$B$8="出让",SUMPRODUCT(PRODUCT(1+L29:L$36)),SUMPRODUCT(PRODUCT(1+L29:L$35))),4)</f>
        <v>1.0286999999999999</v>
      </c>
      <c r="T29" s="3190">
        <f>ROUND(IF([16]项目基本情况!$B$8="出让",SUMPRODUCT(PRODUCT(1+M29:M$36)),SUMPRODUCT(PRODUCT(1+M29:M$35))),4)</f>
        <v>1.0164</v>
      </c>
      <c r="U29" s="3190">
        <f>ROUND(IF([16]项目基本情况!$B$8="出让",SUMPRODUCT(PRODUCT(1+N29:N$36)),SUMPRODUCT(PRODUCT(1+N29:N$35))),4)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3362</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ROUND(IF([16]项目基本情况!$B$8="出让",SUMPRODUCT(PRODUCT(1+L30:L$36)),SUMPRODUCT(PRODUCT(1+L30:L$35))),4)</f>
        <v>1.0241</v>
      </c>
      <c r="T30" s="3181">
        <f>ROUND(IF([16]项目基本情况!$B$8="出让",SUMPRODUCT(PRODUCT(1+M30:M$36)),SUMPRODUCT(PRODUCT(1+M30:M$35))),4)</f>
        <v>1.0144</v>
      </c>
      <c r="U30" s="3181">
        <f>ROUND(IF([16]项目基本情况!$B$8="出让",SUMPRODUCT(PRODUCT(1+N30:N$36)),SUMPRODUCT(PRODUCT(1+N30:N$35))),4)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ROUND(IF([16]项目基本情况!$B$8="出让",SUMPRODUCT(PRODUCT(1+L31:L$36)),SUMPRODUCT(PRODUCT(1+L31:L$35))),4)</f>
        <v>1.0210999999999999</v>
      </c>
      <c r="T31" s="3181">
        <f>ROUND(IF([16]项目基本情况!$B$8="出让",SUMPRODUCT(PRODUCT(1+M31:M$36)),SUMPRODUCT(PRODUCT(1+M31:M$35))),4)</f>
        <v>1.0114000000000001</v>
      </c>
      <c r="U31" s="3181">
        <f>ROUND(IF([16]项目基本情况!$B$8="出让",SUMPRODUCT(PRODUCT(1+N31:N$36)),SUMPRODUCT(PRODUCT(1+N31:N$35))),4)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2832</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ROUND(IF([16]项目基本情况!$B$8="出让",SUMPRODUCT(PRODUCT(1+L32:L$36)),SUMPRODUCT(PRODUCT(1+L32:L$35))),4)</f>
        <v>1.0222</v>
      </c>
      <c r="T32" s="3181">
        <f>ROUND(IF([16]项目基本情况!$B$8="出让",SUMPRODUCT(PRODUCT(1+M32:M$36)),SUMPRODUCT(PRODUCT(1+M32:M$35))),4)</f>
        <v>1.0127999999999999</v>
      </c>
      <c r="U32" s="3181">
        <f>ROUND(IF([16]项目基本情况!$B$8="出让",SUMPRODUCT(PRODUCT(1+N32:N$36)),SUMPRODUCT(PRODUCT(1+N32:N$35))),4)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2833</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ROUND(IF([16]项目基本情况!$B$8="出让",SUMPRODUCT(PRODUCT(1+L33:L$36)),SUMPRODUCT(PRODUCT(1+L33:L$35))),4)</f>
        <v>1.0161</v>
      </c>
      <c r="T33" s="3181">
        <f>ROUND(IF([16]项目基本情况!$B$8="出让",SUMPRODUCT(PRODUCT(1+M33:M$36)),SUMPRODUCT(PRODUCT(1+M33:M$35))),4)</f>
        <v>1.0082</v>
      </c>
      <c r="U33" s="3181">
        <f>ROUND(IF([16]项目基本情况!$B$8="出让",SUMPRODUCT(PRODUCT(1+N33:N$36)),SUMPRODUCT(PRODUCT(1+N33:N$35))),4)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2834</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ROUND(IF([16]项目基本情况!$B$8="出让",SUMPRODUCT(PRODUCT(1+L34:L$36)),SUMPRODUCT(PRODUCT(1+L34:L$35))),4)</f>
        <v>1.0102</v>
      </c>
      <c r="T34" s="3181">
        <f>ROUND(IF([16]项目基本情况!$B$8="出让",SUMPRODUCT(PRODUCT(1+M34:M$36)),SUMPRODUCT(PRODUCT(1+M34:M$35))),4)</f>
        <v>1.0074000000000001</v>
      </c>
      <c r="U34" s="3181">
        <f>ROUND(IF([16]项目基本情况!$B$8="出让",SUMPRODUCT(PRODUCT(1+N34:N$36)),SUMPRODUCT(PRODUCT(1+N34:N$35))),4)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2835</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ROUND(IF([16]项目基本情况!$B$8="出让",SUMPRODUCT(PRODUCT(1+L35:L$36)),SUMPRODUCT(PRODUCT(1+L35:L$35))),4)</f>
        <v>1.0055000000000001</v>
      </c>
      <c r="T35" s="3181">
        <f>ROUND(IF([16]项目基本情况!$B$8="出让",SUMPRODUCT(PRODUCT(1+M35:M$36)),SUMPRODUCT(PRODUCT(1+M35:M$35))),4)</f>
        <v>1.0045999999999999</v>
      </c>
      <c r="U35" s="3181">
        <f>ROUND(IF([16]项目基本情况!$B$8="出让",SUMPRODUCT(PRODUCT(1+N35:N$36)),SUMPRODUCT(PRODUCT(1+N35:N$35))),4)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2820</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5"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4196" t="s">
        <v>452</v>
      </c>
      <c r="C1" s="4196"/>
      <c r="D1" s="4196"/>
      <c r="E1" s="4196"/>
      <c r="F1" s="4196"/>
      <c r="G1" s="4195" t="s">
        <v>453</v>
      </c>
      <c r="H1" s="4195"/>
      <c r="I1" s="4195"/>
      <c r="J1" s="4195"/>
      <c r="K1" s="4195"/>
      <c r="L1" s="4195"/>
      <c r="N1" s="4195" t="s">
        <v>454</v>
      </c>
      <c r="O1" s="4195"/>
      <c r="P1" s="4195"/>
      <c r="Q1" s="4195"/>
      <c r="S1" s="4195" t="s">
        <v>455</v>
      </c>
      <c r="T1" s="4195"/>
      <c r="U1" s="4195"/>
      <c r="V1" s="4195"/>
      <c r="X1" s="4194" t="s">
        <v>456</v>
      </c>
      <c r="Y1" s="4195"/>
      <c r="Z1" s="4195"/>
      <c r="AA1" s="4195"/>
      <c r="AB1" s="4195"/>
      <c r="AD1" s="4194" t="s">
        <v>457</v>
      </c>
      <c r="AE1" s="4195"/>
      <c r="AF1" s="4195"/>
      <c r="AG1" s="4195"/>
      <c r="AH1" s="41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41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41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41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2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41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41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41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2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1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41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41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41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41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41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41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41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41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41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41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41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41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1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1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2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41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41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41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41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41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41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41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41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41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41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41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41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41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41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41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41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41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41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41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41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41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41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41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41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41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41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41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41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41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41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41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41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41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41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41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41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41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41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41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41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41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41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41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41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45583</v>
      </c>
      <c r="D1" s="1302" t="s">
        <v>603</v>
      </c>
      <c r="E1" s="1297">
        <f>'数据-取费表'!B22</f>
        <v>2</v>
      </c>
      <c r="F1" s="1302" t="s">
        <v>604</v>
      </c>
      <c r="G1" s="1298">
        <f ca="1">INDIRECT("d"&amp;$K$1)/100</f>
        <v>3.4500000000000003E-2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2814"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2304</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activeCell="H27" sqref="H2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2" s="200" customFormat="1" ht="20.25">
      <c r="A1" s="196" t="s">
        <v>1459</v>
      </c>
      <c r="B1" s="1470" t="s">
        <v>3499</v>
      </c>
      <c r="C1" s="1859" t="s">
        <v>1561</v>
      </c>
      <c r="D1" s="198"/>
      <c r="E1" s="198"/>
      <c r="F1" s="198"/>
      <c r="G1" s="1126">
        <f>MATCH(B1,'数据-取费表'!A6:A16,0)+5</f>
        <v>6</v>
      </c>
      <c r="H1" s="1061" t="str">
        <f>IF(ISERROR(FIND("住宅",B1)),"非住宅","住宅")</f>
        <v>非住宅</v>
      </c>
    </row>
    <row r="2" spans="1:12" s="200" customFormat="1" ht="18" customHeight="1">
      <c r="A2" s="201" t="s">
        <v>1460</v>
      </c>
      <c r="B2" s="3422" t="e">
        <f ca="1">ROUND(IF(D2="——",C52/10000,C52/10000-E2),4)</f>
        <v>#DIV/0!</v>
      </c>
      <c r="C2" s="199" t="s">
        <v>1461</v>
      </c>
      <c r="D2" s="1853" t="s">
        <v>43</v>
      </c>
      <c r="E2" s="1169" t="e">
        <f ca="1">SUMIF(INDIRECT("'"&amp;G2&amp;"'"&amp;"!A:A"),"承租人权益价值",INDIRECT("'"&amp;G2&amp;"'"&amp;"!c:c"))</f>
        <v>#REF!</v>
      </c>
      <c r="F2" s="1854" t="s">
        <v>1461</v>
      </c>
      <c r="G2" s="1855"/>
    </row>
    <row r="3" spans="1:12" s="200" customFormat="1" ht="18" customHeight="1" thickBot="1">
      <c r="A3" s="203" t="s">
        <v>1462</v>
      </c>
      <c r="B3" s="204" t="e">
        <f ca="1">ROUND(B2*10000/(IF(B1="",'数据-汇总表'!E3,INDIRECT("'数据-取费表'!k"&amp;$G$1))),0)</f>
        <v>#DIV/0!</v>
      </c>
      <c r="C3" s="199" t="s">
        <v>1463</v>
      </c>
      <c r="D3" s="199"/>
      <c r="E3" s="199"/>
      <c r="F3" s="199"/>
      <c r="G3" s="199"/>
    </row>
    <row r="4" spans="1:12" s="208" customFormat="1" ht="15.75">
      <c r="A4" s="205" t="s">
        <v>1464</v>
      </c>
      <c r="B4" s="206"/>
      <c r="C4" s="206"/>
      <c r="D4" s="206"/>
      <c r="E4" s="206"/>
      <c r="F4" s="206"/>
      <c r="G4" s="207"/>
    </row>
    <row r="5" spans="1:12" s="214" customFormat="1" ht="13.5" customHeight="1">
      <c r="A5" s="255" t="s">
        <v>1465</v>
      </c>
      <c r="B5" s="210" t="s">
        <v>1466</v>
      </c>
      <c r="C5" s="211" t="e">
        <f ca="1">C6+C7+C8</f>
        <v>#DIV/0!</v>
      </c>
      <c r="D5" s="211" t="s">
        <v>1467</v>
      </c>
      <c r="E5" s="212" t="s">
        <v>1468</v>
      </c>
      <c r="F5" s="212" t="s">
        <v>1469</v>
      </c>
      <c r="G5" s="213"/>
    </row>
    <row r="6" spans="1:12" s="214" customFormat="1" ht="13.5" customHeight="1">
      <c r="A6" s="778" t="s">
        <v>1470</v>
      </c>
      <c r="B6" s="215" t="s">
        <v>1471</v>
      </c>
      <c r="C6" s="216" t="e">
        <f>ROUND(基准地价修正!D33*基准地价修正!C33,0)</f>
        <v>#DIV/0!</v>
      </c>
      <c r="D6" s="217"/>
      <c r="E6" s="218"/>
      <c r="F6" s="218"/>
      <c r="G6" s="219"/>
    </row>
    <row r="7" spans="1:12" s="214" customFormat="1" ht="13.5" customHeight="1">
      <c r="A7" s="778" t="s">
        <v>1472</v>
      </c>
      <c r="B7" s="215" t="s">
        <v>1473</v>
      </c>
      <c r="C7" s="220" t="e">
        <f>ROUND(C6*F7,0)</f>
        <v>#DIV/0!</v>
      </c>
      <c r="D7" s="220"/>
      <c r="E7" s="218"/>
      <c r="F7" s="221">
        <f>IF(项目基本情况!B8="出让",0,'数据-取费表'!B48+'数据-取费表'!B49)</f>
        <v>3.0499999999999999E-2</v>
      </c>
      <c r="G7" s="219"/>
    </row>
    <row r="8" spans="1:12" s="223" customFormat="1">
      <c r="A8" s="778" t="s">
        <v>1474</v>
      </c>
      <c r="B8" s="215" t="s">
        <v>1475</v>
      </c>
      <c r="C8" s="220">
        <f ca="1">IF(G8="已包含在土地购买价格中",0,C9+C10)</f>
        <v>93696</v>
      </c>
      <c r="D8" s="222"/>
      <c r="E8" s="220"/>
      <c r="F8" s="221"/>
      <c r="G8" s="1856" t="s">
        <v>3529</v>
      </c>
      <c r="J8" s="3541"/>
      <c r="K8" s="3540"/>
      <c r="L8" s="3540"/>
    </row>
    <row r="9" spans="1:12"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12" s="214" customFormat="1" ht="13.5" customHeight="1">
      <c r="A10" s="779" t="s">
        <v>356</v>
      </c>
      <c r="B10" s="224" t="s">
        <v>1478</v>
      </c>
      <c r="C10" s="225">
        <f ca="1">ROUND(D10*E10,0)</f>
        <v>93696</v>
      </c>
      <c r="D10" s="845">
        <f ca="1">IF(B1="",'数据-汇总表'!E6,IF(INDIRECT("'数据-取费表'!c"&amp;$G$1)="住宅",INDIRECT("'数据-取费表'!s"&amp;$G$1),INDIRECT("'数据-取费表'!k"&amp;$G$1)+INDIRECT("'数据-取费表'!s"&amp;$G$1)))</f>
        <v>468.48</v>
      </c>
      <c r="E10" s="225">
        <f>'数据-取费表'!B28</f>
        <v>200</v>
      </c>
      <c r="F10" s="221"/>
      <c r="G10" s="226"/>
    </row>
    <row r="11" spans="1:12" s="214" customFormat="1" ht="13.5" hidden="1" customHeight="1">
      <c r="A11" s="227" t="s">
        <v>4</v>
      </c>
      <c r="B11" s="215" t="s">
        <v>1479</v>
      </c>
      <c r="C11" s="211"/>
      <c r="D11" s="847"/>
      <c r="E11" s="218"/>
      <c r="F11" s="218"/>
      <c r="G11" s="219"/>
    </row>
    <row r="12" spans="1:12" s="214" customFormat="1" ht="13.5" hidden="1" customHeight="1">
      <c r="A12" s="227" t="s">
        <v>5</v>
      </c>
      <c r="B12" s="215" t="s">
        <v>1562</v>
      </c>
      <c r="C12" s="211">
        <v>0</v>
      </c>
      <c r="D12" s="847"/>
      <c r="E12" s="228"/>
      <c r="F12" s="221">
        <v>3.0499999999999999E-2</v>
      </c>
      <c r="G12" s="219"/>
    </row>
    <row r="13" spans="1:12" s="214" customFormat="1" ht="13.5" hidden="1" customHeight="1">
      <c r="A13" s="227" t="s">
        <v>6</v>
      </c>
      <c r="B13" s="215" t="s">
        <v>1563</v>
      </c>
      <c r="C13" s="211"/>
      <c r="D13" s="847"/>
      <c r="E13" s="218"/>
      <c r="F13" s="218"/>
      <c r="G13" s="219"/>
    </row>
    <row r="14" spans="1:12" s="214" customFormat="1" ht="13.5" hidden="1" customHeight="1">
      <c r="A14" s="227" t="s">
        <v>7</v>
      </c>
      <c r="B14" s="215" t="s">
        <v>1475</v>
      </c>
      <c r="C14" s="211"/>
      <c r="D14" s="847"/>
      <c r="E14" s="218"/>
      <c r="F14" s="218"/>
      <c r="G14" s="219" t="s">
        <v>1564</v>
      </c>
    </row>
    <row r="15" spans="1:12" s="214" customFormat="1" ht="13.5" hidden="1" customHeight="1">
      <c r="A15" s="227" t="s">
        <v>8</v>
      </c>
      <c r="B15" s="215" t="s">
        <v>1565</v>
      </c>
      <c r="C15" s="220"/>
      <c r="D15" s="847"/>
      <c r="E15" s="218"/>
      <c r="F15" s="218"/>
      <c r="G15" s="219" t="s">
        <v>1566</v>
      </c>
    </row>
    <row r="16" spans="1:12"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468.48</v>
      </c>
      <c r="E19" s="211">
        <f>'数据-取费表'!B31</f>
        <v>200</v>
      </c>
      <c r="F19" s="231"/>
      <c r="G19" s="1856" t="s">
        <v>3530</v>
      </c>
    </row>
    <row r="20" spans="1:7" s="214" customFormat="1" ht="13.5" customHeight="1">
      <c r="A20" s="255" t="s">
        <v>1572</v>
      </c>
      <c r="B20" s="210" t="s">
        <v>1573</v>
      </c>
      <c r="C20" s="232" t="e">
        <f ca="1">ROUND((C5+C19)*F20,0)</f>
        <v>#DIV/0!</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t="e">
        <f ca="1">ROUND(SUM(C23:C25),0)</f>
        <v>#DIV/0!</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t="e">
        <f ca="1">ROUND(IF('数据-取费表'!B22&lt;=1,C5*F22*'数据-取费表'!B22,C5*(POWER((1+F22),'数据-取费表'!B22)-1)),0)</f>
        <v>#DIV/0!</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t="e">
        <f ca="1">ROUND(IF('数据-取费表'!B22&lt;=1,C20*F22*'数据-取费表'!B22/2,C20*(POWER((1+F22),'数据-取费表'!B22/2)-1)),0)</f>
        <v>#DIV/0!</v>
      </c>
      <c r="D25" s="238"/>
      <c r="E25" s="241"/>
      <c r="F25" s="239"/>
      <c r="G25" s="242" t="s">
        <v>1586</v>
      </c>
    </row>
    <row r="26" spans="1:7" s="214" customFormat="1">
      <c r="A26" s="780"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t="e">
        <f ca="1">C28</f>
        <v>#DIV/0!</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t="e">
        <f ca="1">ROUND((C5+C19+C20)*F27,0)</f>
        <v>#DIV/0!</v>
      </c>
      <c r="D28" s="235"/>
      <c r="E28" s="236"/>
      <c r="F28" s="246"/>
      <c r="G28" s="247"/>
    </row>
    <row r="29" spans="1:7" s="214" customFormat="1" ht="13.5" customHeight="1">
      <c r="A29" s="780"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t="e">
        <f ca="1">ROUND((C5+C19+C20+C22+C27)/(1-C21-D22-D27-C30),0)</f>
        <v>#DIV/0!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2296723</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2108160</v>
      </c>
      <c r="D34" s="217"/>
      <c r="E34" s="220"/>
      <c r="F34" s="257"/>
      <c r="G34" s="219"/>
    </row>
    <row r="35" spans="1:7" ht="13.5" customHeight="1">
      <c r="A35" s="780" t="s">
        <v>351</v>
      </c>
      <c r="B35" s="215" t="s">
        <v>1525</v>
      </c>
      <c r="C35" s="220">
        <f ca="1">ROUND(C34*F35,0)</f>
        <v>63245</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93696</v>
      </c>
      <c r="D37" s="217">
        <f ca="1">D19</f>
        <v>468.48</v>
      </c>
      <c r="E37" s="249">
        <f>'数据-取费表'!B35</f>
        <v>200</v>
      </c>
      <c r="F37" s="259"/>
      <c r="G37" s="261"/>
    </row>
    <row r="38" spans="1:7" ht="13.5" customHeight="1">
      <c r="A38" s="780" t="s">
        <v>354</v>
      </c>
      <c r="B38" s="215" t="s">
        <v>1531</v>
      </c>
      <c r="C38" s="220">
        <f ca="1">ROUND(C34*F38,0)</f>
        <v>31622</v>
      </c>
      <c r="D38" s="220"/>
      <c r="E38" s="220"/>
      <c r="F38" s="259">
        <f>'数据-取费表'!B36</f>
        <v>1.4999999999999999E-2</v>
      </c>
      <c r="G38" s="219" t="s">
        <v>1526</v>
      </c>
    </row>
    <row r="39" spans="1:7" s="214" customFormat="1" ht="13.5" customHeight="1">
      <c r="A39" s="255" t="s">
        <v>1532</v>
      </c>
      <c r="B39" s="210" t="s">
        <v>1533</v>
      </c>
      <c r="C39" s="232">
        <f ca="1">ROUND(C33*F20,0)</f>
        <v>45934</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80822</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79237</v>
      </c>
      <c r="D42" s="238"/>
      <c r="E42" s="238"/>
      <c r="F42" s="239"/>
      <c r="G42" s="3962" t="s">
        <v>1589</v>
      </c>
    </row>
    <row r="43" spans="1:7" ht="13.5" customHeight="1">
      <c r="A43" s="780" t="s">
        <v>347</v>
      </c>
      <c r="B43" s="215" t="s">
        <v>1543</v>
      </c>
      <c r="C43" s="238">
        <f ca="1">ROUND(IF('数据-取费表'!B22&lt;=1,C39*F22*'数据-取费表'!B20/2,C39*(POWER((1+F22),'数据-取费表'!B20/2)-1)),0)</f>
        <v>1585</v>
      </c>
      <c r="D43" s="238"/>
      <c r="E43" s="238"/>
      <c r="F43" s="239"/>
      <c r="G43" s="3963"/>
    </row>
    <row r="44" spans="1:7" ht="13.5" customHeight="1">
      <c r="A44" s="780" t="s">
        <v>348</v>
      </c>
      <c r="B44" s="215" t="s">
        <v>1544</v>
      </c>
      <c r="C44" s="238">
        <f ca="1">ROUND(IF('数据-取费表'!B22&lt;=1,C40*F22*'数据-取费表'!B20/2,C40*(POWER((1+F22),'数据-取费表'!B20/2)-1)),4)</f>
        <v>6.9999999999999999E-4</v>
      </c>
      <c r="D44" s="238"/>
      <c r="E44" s="238"/>
      <c r="F44" s="239"/>
      <c r="G44" s="3964"/>
    </row>
    <row r="45" spans="1:7" s="214" customFormat="1" ht="13.5" customHeight="1">
      <c r="A45" s="255" t="s">
        <v>1545</v>
      </c>
      <c r="B45" s="244" t="s">
        <v>1511</v>
      </c>
      <c r="C45" s="245">
        <f ca="1">C46</f>
        <v>468531</v>
      </c>
      <c r="D45" s="235">
        <f ca="1">C47</f>
        <v>4.0000000000000001E-3</v>
      </c>
      <c r="E45" s="236" t="s">
        <v>1537</v>
      </c>
      <c r="F45" s="246">
        <f ca="1">F27</f>
        <v>0.2</v>
      </c>
      <c r="G45" s="247" t="s">
        <v>1546</v>
      </c>
    </row>
    <row r="46" spans="1:7" s="214" customFormat="1" ht="13.5" customHeight="1">
      <c r="A46" s="780" t="s">
        <v>346</v>
      </c>
      <c r="B46" s="248" t="s">
        <v>1547</v>
      </c>
      <c r="C46" s="249">
        <f ca="1">ROUND((C33+C39)*F27,0)</f>
        <v>468531</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3136670</v>
      </c>
      <c r="D49" s="232"/>
      <c r="E49" s="232"/>
      <c r="F49" s="264"/>
      <c r="G49" s="234" t="s">
        <v>1552</v>
      </c>
    </row>
    <row r="50" spans="1:7" s="258" customFormat="1">
      <c r="A50" s="255" t="s">
        <v>1553</v>
      </c>
      <c r="B50" s="210" t="s">
        <v>1554</v>
      </c>
      <c r="C50" s="232"/>
      <c r="D50" s="232"/>
      <c r="E50" s="232"/>
      <c r="F50" s="264">
        <f>IF('数据-取费表'!B24=0,'数据-取费表'!N16,1)</f>
        <v>0.7</v>
      </c>
      <c r="G50" s="247"/>
    </row>
    <row r="51" spans="1:7" ht="16.5" customHeight="1">
      <c r="A51" s="255" t="s">
        <v>1556</v>
      </c>
      <c r="B51" s="210" t="s">
        <v>1591</v>
      </c>
      <c r="C51" s="232">
        <f ca="1">ROUND(C49*F50,0)</f>
        <v>2195669</v>
      </c>
      <c r="D51" s="232"/>
      <c r="E51" s="232"/>
      <c r="F51" s="264"/>
      <c r="G51" s="234" t="s">
        <v>1558</v>
      </c>
    </row>
    <row r="52" spans="1:7" s="208" customFormat="1" ht="16.5" thickBot="1">
      <c r="A52" s="265" t="s">
        <v>1559</v>
      </c>
      <c r="B52" s="266"/>
      <c r="C52" s="267" t="e">
        <f ca="1">C31+C51</f>
        <v>#DIV/0!</v>
      </c>
      <c r="D52" s="266"/>
      <c r="E52" s="266"/>
      <c r="F52" s="266"/>
      <c r="G52" s="268"/>
    </row>
    <row r="55" spans="1:7" ht="15">
      <c r="B55" s="270" t="s">
        <v>1560</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zoomScaleSheetLayoutView="90" workbookViewId="0">
      <selection activeCell="C8" sqref="C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468.48</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20" t="s">
        <v>673</v>
      </c>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8" t="s">
        <v>2433</v>
      </c>
      <c r="F3" s="2004" t="s">
        <v>3524</v>
      </c>
      <c r="G3" s="752">
        <f>IF(F3="宗地容积率",'数据-汇总表'!I4,IF(F3="估价对象容积率",'数据-汇总表'!I6,'数据-汇总表'!I7))</f>
        <v>2.5</v>
      </c>
      <c r="H3" s="170" t="s">
        <v>1941</v>
      </c>
      <c r="I3" s="775">
        <v>1</v>
      </c>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4209"/>
      <c r="B4" s="4210"/>
      <c r="C4" s="4210"/>
      <c r="D4" s="4211"/>
      <c r="E4" s="4211"/>
      <c r="F4" s="4211"/>
      <c r="G4" s="4211"/>
      <c r="H4" s="4211"/>
      <c r="I4" s="4211"/>
      <c r="J4" s="4212"/>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3235</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1953</v>
      </c>
      <c r="X7" s="1214">
        <f>G2</f>
        <v>0</v>
      </c>
      <c r="Y7" s="1214" t="s">
        <v>1954</v>
      </c>
      <c r="Z7" s="1215">
        <f>G3</f>
        <v>2.5</v>
      </c>
      <c r="AA7" s="1216"/>
      <c r="AB7" s="1216"/>
      <c r="AC7" s="1217"/>
      <c r="AD7" s="1218"/>
      <c r="AE7" s="1218"/>
      <c r="AF7" s="1218"/>
      <c r="AG7" s="1218"/>
      <c r="AH7" s="1218"/>
      <c r="AI7" s="1218"/>
      <c r="AJ7" s="1219"/>
    </row>
    <row r="8" spans="1:36" ht="25.5">
      <c r="A8" s="3297"/>
      <c r="B8" s="170" t="s">
        <v>1955</v>
      </c>
      <c r="C8" s="2026" t="s">
        <v>3525</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4206" t="s">
        <v>1958</v>
      </c>
      <c r="X8" s="4207"/>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7"/>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4208"/>
      <c r="X9" s="3360" t="s">
        <v>3266</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420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3236</v>
      </c>
      <c r="B12" s="3303" t="s">
        <v>3237</v>
      </c>
      <c r="C12" s="3304">
        <v>1</v>
      </c>
      <c r="D12" s="3305" t="s">
        <v>3238</v>
      </c>
      <c r="E12" s="3306" t="s">
        <v>3239</v>
      </c>
      <c r="F12" s="3307"/>
      <c r="G12" s="3308"/>
      <c r="H12" s="3308"/>
      <c r="I12" s="3308"/>
      <c r="J12" s="3309"/>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3240</v>
      </c>
      <c r="B13" s="2034" t="s">
        <v>1980</v>
      </c>
      <c r="C13" s="755">
        <f>ROUND(C16*D16*E16*F16*G16*H16*I16*J16,4)</f>
        <v>0</v>
      </c>
      <c r="D13" s="2035" t="s">
        <v>1981</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1983</v>
      </c>
      <c r="C14" s="2041" t="s">
        <v>1984</v>
      </c>
      <c r="D14" s="1350" t="s">
        <v>1985</v>
      </c>
      <c r="E14" s="27" t="s">
        <v>1986</v>
      </c>
      <c r="F14" s="3310" t="s">
        <v>3241</v>
      </c>
      <c r="G14" s="3310" t="s">
        <v>3241</v>
      </c>
      <c r="H14" s="3310" t="s">
        <v>3241</v>
      </c>
      <c r="I14" s="3310" t="s">
        <v>3241</v>
      </c>
      <c r="J14" s="3310" t="s">
        <v>3241</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3242</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3243</v>
      </c>
      <c r="B17" s="3319" t="s">
        <v>3244</v>
      </c>
      <c r="C17" s="3329">
        <f>ROUND(IF(OR(E2="工业",E2="公共服务"),1,IF(AND(E18=0,E19=0),1,IF(AND(E18=J24,E19=G19),0.8,IF(E19=0,1+E17*(-0.2),1+E17*G17*(-0.2))))),4)</f>
        <v>1</v>
      </c>
      <c r="D17" s="3320" t="s">
        <v>3245</v>
      </c>
      <c r="E17" s="3329">
        <f>ROUND(G18/I18,2)</f>
        <v>0</v>
      </c>
      <c r="F17" s="3320" t="s">
        <v>3248</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3246</v>
      </c>
      <c r="E18" s="3327"/>
      <c r="F18" s="3322" t="s">
        <v>3249</v>
      </c>
      <c r="G18" s="3326">
        <f>ROUND(1-(1/(POWER(1+G24,E18))),4)</f>
        <v>0</v>
      </c>
      <c r="H18" s="3322" t="s">
        <v>3251</v>
      </c>
      <c r="I18" s="3326">
        <f>ROUND(1-(1/(POWER(1+G24,J24))),4)</f>
        <v>0.88249999999999995</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3247</v>
      </c>
      <c r="E19" s="3336"/>
      <c r="F19" s="3337" t="s">
        <v>3250</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4213" t="s">
        <v>3252</v>
      </c>
      <c r="B20" s="167" t="s">
        <v>1992</v>
      </c>
      <c r="C20" s="3323" t="e">
        <f>ROUND(IF(F21="与级别开发程度一致",0,(G21-E21)/C21),0)</f>
        <v>#DIV/0!</v>
      </c>
      <c r="D20" s="3339" t="s">
        <v>1996</v>
      </c>
      <c r="E20" s="3340"/>
      <c r="F20" s="4219" t="s">
        <v>1993</v>
      </c>
      <c r="G20" s="4220"/>
      <c r="H20" s="3324" t="s">
        <v>3511</v>
      </c>
      <c r="I20" s="3324" t="s">
        <v>3512</v>
      </c>
      <c r="J20" s="3325" t="s">
        <v>3513</v>
      </c>
      <c r="K20" s="2047" t="s">
        <v>3514</v>
      </c>
      <c r="L20" s="2047" t="s">
        <v>3515</v>
      </c>
      <c r="M20" s="2047" t="s">
        <v>3563</v>
      </c>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4214"/>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3526</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1998</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45583</v>
      </c>
      <c r="H23" s="3341" t="s">
        <v>3254</v>
      </c>
      <c r="I23" s="3342" t="str">
        <f>IF(H23="季度增幅（自定义）",SUMIF(N25:N28,E2,O25:O28),"")</f>
        <v/>
      </c>
      <c r="J23" s="3443" t="s">
        <v>3253</v>
      </c>
      <c r="K23" s="1125"/>
      <c r="L23" s="2055" t="s">
        <v>2002</v>
      </c>
      <c r="M23" s="1328">
        <f>ROUND(SUMIF(地价!B2:G2,E2,地价!B16:G16),0)</f>
        <v>350</v>
      </c>
      <c r="N23" s="2056" t="s">
        <v>2003</v>
      </c>
      <c r="O23" s="763">
        <f>ROUNDDOWN(DATEDIF(E23,G23,"M")/3,0)</f>
        <v>15</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1</v>
      </c>
      <c r="D24" s="2060" t="s">
        <v>2005</v>
      </c>
      <c r="E24" s="1335">
        <f>存贷款利率!E22/100</f>
        <v>4.3499999999999997E-2</v>
      </c>
      <c r="F24" s="2060" t="s">
        <v>1997</v>
      </c>
      <c r="G24" s="768">
        <f>SUMIF(M30:Q30,E2,M33:Q33)</f>
        <v>5.5E-2</v>
      </c>
      <c r="H24" s="2060" t="s">
        <v>2006</v>
      </c>
      <c r="I24" s="769">
        <f>SUMIF('数据-取费表'!C6:C15,E2,'数据-取费表'!F6:F15)/COUNTIF('数据-取费表'!C6:C15,E2)</f>
        <v>40</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3860</v>
      </c>
      <c r="C25" s="771">
        <f>IF(B25="容积率修正",IF(G3&lt;10,D26,J26),C27)</f>
        <v>0</v>
      </c>
      <c r="D25" s="2067"/>
      <c r="E25" s="2067"/>
      <c r="F25" s="2067"/>
      <c r="G25" s="2067"/>
      <c r="H25" s="2067"/>
      <c r="I25" s="2067"/>
      <c r="J25" s="2068"/>
      <c r="K25" s="1125"/>
      <c r="L25" s="2786"/>
      <c r="M25" s="2786"/>
      <c r="N25" s="2069" t="s">
        <v>2011</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3" t="s">
        <v>3255</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3256</v>
      </c>
      <c r="J26" s="772" t="str">
        <f>IF(G3&gt;=10,D115,"——")</f>
        <v>——</v>
      </c>
      <c r="K26" s="1125"/>
      <c r="L26" s="2786"/>
      <c r="M26" s="2786"/>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1.0478000000000001</v>
      </c>
      <c r="D28" s="2052"/>
      <c r="E28" s="2077"/>
      <c r="F28" s="2077"/>
      <c r="G28" s="2077"/>
      <c r="H28" s="2077"/>
      <c r="I28" s="2077"/>
      <c r="J28" s="2078"/>
      <c r="K28" s="1125"/>
      <c r="L28" s="2786"/>
      <c r="M28" s="2786"/>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3" t="s">
        <v>2021</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9" t="s">
        <v>1934</v>
      </c>
      <c r="M30" s="3350" t="s">
        <v>1988</v>
      </c>
      <c r="N30" s="3350" t="s">
        <v>1989</v>
      </c>
      <c r="O30" s="3350" t="s">
        <v>1990</v>
      </c>
      <c r="P30" s="3350" t="s">
        <v>1991</v>
      </c>
      <c r="Q30" s="3353"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51" t="s">
        <v>1994</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2" t="s">
        <v>1997</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f>'数据-汇总表'!F19</f>
        <v>468.48</v>
      </c>
      <c r="E33" s="773" t="e">
        <f>ROUND(C33*D33/10000,0)</f>
        <v>#DIV/0!</v>
      </c>
      <c r="F33" s="3344" t="s">
        <v>3258</v>
      </c>
      <c r="G33" s="2099"/>
      <c r="H33" s="2099"/>
      <c r="I33" s="2099"/>
      <c r="J33" s="2100"/>
      <c r="K33" s="1119"/>
      <c r="L33" s="3347" t="s">
        <v>3261</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7" t="s">
        <v>3262</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5" t="s">
        <v>3259</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5" t="s">
        <v>3263</v>
      </c>
      <c r="L36" s="3444">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4217"/>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3264</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218"/>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4218"/>
      <c r="B39" s="2041" t="s">
        <v>3257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3265</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1.0478000000000001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一般</v>
      </c>
      <c r="C50" s="2044" t="s">
        <v>3495</v>
      </c>
      <c r="D50" s="1065">
        <f t="shared" ref="D50:D58" si="7">SUMIF($J$49:$N$49,C50,J50:N50)</f>
        <v>1.44E-2</v>
      </c>
      <c r="E50" s="744">
        <f>ROUND(SUM(D50:D58),4)</f>
        <v>4.7800000000000002E-2</v>
      </c>
      <c r="F50" s="1814">
        <f>IF(E2="商业",SUMIF(L1:L12,G2,N1:N12),"——")</f>
        <v>0</v>
      </c>
      <c r="G50" s="1063">
        <v>1.44E-2</v>
      </c>
      <c r="H50" s="1066">
        <f t="shared" ref="H50:H58" si="8">IFERROR(ROUNDDOWN($F$50*I50/2,4),"——")</f>
        <v>0</v>
      </c>
      <c r="I50" s="3365">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t="s">
        <v>3495</v>
      </c>
      <c r="D51" s="1065">
        <f t="shared" si="7"/>
        <v>1.0500000000000001E-2</v>
      </c>
      <c r="E51" s="745"/>
      <c r="F51" s="1814"/>
      <c r="G51" s="1063">
        <v>1.0500000000000001E-2</v>
      </c>
      <c r="H51" s="1066">
        <f t="shared" si="8"/>
        <v>0</v>
      </c>
      <c r="I51" s="3365">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7" t="s">
        <v>3267</v>
      </c>
      <c r="B52" s="2134">
        <f>估价对象房地状况!C19</f>
        <v>0</v>
      </c>
      <c r="C52" s="2044" t="s">
        <v>3495</v>
      </c>
      <c r="D52" s="1065">
        <f t="shared" si="7"/>
        <v>5.7000000000000002E-3</v>
      </c>
      <c r="E52" s="745"/>
      <c r="F52" s="1814"/>
      <c r="G52" s="1063">
        <v>5.7000000000000002E-3</v>
      </c>
      <c r="H52" s="1066">
        <f t="shared" si="8"/>
        <v>0</v>
      </c>
      <c r="I52" s="3365">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2052</v>
      </c>
      <c r="B53" s="2135" t="s">
        <v>2053</v>
      </c>
      <c r="C53" s="2044" t="s">
        <v>3495</v>
      </c>
      <c r="D53" s="1065">
        <f t="shared" si="7"/>
        <v>2.3999999999999998E-3</v>
      </c>
      <c r="E53" s="745"/>
      <c r="F53" s="1814"/>
      <c r="G53" s="1063">
        <v>2.3999999999999998E-3</v>
      </c>
      <c r="H53" s="1066">
        <f t="shared" si="8"/>
        <v>0</v>
      </c>
      <c r="I53" s="3365">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3527</v>
      </c>
      <c r="D54" s="1065">
        <f t="shared" si="7"/>
        <v>0</v>
      </c>
      <c r="E54" s="745"/>
      <c r="F54" s="1814"/>
      <c r="G54" s="1063">
        <v>3.8E-3</v>
      </c>
      <c r="H54" s="1066">
        <f t="shared" si="8"/>
        <v>0</v>
      </c>
      <c r="I54" s="3365">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2055</v>
      </c>
      <c r="B55" s="2136" t="s">
        <v>2056</v>
      </c>
      <c r="C55" s="2044" t="s">
        <v>3495</v>
      </c>
      <c r="D55" s="1065">
        <f t="shared" si="7"/>
        <v>2.3999999999999998E-3</v>
      </c>
      <c r="E55" s="745"/>
      <c r="F55" s="1814"/>
      <c r="G55" s="1063">
        <v>2.3999999999999998E-3</v>
      </c>
      <c r="H55" s="1066">
        <f t="shared" si="8"/>
        <v>0</v>
      </c>
      <c r="I55" s="3365">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2057</v>
      </c>
      <c r="B56" s="1326" t="str">
        <f>估价对象房地状况!C21</f>
        <v>一般</v>
      </c>
      <c r="C56" s="2044" t="s">
        <v>3495</v>
      </c>
      <c r="D56" s="1065">
        <f t="shared" si="7"/>
        <v>2.3999999999999998E-3</v>
      </c>
      <c r="E56" s="745"/>
      <c r="F56" s="1814"/>
      <c r="G56" s="1063">
        <v>2.3999999999999998E-3</v>
      </c>
      <c r="H56" s="1066">
        <f t="shared" si="8"/>
        <v>0</v>
      </c>
      <c r="I56" s="3365">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t="s">
        <v>3528</v>
      </c>
      <c r="D57" s="1065">
        <f t="shared" si="7"/>
        <v>7.6E-3</v>
      </c>
      <c r="E57" s="745"/>
      <c r="F57" s="1814"/>
      <c r="G57" s="1063">
        <v>3.8E-3</v>
      </c>
      <c r="H57" s="1066">
        <f t="shared" si="8"/>
        <v>0</v>
      </c>
      <c r="I57" s="3365">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一般</v>
      </c>
      <c r="C58" s="2044" t="s">
        <v>3495</v>
      </c>
      <c r="D58" s="1065">
        <f t="shared" si="7"/>
        <v>2.3999999999999998E-3</v>
      </c>
      <c r="E58" s="746"/>
      <c r="F58" s="1814"/>
      <c r="G58" s="1063">
        <v>2.3999999999999998E-3</v>
      </c>
      <c r="H58" s="1066">
        <f t="shared" si="8"/>
        <v>0</v>
      </c>
      <c r="I58" s="3366">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3267</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一般</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3267</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一般</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3268</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2606</v>
      </c>
      <c r="B91" s="3376">
        <f>1+E93</f>
        <v>1.0369999999999999</v>
      </c>
      <c r="C91" s="3369"/>
      <c r="D91" s="3370"/>
      <c r="E91" s="1814"/>
      <c r="F91" s="1814"/>
      <c r="G91" s="3371"/>
      <c r="H91" s="3372"/>
      <c r="I91" s="3373"/>
      <c r="J91" s="3374"/>
      <c r="K91" s="3374"/>
      <c r="L91" s="3374"/>
      <c r="M91" s="3374"/>
      <c r="N91" s="3374"/>
    </row>
    <row r="92" spans="1:37" ht="24.75">
      <c r="A92" s="3377" t="s">
        <v>3269</v>
      </c>
      <c r="B92" s="3364"/>
      <c r="C92" s="3364" t="s">
        <v>3278</v>
      </c>
      <c r="D92" s="3364" t="s">
        <v>3279</v>
      </c>
      <c r="E92" s="3346" t="s">
        <v>3280</v>
      </c>
      <c r="F92" s="3379" t="s">
        <v>3281</v>
      </c>
      <c r="G92" s="3364" t="s">
        <v>3282</v>
      </c>
      <c r="H92" s="3386" t="s">
        <v>3285</v>
      </c>
      <c r="I92" s="3364" t="s">
        <v>3286</v>
      </c>
      <c r="J92" s="3387" t="s">
        <v>3287</v>
      </c>
      <c r="K92" s="3387" t="s">
        <v>3288</v>
      </c>
      <c r="L92" s="3387" t="s">
        <v>3289</v>
      </c>
      <c r="M92" s="3387" t="s">
        <v>3290</v>
      </c>
      <c r="N92" s="3387" t="s">
        <v>3291</v>
      </c>
    </row>
    <row r="93" spans="1:37" ht="24">
      <c r="A93" s="3367" t="s">
        <v>3270</v>
      </c>
      <c r="B93" s="1306"/>
      <c r="C93" s="2044" t="s">
        <v>3527</v>
      </c>
      <c r="D93" s="3364">
        <f>SUMIF($J$92:$N$92,C93,J93:N93)</f>
        <v>0</v>
      </c>
      <c r="E93" s="3380">
        <f>ROUND(SUM(D93:D101),4)</f>
        <v>3.6999999999999998E-2</v>
      </c>
      <c r="F93" s="1814" t="str">
        <f>IF(E2="公共服务",SUMIF(L1:L12,G2,N1:N12),"——")</f>
        <v>——</v>
      </c>
      <c r="G93" s="3371">
        <v>1.2500000000000001E-2</v>
      </c>
      <c r="H93" s="3419" t="str">
        <f>IFERROR(ROUNDDOWN($F$93*I93/2,4),"——")</f>
        <v>——</v>
      </c>
      <c r="I93" s="3365">
        <v>0.25</v>
      </c>
      <c r="J93" s="3343">
        <f t="shared" ref="J93:J101" si="27">K93+$G93</f>
        <v>2.5000000000000001E-2</v>
      </c>
      <c r="K93" s="3343">
        <f t="shared" ref="K93:K101" si="28">$L93+$G93</f>
        <v>1.2500000000000001E-2</v>
      </c>
      <c r="L93" s="3343">
        <v>0</v>
      </c>
      <c r="M93" s="3343">
        <f t="shared" ref="M93:N101" si="29">L93-$G93</f>
        <v>-1.2500000000000001E-2</v>
      </c>
      <c r="N93" s="3343">
        <f t="shared" si="29"/>
        <v>-2.5000000000000001E-2</v>
      </c>
    </row>
    <row r="94" spans="1:37" ht="14.25">
      <c r="A94" s="3377" t="s">
        <v>3271</v>
      </c>
      <c r="B94" s="3368" t="str">
        <f>估价对象房地状况!C18</f>
        <v>较好</v>
      </c>
      <c r="C94" s="2044" t="s">
        <v>3495</v>
      </c>
      <c r="D94" s="3364">
        <f t="shared" ref="D94:D101" si="30">SUMIF($J$60:$N$60,C94,J94:N94)</f>
        <v>1.2999999999999999E-2</v>
      </c>
      <c r="E94" s="3381"/>
      <c r="F94" s="1814"/>
      <c r="G94" s="3371">
        <v>1.2999999999999999E-2</v>
      </c>
      <c r="H94" s="3419" t="str">
        <f>IFERROR(ROUNDDOWN($F$93*I94/2,4),"——")</f>
        <v>——</v>
      </c>
      <c r="I94" s="3365">
        <v>0.26</v>
      </c>
      <c r="J94" s="3343">
        <f t="shared" si="27"/>
        <v>2.5999999999999999E-2</v>
      </c>
      <c r="K94" s="3343">
        <f t="shared" si="28"/>
        <v>1.2999999999999999E-2</v>
      </c>
      <c r="L94" s="3343">
        <v>0</v>
      </c>
      <c r="M94" s="3343">
        <f t="shared" si="29"/>
        <v>-1.2999999999999999E-2</v>
      </c>
      <c r="N94" s="3343">
        <f t="shared" si="29"/>
        <v>-2.5999999999999999E-2</v>
      </c>
    </row>
    <row r="95" spans="1:37" ht="36">
      <c r="A95" s="3367" t="s">
        <v>3267</v>
      </c>
      <c r="B95" s="3368">
        <f>估价对象房地状况!C19</f>
        <v>0</v>
      </c>
      <c r="C95" s="2044" t="s">
        <v>3495</v>
      </c>
      <c r="D95" s="3364">
        <f t="shared" si="30"/>
        <v>5.4999999999999997E-3</v>
      </c>
      <c r="E95" s="3381"/>
      <c r="F95" s="1814"/>
      <c r="G95" s="3371">
        <v>5.4999999999999997E-3</v>
      </c>
      <c r="H95" s="3419" t="str">
        <f t="shared" ref="H95:H101" si="31">IFERROR(ROUNDDOWN($F$93*I95/2,4),"——")</f>
        <v>——</v>
      </c>
      <c r="I95" s="3365">
        <v>0.11</v>
      </c>
      <c r="J95" s="3343">
        <f t="shared" si="27"/>
        <v>1.0999999999999999E-2</v>
      </c>
      <c r="K95" s="3343">
        <f t="shared" si="28"/>
        <v>5.4999999999999997E-3</v>
      </c>
      <c r="L95" s="3343">
        <v>0</v>
      </c>
      <c r="M95" s="3343">
        <f t="shared" si="29"/>
        <v>-5.4999999999999997E-3</v>
      </c>
      <c r="N95" s="3343">
        <f t="shared" si="29"/>
        <v>-1.0999999999999999E-2</v>
      </c>
    </row>
    <row r="96" spans="1:37" ht="36.75">
      <c r="A96" s="3377" t="s">
        <v>3272</v>
      </c>
      <c r="B96" s="3383" t="s">
        <v>3283</v>
      </c>
      <c r="C96" s="2044" t="s">
        <v>3527</v>
      </c>
      <c r="D96" s="3364">
        <f t="shared" si="30"/>
        <v>0</v>
      </c>
      <c r="E96" s="3381"/>
      <c r="F96" s="1814"/>
      <c r="G96" s="3371">
        <v>2.5000000000000001E-3</v>
      </c>
      <c r="H96" s="3419" t="str">
        <f t="shared" si="31"/>
        <v>——</v>
      </c>
      <c r="I96" s="3365">
        <v>0.05</v>
      </c>
      <c r="J96" s="3343">
        <f t="shared" si="27"/>
        <v>5.0000000000000001E-3</v>
      </c>
      <c r="K96" s="3343">
        <f t="shared" si="28"/>
        <v>2.5000000000000001E-3</v>
      </c>
      <c r="L96" s="3343">
        <v>0</v>
      </c>
      <c r="M96" s="3343">
        <f t="shared" si="29"/>
        <v>-2.5000000000000001E-3</v>
      </c>
      <c r="N96" s="3343">
        <f t="shared" si="29"/>
        <v>-5.0000000000000001E-3</v>
      </c>
    </row>
    <row r="97" spans="1:14" ht="24">
      <c r="A97" s="3377" t="s">
        <v>3273</v>
      </c>
      <c r="B97" s="3368">
        <f>估价对象房地状况!C24</f>
        <v>0</v>
      </c>
      <c r="C97" s="2044" t="s">
        <v>3527</v>
      </c>
      <c r="D97" s="3364">
        <f t="shared" si="30"/>
        <v>0</v>
      </c>
      <c r="E97" s="3381"/>
      <c r="F97" s="1814"/>
      <c r="G97" s="3371">
        <v>2.5000000000000001E-3</v>
      </c>
      <c r="H97" s="3419" t="str">
        <f t="shared" si="31"/>
        <v>——</v>
      </c>
      <c r="I97" s="3365">
        <v>0.05</v>
      </c>
      <c r="J97" s="3343">
        <f t="shared" si="27"/>
        <v>5.0000000000000001E-3</v>
      </c>
      <c r="K97" s="3343">
        <f t="shared" si="28"/>
        <v>2.5000000000000001E-3</v>
      </c>
      <c r="L97" s="3343">
        <v>0</v>
      </c>
      <c r="M97" s="3343">
        <f t="shared" si="29"/>
        <v>-2.5000000000000001E-3</v>
      </c>
      <c r="N97" s="3343">
        <f t="shared" si="29"/>
        <v>-5.0000000000000001E-3</v>
      </c>
    </row>
    <row r="98" spans="1:14" ht="24">
      <c r="A98" s="3377" t="s">
        <v>3274</v>
      </c>
      <c r="B98" s="3384" t="s">
        <v>3284</v>
      </c>
      <c r="C98" s="2044" t="s">
        <v>3495</v>
      </c>
      <c r="D98" s="3364">
        <f t="shared" si="30"/>
        <v>3.0000000000000001E-3</v>
      </c>
      <c r="E98" s="3381"/>
      <c r="F98" s="1814"/>
      <c r="G98" s="3371">
        <v>3.0000000000000001E-3</v>
      </c>
      <c r="H98" s="3419" t="str">
        <f t="shared" si="31"/>
        <v>——</v>
      </c>
      <c r="I98" s="3365">
        <v>0.06</v>
      </c>
      <c r="J98" s="3343">
        <f t="shared" si="27"/>
        <v>6.0000000000000001E-3</v>
      </c>
      <c r="K98" s="3343">
        <f t="shared" si="28"/>
        <v>3.0000000000000001E-3</v>
      </c>
      <c r="L98" s="3343">
        <v>0</v>
      </c>
      <c r="M98" s="3343">
        <f t="shared" si="29"/>
        <v>-3.0000000000000001E-3</v>
      </c>
      <c r="N98" s="3343">
        <f t="shared" si="29"/>
        <v>-6.0000000000000001E-3</v>
      </c>
    </row>
    <row r="99" spans="1:14" ht="24">
      <c r="A99" s="3377" t="s">
        <v>3275</v>
      </c>
      <c r="B99" s="3368" t="str">
        <f>估价对象房地状况!C21</f>
        <v>一般</v>
      </c>
      <c r="C99" s="2044" t="s">
        <v>3495</v>
      </c>
      <c r="D99" s="3364">
        <f t="shared" si="30"/>
        <v>3.0000000000000001E-3</v>
      </c>
      <c r="E99" s="3381"/>
      <c r="F99" s="1814"/>
      <c r="G99" s="3371">
        <v>3.0000000000000001E-3</v>
      </c>
      <c r="H99" s="3419" t="str">
        <f t="shared" si="31"/>
        <v>——</v>
      </c>
      <c r="I99" s="3365">
        <v>0.06</v>
      </c>
      <c r="J99" s="3343">
        <f t="shared" si="27"/>
        <v>6.0000000000000001E-3</v>
      </c>
      <c r="K99" s="3343">
        <f t="shared" si="28"/>
        <v>3.0000000000000001E-3</v>
      </c>
      <c r="L99" s="3343">
        <v>0</v>
      </c>
      <c r="M99" s="3343">
        <f t="shared" si="29"/>
        <v>-3.0000000000000001E-3</v>
      </c>
      <c r="N99" s="3343">
        <f t="shared" si="29"/>
        <v>-6.0000000000000001E-3</v>
      </c>
    </row>
    <row r="100" spans="1:14" ht="24">
      <c r="A100" s="3377" t="s">
        <v>3276</v>
      </c>
      <c r="B100" s="3368" t="str">
        <f>估价对象房地状况!C22</f>
        <v>七通</v>
      </c>
      <c r="C100" s="2044" t="s">
        <v>3528</v>
      </c>
      <c r="D100" s="3364">
        <f t="shared" si="30"/>
        <v>8.9999999999999993E-3</v>
      </c>
      <c r="E100" s="3381"/>
      <c r="F100" s="1814"/>
      <c r="G100" s="3371">
        <v>4.4999999999999997E-3</v>
      </c>
      <c r="H100" s="3419" t="str">
        <f t="shared" si="31"/>
        <v>——</v>
      </c>
      <c r="I100" s="3365">
        <v>0.09</v>
      </c>
      <c r="J100" s="3343">
        <f t="shared" si="27"/>
        <v>8.9999999999999993E-3</v>
      </c>
      <c r="K100" s="3343">
        <f t="shared" si="28"/>
        <v>4.4999999999999997E-3</v>
      </c>
      <c r="L100" s="3343">
        <v>0</v>
      </c>
      <c r="M100" s="3343">
        <f t="shared" si="29"/>
        <v>-4.4999999999999997E-3</v>
      </c>
      <c r="N100" s="3343">
        <f t="shared" si="29"/>
        <v>-8.9999999999999993E-3</v>
      </c>
    </row>
    <row r="101" spans="1:14" ht="24.75" thickBot="1">
      <c r="A101" s="3378" t="s">
        <v>3277</v>
      </c>
      <c r="B101" s="3385" t="str">
        <f>估价对象房地状况!C20</f>
        <v>一般</v>
      </c>
      <c r="C101" s="2044" t="s">
        <v>3495</v>
      </c>
      <c r="D101" s="3364">
        <f t="shared" si="30"/>
        <v>3.5000000000000001E-3</v>
      </c>
      <c r="E101" s="3382"/>
      <c r="F101" s="1814"/>
      <c r="G101" s="3371">
        <v>3.5000000000000001E-3</v>
      </c>
      <c r="H101" s="3419" t="str">
        <f t="shared" si="31"/>
        <v>——</v>
      </c>
      <c r="I101" s="3366">
        <v>7.0000000000000007E-2</v>
      </c>
      <c r="J101" s="3343">
        <f t="shared" si="27"/>
        <v>7.0000000000000001E-3</v>
      </c>
      <c r="K101" s="3343">
        <f t="shared" si="28"/>
        <v>3.5000000000000001E-3</v>
      </c>
      <c r="L101" s="3343">
        <v>0</v>
      </c>
      <c r="M101" s="3343">
        <f t="shared" si="29"/>
        <v>-3.5000000000000001E-3</v>
      </c>
      <c r="N101" s="3343">
        <f t="shared" si="29"/>
        <v>-7.0000000000000001E-3</v>
      </c>
    </row>
    <row r="103" spans="1:14">
      <c r="A103" s="4215" t="s">
        <v>3292</v>
      </c>
      <c r="B103" s="4215"/>
      <c r="C103" s="4215"/>
      <c r="D103" s="4215"/>
      <c r="E103" s="4215"/>
      <c r="F103" s="4215"/>
      <c r="G103" s="4215"/>
      <c r="H103" s="4215"/>
      <c r="I103" s="4215"/>
      <c r="J103" s="4215"/>
      <c r="K103" s="3388"/>
      <c r="L103" s="3388"/>
      <c r="M103" s="3388"/>
      <c r="N103" s="3388"/>
    </row>
    <row r="104" spans="1:14">
      <c r="A104" s="4216" t="s">
        <v>3293</v>
      </c>
      <c r="B104" s="4216" t="s">
        <v>3294</v>
      </c>
      <c r="C104" s="3389" t="s">
        <v>3295</v>
      </c>
      <c r="D104" s="3390"/>
      <c r="E104" s="3390"/>
      <c r="F104" s="3390"/>
      <c r="G104" s="3390"/>
      <c r="H104" s="3390"/>
      <c r="I104" s="3390"/>
      <c r="J104" s="3391"/>
      <c r="K104" s="3392"/>
      <c r="L104" s="3392"/>
      <c r="M104" s="3392"/>
      <c r="N104" s="3392"/>
    </row>
    <row r="105" spans="1:14">
      <c r="A105" s="4216"/>
      <c r="B105" s="4216"/>
      <c r="C105" s="3393" t="s">
        <v>3296</v>
      </c>
      <c r="D105" s="3393" t="s">
        <v>3297</v>
      </c>
      <c r="E105" s="3393" t="s">
        <v>3298</v>
      </c>
      <c r="F105" s="3393" t="s">
        <v>3299</v>
      </c>
      <c r="G105" s="3393" t="s">
        <v>3300</v>
      </c>
      <c r="H105" s="3393" t="s">
        <v>3301</v>
      </c>
      <c r="I105" s="3393" t="s">
        <v>3302</v>
      </c>
      <c r="J105" s="3393" t="s">
        <v>3303</v>
      </c>
      <c r="K105" s="3393" t="s">
        <v>3304</v>
      </c>
      <c r="L105" s="3393" t="s">
        <v>3305</v>
      </c>
      <c r="M105" s="3393" t="s">
        <v>3306</v>
      </c>
      <c r="N105" s="3393" t="s">
        <v>3307</v>
      </c>
    </row>
    <row r="106" spans="1:14">
      <c r="A106" s="4202" t="s">
        <v>3308</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420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420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420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420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4203"/>
      <c r="B111" s="3393" t="s">
        <v>3266</v>
      </c>
      <c r="C111" s="3394">
        <f>$I$3</f>
        <v>1</v>
      </c>
      <c r="D111" s="3394">
        <f t="shared" ref="D111:M111" si="32">$I$3</f>
        <v>1</v>
      </c>
      <c r="E111" s="3394">
        <f t="shared" si="32"/>
        <v>1</v>
      </c>
      <c r="F111" s="3394">
        <f t="shared" si="32"/>
        <v>1</v>
      </c>
      <c r="G111" s="3394">
        <f t="shared" si="32"/>
        <v>1</v>
      </c>
      <c r="H111" s="3394">
        <f t="shared" si="32"/>
        <v>1</v>
      </c>
      <c r="I111" s="3394">
        <f t="shared" si="32"/>
        <v>1</v>
      </c>
      <c r="J111" s="3394">
        <f t="shared" si="32"/>
        <v>1</v>
      </c>
      <c r="K111" s="3394">
        <f t="shared" si="32"/>
        <v>1</v>
      </c>
      <c r="L111" s="3394">
        <f t="shared" si="32"/>
        <v>1</v>
      </c>
      <c r="M111" s="3394">
        <f t="shared" si="32"/>
        <v>1</v>
      </c>
      <c r="N111" s="3394">
        <f>$I$3</f>
        <v>1</v>
      </c>
    </row>
    <row r="112" spans="1:14">
      <c r="A112" s="4204"/>
      <c r="B112" s="3393">
        <v>6</v>
      </c>
      <c r="C112" s="3386">
        <f>(-0.5556*(C111^2)-0.2719*C111+8944)*(10^(-4))</f>
        <v>0.89431725000000006</v>
      </c>
      <c r="D112" s="3386">
        <f>(-0.5556*(D111^2)-0.2719*D111+8944)*(10^(-4))</f>
        <v>0.89431725000000006</v>
      </c>
      <c r="E112" s="3386">
        <f>(-0.7912*(E111^2)-11.3794*E111+8482)*(10^(-4))</f>
        <v>0.84698294000000007</v>
      </c>
      <c r="F112" s="3386">
        <f t="shared" ref="F112:I112" si="33">(-0.7912*(F111^2)-11.3794*F111+8482)*(10^(-4))</f>
        <v>0.84698294000000007</v>
      </c>
      <c r="G112" s="3386">
        <f t="shared" si="33"/>
        <v>0.84698294000000007</v>
      </c>
      <c r="H112" s="3386">
        <f t="shared" si="33"/>
        <v>0.84698294000000007</v>
      </c>
      <c r="I112" s="3386">
        <f t="shared" si="33"/>
        <v>0.84698294000000007</v>
      </c>
      <c r="J112" s="3386">
        <f>(-0.989*(J111^2)-63.78*J111+7771)*(10^(-4))</f>
        <v>0.77062310000000001</v>
      </c>
      <c r="K112" s="3386">
        <f t="shared" ref="K112:N112" si="34">(-0.989*(K111^2)-63.78*K111+7771)*(10^(-4))</f>
        <v>0.77062310000000001</v>
      </c>
      <c r="L112" s="3386">
        <f t="shared" si="34"/>
        <v>0.77062310000000001</v>
      </c>
      <c r="M112" s="3386">
        <f t="shared" si="34"/>
        <v>0.77062310000000001</v>
      </c>
      <c r="N112" s="3386">
        <f t="shared" si="34"/>
        <v>0.77062310000000001</v>
      </c>
    </row>
    <row r="113" spans="1:14">
      <c r="A113" s="4205" t="s">
        <v>3309</v>
      </c>
      <c r="B113" s="4205"/>
      <c r="C113" s="4205"/>
      <c r="D113" s="4205"/>
      <c r="E113" s="4205"/>
      <c r="F113" s="4205"/>
      <c r="G113" s="4205"/>
      <c r="H113" s="4205"/>
      <c r="I113" s="4205"/>
      <c r="J113" s="420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3310</v>
      </c>
      <c r="B116" s="3414">
        <f>G3</f>
        <v>2.5</v>
      </c>
      <c r="C116" s="3398" t="s">
        <v>3311</v>
      </c>
      <c r="D116" s="3399">
        <f>SUMPRODUCT((A118:A122=F116)*(B117:M117=H116)*B118:M122)</f>
        <v>0</v>
      </c>
      <c r="E116" s="2000" t="s">
        <v>3312</v>
      </c>
      <c r="F116" s="3400" t="str">
        <f>E2</f>
        <v>商业</v>
      </c>
      <c r="G116" s="2000" t="s">
        <v>3313</v>
      </c>
      <c r="H116" s="3400">
        <f>G2</f>
        <v>0</v>
      </c>
      <c r="I116" s="2000"/>
      <c r="J116" s="3401"/>
      <c r="K116" s="3401"/>
      <c r="L116" s="3401"/>
      <c r="M116" s="3401"/>
      <c r="N116" s="3396"/>
    </row>
    <row r="117" spans="1:14">
      <c r="A117" s="3402"/>
      <c r="B117" s="3403" t="s">
        <v>3314</v>
      </c>
      <c r="C117" s="3403" t="s">
        <v>3315</v>
      </c>
      <c r="D117" s="3403" t="s">
        <v>3316</v>
      </c>
      <c r="E117" s="3404" t="s">
        <v>3317</v>
      </c>
      <c r="F117" s="3404" t="s">
        <v>3318</v>
      </c>
      <c r="G117" s="3404" t="s">
        <v>3319</v>
      </c>
      <c r="H117" s="3405" t="s">
        <v>3320</v>
      </c>
      <c r="I117" s="3405" t="s">
        <v>3321</v>
      </c>
      <c r="J117" s="3406" t="s">
        <v>3322</v>
      </c>
      <c r="K117" s="3406" t="s">
        <v>3323</v>
      </c>
      <c r="L117" s="3406" t="s">
        <v>3324</v>
      </c>
      <c r="M117" s="3407" t="s">
        <v>3325</v>
      </c>
      <c r="N117" s="3396"/>
    </row>
    <row r="118" spans="1:14">
      <c r="A118" s="3408" t="s">
        <v>3326</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3327</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3328</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3329</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2606</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797" t="str">
        <f>IF(项目基本情况!B9="房地产市场价值","估价结果一览表","结果表-2")</f>
        <v>估价结果一览表</v>
      </c>
      <c r="B1" s="3797"/>
      <c r="C1" s="3797"/>
      <c r="D1" s="3797"/>
      <c r="E1" s="3797"/>
      <c r="F1" s="3797"/>
      <c r="G1" s="3797"/>
      <c r="H1" s="3797"/>
      <c r="I1" s="3797"/>
    </row>
    <row r="2" spans="1:9" ht="30" customHeight="1" thickTop="1">
      <c r="A2" s="3798" t="s">
        <v>928</v>
      </c>
      <c r="B2" s="3798" t="s">
        <v>929</v>
      </c>
      <c r="C2" s="3798" t="s">
        <v>930</v>
      </c>
      <c r="D2" s="3798" t="str">
        <f>结果表!D116</f>
        <v>出让国有建设用地使用权价值</v>
      </c>
      <c r="E2" s="3798"/>
      <c r="F2" s="3798" t="str">
        <f>结果表!F116</f>
        <v>在建建筑物价值</v>
      </c>
      <c r="G2" s="3798"/>
      <c r="H2" s="3798" t="str">
        <f>IF(项目基本情况!B9="房地产市场价值","房地产市场价值","房地产价值")</f>
        <v>房地产市场价值</v>
      </c>
      <c r="I2" s="3798"/>
    </row>
    <row r="3" spans="1:9" ht="15">
      <c r="A3" s="3793"/>
      <c r="B3" s="3793"/>
      <c r="C3" s="3793"/>
      <c r="D3" s="854" t="s">
        <v>925</v>
      </c>
      <c r="E3" s="854" t="s">
        <v>931</v>
      </c>
      <c r="F3" s="854" t="s">
        <v>925</v>
      </c>
      <c r="G3" s="854" t="s">
        <v>926</v>
      </c>
      <c r="H3" s="854" t="s">
        <v>925</v>
      </c>
      <c r="I3" s="854" t="s">
        <v>926</v>
      </c>
    </row>
    <row r="4" spans="1:9" ht="15">
      <c r="A4" s="1505" t="str">
        <f>项目基本情况!S2</f>
        <v>北京市房地产</v>
      </c>
      <c r="B4" s="854">
        <f>项目基本情况!C17</f>
        <v>468.48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793" t="s">
        <v>927</v>
      </c>
      <c r="B5" s="3793"/>
      <c r="C5" s="3793"/>
      <c r="D5" s="3793" t="e">
        <f ca="1">结果表!D119</f>
        <v>#REF!</v>
      </c>
      <c r="E5" s="3793"/>
      <c r="F5" s="3793" t="e">
        <f ca="1">结果表!F119</f>
        <v>#REF!</v>
      </c>
      <c r="G5" s="3793"/>
      <c r="H5" s="3793" t="e">
        <f ca="1">结果表!H119</f>
        <v>#REF!</v>
      </c>
      <c r="I5" s="3793"/>
    </row>
    <row r="6" spans="1:9" ht="15.75">
      <c r="A6" s="3792" t="str">
        <f>结果表!A120</f>
        <v/>
      </c>
      <c r="B6" s="3792"/>
      <c r="C6" s="3792"/>
      <c r="D6" s="3792">
        <f>结果表!D120</f>
        <v>0</v>
      </c>
      <c r="E6" s="3792"/>
      <c r="F6" s="3792"/>
      <c r="G6" s="3792"/>
      <c r="H6" s="3792"/>
      <c r="I6" s="3792"/>
    </row>
    <row r="7" spans="1:9" ht="15">
      <c r="A7" s="3793" t="s">
        <v>927</v>
      </c>
      <c r="B7" s="3793"/>
      <c r="C7" s="3793"/>
      <c r="D7" s="3794" t="str">
        <f>结果表!D121</f>
        <v>零元整</v>
      </c>
      <c r="E7" s="3795"/>
      <c r="F7" s="3795"/>
      <c r="G7" s="3795"/>
      <c r="H7" s="3795"/>
      <c r="I7" s="3796"/>
    </row>
    <row r="8" spans="1:9" ht="15.75">
      <c r="A8" s="3792" t="str">
        <f>结果表!A122</f>
        <v/>
      </c>
      <c r="B8" s="3792"/>
      <c r="C8" s="3792"/>
      <c r="D8" s="3792" t="e">
        <f ca="1">结果表!D122</f>
        <v>#REF!</v>
      </c>
      <c r="E8" s="3792"/>
      <c r="F8" s="3792"/>
      <c r="G8" s="3792"/>
      <c r="H8" s="3792"/>
      <c r="I8" s="3792"/>
    </row>
    <row r="9" spans="1:9" ht="15">
      <c r="A9" s="3793" t="s">
        <v>927</v>
      </c>
      <c r="B9" s="3793"/>
      <c r="C9" s="3793"/>
      <c r="D9" s="3793" t="e">
        <f ca="1">结果表!D123</f>
        <v>#REF!</v>
      </c>
      <c r="E9" s="3793"/>
      <c r="F9" s="3793"/>
      <c r="G9" s="3793"/>
      <c r="H9" s="3793"/>
      <c r="I9" s="3793"/>
    </row>
    <row r="10" spans="1:9" ht="15.75">
      <c r="A10" s="3792" t="str">
        <f>结果表!A124</f>
        <v/>
      </c>
      <c r="B10" s="3792"/>
      <c r="C10" s="3792"/>
      <c r="D10" s="3792" t="str">
        <f>结果表!D124</f>
        <v>——</v>
      </c>
      <c r="E10" s="3792"/>
      <c r="F10" s="3792"/>
      <c r="G10" s="3792"/>
      <c r="H10" s="3792"/>
      <c r="I10" s="3792"/>
    </row>
    <row r="11" spans="1:9" ht="15">
      <c r="A11" s="3793" t="s">
        <v>927</v>
      </c>
      <c r="B11" s="3793"/>
      <c r="C11" s="3793"/>
      <c r="D11" s="3793" t="e">
        <f>结果表!D125</f>
        <v>#VALUE!</v>
      </c>
      <c r="E11" s="3793"/>
      <c r="F11" s="3793"/>
      <c r="G11" s="3793"/>
      <c r="H11" s="3793"/>
      <c r="I11" s="3793"/>
    </row>
    <row r="12" spans="1:9" ht="15.75">
      <c r="A12" s="3792" t="str">
        <f>结果表!A126</f>
        <v/>
      </c>
      <c r="B12" s="3792"/>
      <c r="C12" s="3792"/>
      <c r="D12" s="3792" t="str">
        <f>结果表!D126</f>
        <v>——</v>
      </c>
      <c r="E12" s="3792"/>
      <c r="F12" s="3792"/>
      <c r="G12" s="3792"/>
      <c r="H12" s="3792"/>
      <c r="I12" s="3792"/>
    </row>
    <row r="13" spans="1:9" ht="15.75" thickBot="1">
      <c r="A13" s="3790" t="s">
        <v>927</v>
      </c>
      <c r="B13" s="3790"/>
      <c r="C13" s="3790"/>
      <c r="D13" s="3790" t="e">
        <f>结果表!D127</f>
        <v>#VALUE!</v>
      </c>
      <c r="E13" s="3790"/>
      <c r="F13" s="3790"/>
      <c r="G13" s="3790"/>
      <c r="H13" s="3790"/>
      <c r="I13" s="3790"/>
    </row>
    <row r="14" spans="1:9" ht="15" thickTop="1">
      <c r="A14" s="3791" t="s">
        <v>932</v>
      </c>
      <c r="B14" s="3791"/>
      <c r="C14" s="3791"/>
      <c r="D14" s="3791"/>
      <c r="E14" s="3791"/>
      <c r="F14" s="3791"/>
      <c r="G14" s="3791"/>
      <c r="H14" s="3791"/>
      <c r="I14" s="379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zoomScale="80" zoomScaleNormal="70" zoomScaleSheetLayoutView="80" workbookViewId="0">
      <selection activeCell="A44" sqref="A44:XFD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3499</v>
      </c>
      <c r="E1" s="3424" t="s">
        <v>3559</v>
      </c>
      <c r="F1" s="1879" t="s">
        <v>3892</v>
      </c>
      <c r="G1" s="1235" t="s">
        <v>1661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2233.0099</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47665</v>
      </c>
      <c r="C3" s="354" t="s">
        <v>1663</v>
      </c>
      <c r="D3" s="353">
        <f>IF(D1="",'数据-汇总表'!E3,SUMIF('数据-汇总表'!$C19:$C33,D1,'数据-汇总表'!$E19:$E33))</f>
        <v>468.48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1767</v>
      </c>
      <c r="B4" s="356"/>
      <c r="C4" s="3984" t="s">
        <v>1665</v>
      </c>
      <c r="D4" s="3985"/>
      <c r="E4" s="3986" t="s">
        <v>1666</v>
      </c>
      <c r="F4" s="3987"/>
      <c r="G4" s="3984" t="s">
        <v>1667</v>
      </c>
      <c r="H4" s="3985"/>
      <c r="I4" s="3984" t="s">
        <v>1668</v>
      </c>
      <c r="J4" s="3985"/>
      <c r="K4" s="559" t="s">
        <v>1772</v>
      </c>
      <c r="L4" s="2713"/>
      <c r="M4" s="2714"/>
      <c r="N4" s="2714"/>
      <c r="O4" s="2714"/>
      <c r="P4" s="3988" t="s">
        <v>1670</v>
      </c>
      <c r="Q4" s="3989"/>
      <c r="R4" s="3994" t="s">
        <v>1666</v>
      </c>
      <c r="S4" s="3995"/>
      <c r="T4" s="3994" t="s">
        <v>1667</v>
      </c>
      <c r="U4" s="3995"/>
      <c r="V4" s="3979" t="s">
        <v>1668</v>
      </c>
      <c r="W4" s="3979"/>
      <c r="X4" s="3637"/>
      <c r="Y4" s="3994" t="s">
        <v>1670</v>
      </c>
      <c r="Z4" s="3995"/>
      <c r="AA4" s="3981" t="s">
        <v>1666</v>
      </c>
      <c r="AB4" s="3979" t="s">
        <v>1667</v>
      </c>
      <c r="AC4" s="3981" t="s">
        <v>1668</v>
      </c>
    </row>
    <row r="5" spans="1:29" ht="15">
      <c r="A5" s="358"/>
      <c r="B5" s="359"/>
      <c r="C5" s="4007" t="s">
        <v>4815</v>
      </c>
      <c r="D5" s="4008"/>
      <c r="E5" s="4002" t="str">
        <f>售价!A2</f>
        <v>上林溪</v>
      </c>
      <c r="F5" s="4003"/>
      <c r="G5" s="4002" t="str">
        <f>售价!A3</f>
        <v>昌发展云智中心</v>
      </c>
      <c r="H5" s="4003"/>
      <c r="I5" s="4009" t="str">
        <f>售价!A4</f>
        <v>京投银泰公园悦府</v>
      </c>
      <c r="J5" s="4008"/>
      <c r="K5" s="559"/>
      <c r="L5" s="2713"/>
      <c r="M5" s="2714"/>
      <c r="N5" s="2714"/>
      <c r="O5" s="2714"/>
      <c r="P5" s="3990"/>
      <c r="Q5" s="3991"/>
      <c r="R5" s="3996"/>
      <c r="S5" s="3997"/>
      <c r="T5" s="3996"/>
      <c r="U5" s="3997"/>
      <c r="V5" s="3979"/>
      <c r="W5" s="3979"/>
      <c r="X5" s="3637"/>
      <c r="Y5" s="3996"/>
      <c r="Z5" s="3997"/>
      <c r="AA5" s="3982"/>
      <c r="AB5" s="3979"/>
      <c r="AC5" s="3982"/>
    </row>
    <row r="6" spans="1:29" ht="15.75" thickBot="1">
      <c r="A6" s="360"/>
      <c r="B6" s="361"/>
      <c r="C6" s="4000" t="s">
        <v>1675</v>
      </c>
      <c r="D6" s="4001"/>
      <c r="E6" s="4010" t="s">
        <v>1675</v>
      </c>
      <c r="F6" s="4011"/>
      <c r="G6" s="4000" t="s">
        <v>1675</v>
      </c>
      <c r="H6" s="4001"/>
      <c r="I6" s="4000" t="s">
        <v>1675</v>
      </c>
      <c r="J6" s="4001"/>
      <c r="K6" s="559" t="s">
        <v>1676</v>
      </c>
      <c r="L6" s="2713"/>
      <c r="M6" s="2714"/>
      <c r="N6" s="2714"/>
      <c r="O6" s="2714"/>
      <c r="P6" s="3992"/>
      <c r="Q6" s="3993"/>
      <c r="R6" s="3996"/>
      <c r="S6" s="3997"/>
      <c r="T6" s="3998"/>
      <c r="U6" s="3999"/>
      <c r="V6" s="3979"/>
      <c r="W6" s="3979"/>
      <c r="X6" s="3637"/>
      <c r="Y6" s="3998"/>
      <c r="Z6" s="3999"/>
      <c r="AA6" s="3983"/>
      <c r="AB6" s="3979"/>
      <c r="AC6" s="3983"/>
    </row>
    <row r="7" spans="1:29" s="108" customFormat="1" ht="15.75" thickBot="1">
      <c r="A7" s="362" t="s">
        <v>1677</v>
      </c>
      <c r="B7" s="363"/>
      <c r="C7" s="364">
        <f>'数据-取费表'!B2</f>
        <v>45583</v>
      </c>
      <c r="D7" s="365">
        <v>100</v>
      </c>
      <c r="E7" s="366">
        <f>C7</f>
        <v>45583</v>
      </c>
      <c r="F7" s="367">
        <f>SUMIF(58:58,YEAR(E7)&amp;"-"&amp;MONTH(E7),59:59)</f>
        <v>100</v>
      </c>
      <c r="G7" s="366">
        <f>E7</f>
        <v>45583</v>
      </c>
      <c r="H7" s="365">
        <f>SUMIF(58:58,YEAR(G7)&amp;"-"&amp;MONTH(G7),59:59)</f>
        <v>100</v>
      </c>
      <c r="I7" s="366">
        <f>G7</f>
        <v>45583</v>
      </c>
      <c r="J7" s="365">
        <f>SUMIF(58:58,YEAR(I7)&amp;"-"&amp;MONTH(I7),59:59)</f>
        <v>100</v>
      </c>
      <c r="K7" s="560"/>
      <c r="L7" s="2715"/>
      <c r="M7" s="2716"/>
      <c r="N7" s="2716"/>
      <c r="O7" s="2716"/>
      <c r="P7" s="4004" t="s">
        <v>1678</v>
      </c>
      <c r="Q7" s="4006"/>
      <c r="R7" s="701" t="s">
        <v>14</v>
      </c>
      <c r="S7" s="702">
        <f t="shared" ref="S7:S15" si="0">F7</f>
        <v>100</v>
      </c>
      <c r="T7" s="701" t="s">
        <v>14</v>
      </c>
      <c r="U7" s="702">
        <f t="shared" ref="U7:U15" si="1">H7</f>
        <v>100</v>
      </c>
      <c r="V7" s="701" t="s">
        <v>14</v>
      </c>
      <c r="W7" s="702">
        <f t="shared" ref="W7:W15" si="2">J7</f>
        <v>100</v>
      </c>
      <c r="X7" s="703"/>
      <c r="Y7" s="4004" t="s">
        <v>1678</v>
      </c>
      <c r="Z7" s="4005"/>
      <c r="AA7" s="704">
        <f>D7/F7</f>
        <v>1</v>
      </c>
      <c r="AB7" s="704">
        <f>D7/H7</f>
        <v>1</v>
      </c>
      <c r="AC7" s="704">
        <f>D7/J7</f>
        <v>1</v>
      </c>
    </row>
    <row r="8" spans="1:29" s="108" customFormat="1" ht="15.75" thickBot="1">
      <c r="A8" s="362" t="s">
        <v>1679</v>
      </c>
      <c r="B8" s="363"/>
      <c r="C8" s="368" t="s">
        <v>3553</v>
      </c>
      <c r="D8" s="365">
        <v>100</v>
      </c>
      <c r="E8" s="368" t="s">
        <v>3553</v>
      </c>
      <c r="F8" s="367">
        <f>SUMIF(61:61,E8,62:62)-SUMIF(61:61,C8,62:62)+100</f>
        <v>100</v>
      </c>
      <c r="G8" s="368" t="s">
        <v>3553</v>
      </c>
      <c r="H8" s="365">
        <f>SUMIF(61:61,G8,62:62)-SUMIF(61:61,C8,62:62)+100</f>
        <v>100</v>
      </c>
      <c r="I8" s="368" t="s">
        <v>3553</v>
      </c>
      <c r="J8" s="365">
        <f>SUMIF(61:61,I8,62:62)-SUMIF(61:61,C8,62:62)+100</f>
        <v>100</v>
      </c>
      <c r="K8" s="560"/>
      <c r="L8" s="2715"/>
      <c r="M8" s="2716"/>
      <c r="N8" s="2716"/>
      <c r="O8" s="2716"/>
      <c r="P8" s="4004" t="s">
        <v>1681</v>
      </c>
      <c r="Q8" s="4005"/>
      <c r="R8" s="701" t="s">
        <v>14</v>
      </c>
      <c r="S8" s="702">
        <f t="shared" si="0"/>
        <v>100</v>
      </c>
      <c r="T8" s="701" t="s">
        <v>14</v>
      </c>
      <c r="U8" s="702">
        <f t="shared" si="1"/>
        <v>100</v>
      </c>
      <c r="V8" s="701" t="s">
        <v>14</v>
      </c>
      <c r="W8" s="702">
        <f t="shared" si="2"/>
        <v>100</v>
      </c>
      <c r="X8" s="703"/>
      <c r="Y8" s="4004" t="s">
        <v>1681</v>
      </c>
      <c r="Z8" s="4005"/>
      <c r="AA8" s="704">
        <f t="shared" ref="AA8:AA46" si="3">D8/F8</f>
        <v>1</v>
      </c>
      <c r="AB8" s="704">
        <f t="shared" ref="AB8:AB46" si="4">D8/H8</f>
        <v>1</v>
      </c>
      <c r="AC8" s="704">
        <f t="shared" ref="AC8:AC46" si="5">D8/J8</f>
        <v>1</v>
      </c>
    </row>
    <row r="9" spans="1:29" s="108" customFormat="1">
      <c r="A9" s="369" t="s">
        <v>1682</v>
      </c>
      <c r="B9" s="63" t="s">
        <v>1683</v>
      </c>
      <c r="C9" s="3538" t="s">
        <v>3554</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980" t="s">
        <v>1684</v>
      </c>
      <c r="Q9" s="3632" t="str">
        <f t="shared" ref="Q9:Q15" si="6">B9</f>
        <v>用途</v>
      </c>
      <c r="R9" s="701" t="s">
        <v>14</v>
      </c>
      <c r="S9" s="702">
        <f t="shared" si="0"/>
        <v>100</v>
      </c>
      <c r="T9" s="701" t="s">
        <v>14</v>
      </c>
      <c r="U9" s="702">
        <f t="shared" si="1"/>
        <v>100</v>
      </c>
      <c r="V9" s="701" t="s">
        <v>14</v>
      </c>
      <c r="W9" s="702">
        <f t="shared" si="2"/>
        <v>100</v>
      </c>
      <c r="X9" s="703"/>
      <c r="Y9" s="3869" t="s">
        <v>1685</v>
      </c>
      <c r="Z9" s="3631" t="str">
        <f t="shared" ref="Z9:Z15" si="7">Q9</f>
        <v>用途</v>
      </c>
      <c r="AA9" s="704">
        <f t="shared" si="3"/>
        <v>1</v>
      </c>
      <c r="AB9" s="704">
        <f t="shared" si="4"/>
        <v>1</v>
      </c>
      <c r="AC9" s="704">
        <f t="shared" si="5"/>
        <v>1</v>
      </c>
    </row>
    <row r="10" spans="1:29" s="378" customFormat="1" ht="27">
      <c r="A10" s="374"/>
      <c r="B10" s="375" t="s">
        <v>1686</v>
      </c>
      <c r="C10" s="3643"/>
      <c r="D10" s="127">
        <v>100</v>
      </c>
      <c r="E10" s="3433"/>
      <c r="F10" s="376">
        <f>SUMIF(65:65,E10,66:66)-SUMIF(65:65,C10,66:66)+100</f>
        <v>100</v>
      </c>
      <c r="G10" s="3433"/>
      <c r="H10" s="127">
        <f>SUMIF(65:65,G10,66:66)-SUMIF(65:65,C10,66:66)+100</f>
        <v>100</v>
      </c>
      <c r="I10" s="3432"/>
      <c r="J10" s="127">
        <f>SUMIF(65:65,I10,66:66)-SUMIF(65:65,C10,66:66)+100</f>
        <v>100</v>
      </c>
      <c r="K10" s="560"/>
      <c r="L10" s="2717"/>
      <c r="M10" s="2718"/>
      <c r="N10" s="2718"/>
      <c r="O10" s="2718"/>
      <c r="P10" s="3980"/>
      <c r="Q10" s="3632" t="str">
        <f t="shared" si="6"/>
        <v>土地使用年限（年）</v>
      </c>
      <c r="R10" s="701" t="s">
        <v>14</v>
      </c>
      <c r="S10" s="702">
        <f t="shared" si="0"/>
        <v>100</v>
      </c>
      <c r="T10" s="701" t="s">
        <v>14</v>
      </c>
      <c r="U10" s="702">
        <f t="shared" si="1"/>
        <v>100</v>
      </c>
      <c r="V10" s="701" t="s">
        <v>14</v>
      </c>
      <c r="W10" s="702">
        <f t="shared" si="2"/>
        <v>100</v>
      </c>
      <c r="X10" s="703"/>
      <c r="Y10" s="3869"/>
      <c r="Z10" s="3631" t="str">
        <f t="shared" si="7"/>
        <v>土地使用年限（年）</v>
      </c>
      <c r="AA10" s="704">
        <f t="shared" si="3"/>
        <v>1</v>
      </c>
      <c r="AB10" s="704">
        <f t="shared" si="4"/>
        <v>1</v>
      </c>
      <c r="AC10" s="704">
        <f t="shared" si="5"/>
        <v>1</v>
      </c>
    </row>
    <row r="11" spans="1:29" ht="15.75" thickBot="1">
      <c r="A11" s="379"/>
      <c r="B11" s="375" t="s">
        <v>1687</v>
      </c>
      <c r="C11" s="380"/>
      <c r="D11" s="127">
        <v>100</v>
      </c>
      <c r="E11" s="381"/>
      <c r="F11" s="376">
        <f>LOOKUP(E11,68:68,69:69)-LOOKUP(C11,68:68,69:69)+100</f>
        <v>100</v>
      </c>
      <c r="G11" s="381"/>
      <c r="H11" s="127">
        <f>LOOKUP(G11,68:68,69:69)-LOOKUP(C11,68:68,69:69)+100</f>
        <v>100</v>
      </c>
      <c r="I11" s="380"/>
      <c r="J11" s="127">
        <f>LOOKUP(I11,68:68,69:69)-LOOKUP(C11,68:68,69:69)+100</f>
        <v>100</v>
      </c>
      <c r="K11" s="561"/>
      <c r="L11" s="2719"/>
      <c r="M11" s="2714"/>
      <c r="N11" s="2714"/>
      <c r="O11" s="2714"/>
      <c r="P11" s="3980"/>
      <c r="Q11" s="3632" t="str">
        <f t="shared" si="6"/>
        <v>容积率</v>
      </c>
      <c r="R11" s="701" t="s">
        <v>14</v>
      </c>
      <c r="S11" s="702">
        <f t="shared" si="0"/>
        <v>100</v>
      </c>
      <c r="T11" s="701" t="s">
        <v>14</v>
      </c>
      <c r="U11" s="702">
        <f t="shared" si="1"/>
        <v>100</v>
      </c>
      <c r="V11" s="701" t="s">
        <v>14</v>
      </c>
      <c r="W11" s="702">
        <f t="shared" si="2"/>
        <v>100</v>
      </c>
      <c r="X11" s="703"/>
      <c r="Y11" s="3869"/>
      <c r="Z11" s="3631"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980"/>
      <c r="Q12" s="3632">
        <f t="shared" si="6"/>
        <v>111</v>
      </c>
      <c r="R12" s="701" t="s">
        <v>14</v>
      </c>
      <c r="S12" s="702">
        <f t="shared" si="0"/>
        <v>100</v>
      </c>
      <c r="T12" s="701" t="s">
        <v>14</v>
      </c>
      <c r="U12" s="702">
        <f t="shared" si="1"/>
        <v>100</v>
      </c>
      <c r="V12" s="701" t="s">
        <v>14</v>
      </c>
      <c r="W12" s="702">
        <f t="shared" si="2"/>
        <v>100</v>
      </c>
      <c r="X12" s="703"/>
      <c r="Y12" s="3869"/>
      <c r="Z12" s="3631">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980"/>
      <c r="Q13" s="3632">
        <f t="shared" si="6"/>
        <v>111</v>
      </c>
      <c r="R13" s="701" t="s">
        <v>14</v>
      </c>
      <c r="S13" s="702">
        <f t="shared" si="0"/>
        <v>100</v>
      </c>
      <c r="T13" s="701" t="s">
        <v>14</v>
      </c>
      <c r="U13" s="702">
        <f t="shared" si="1"/>
        <v>100</v>
      </c>
      <c r="V13" s="701" t="s">
        <v>14</v>
      </c>
      <c r="W13" s="702">
        <f t="shared" si="2"/>
        <v>100</v>
      </c>
      <c r="X13" s="703"/>
      <c r="Y13" s="3869"/>
      <c r="Z13" s="3631">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980"/>
      <c r="Q14" s="3632">
        <f t="shared" si="6"/>
        <v>111</v>
      </c>
      <c r="R14" s="701" t="s">
        <v>14</v>
      </c>
      <c r="S14" s="702">
        <f t="shared" si="0"/>
        <v>100</v>
      </c>
      <c r="T14" s="701" t="s">
        <v>14</v>
      </c>
      <c r="U14" s="702">
        <f t="shared" si="1"/>
        <v>100</v>
      </c>
      <c r="V14" s="701" t="s">
        <v>14</v>
      </c>
      <c r="W14" s="702">
        <f t="shared" si="2"/>
        <v>100</v>
      </c>
      <c r="X14" s="703"/>
      <c r="Y14" s="3869"/>
      <c r="Z14" s="3631">
        <f t="shared" si="7"/>
        <v>111</v>
      </c>
      <c r="AA14" s="704">
        <f t="shared" si="3"/>
        <v>1</v>
      </c>
      <c r="AB14" s="704">
        <f t="shared" si="4"/>
        <v>1</v>
      </c>
      <c r="AC14" s="704">
        <f t="shared" si="5"/>
        <v>1</v>
      </c>
    </row>
    <row r="15" spans="1:29" ht="18.75" customHeight="1">
      <c r="A15" s="391" t="s">
        <v>1688</v>
      </c>
      <c r="B15" s="61" t="s">
        <v>1775</v>
      </c>
      <c r="C15" s="1896" t="str">
        <f>估价对象房地状况!C4</f>
        <v>一般</v>
      </c>
      <c r="D15" s="392">
        <v>100</v>
      </c>
      <c r="E15" s="3642" t="s">
        <v>3527</v>
      </c>
      <c r="F15" s="394">
        <f>SUMIF(76:76,E16,77:77)-SUMIF(76:76,C16,77:77)+100</f>
        <v>100</v>
      </c>
      <c r="G15" s="3642" t="s">
        <v>3527</v>
      </c>
      <c r="H15" s="392">
        <f>SUMIF(76:76,G16,77:77)-SUMIF(76:76,C16,77:77)+100</f>
        <v>100</v>
      </c>
      <c r="I15" s="3642" t="s">
        <v>3527</v>
      </c>
      <c r="J15" s="392">
        <f>SUMIF(76:76,I16,77:77)-SUMIF(76:76,C16,77:77)+100</f>
        <v>100</v>
      </c>
      <c r="K15" s="563">
        <v>5</v>
      </c>
      <c r="L15" s="2720"/>
      <c r="M15" s="2714"/>
      <c r="N15" s="2714"/>
      <c r="O15" s="2714"/>
      <c r="P15" s="3970" t="s">
        <v>1689</v>
      </c>
      <c r="Q15" s="3633" t="str">
        <f t="shared" si="6"/>
        <v>商业繁华度</v>
      </c>
      <c r="R15" s="705" t="s">
        <v>14</v>
      </c>
      <c r="S15" s="706">
        <f t="shared" si="0"/>
        <v>100</v>
      </c>
      <c r="T15" s="705" t="s">
        <v>14</v>
      </c>
      <c r="U15" s="706">
        <f t="shared" si="1"/>
        <v>100</v>
      </c>
      <c r="V15" s="705" t="s">
        <v>14</v>
      </c>
      <c r="W15" s="706">
        <f t="shared" si="2"/>
        <v>100</v>
      </c>
      <c r="X15" s="3637"/>
      <c r="Y15" s="3972" t="s">
        <v>1689</v>
      </c>
      <c r="Z15" s="3636" t="str">
        <f t="shared" si="7"/>
        <v>商业繁华度</v>
      </c>
      <c r="AA15" s="3634">
        <f t="shared" si="3"/>
        <v>1</v>
      </c>
      <c r="AB15" s="3634">
        <f t="shared" si="4"/>
        <v>1</v>
      </c>
      <c r="AC15" s="3634">
        <f t="shared" si="5"/>
        <v>1</v>
      </c>
    </row>
    <row r="16" spans="1:29" ht="18.75" customHeight="1">
      <c r="A16" s="379"/>
      <c r="B16" s="397"/>
      <c r="C16" s="398" t="s">
        <v>3527</v>
      </c>
      <c r="D16" s="399"/>
      <c r="E16" s="1903" t="s">
        <v>3527</v>
      </c>
      <c r="F16" s="400"/>
      <c r="G16" s="1903" t="s">
        <v>3527</v>
      </c>
      <c r="H16" s="401"/>
      <c r="I16" s="1903" t="s">
        <v>3527</v>
      </c>
      <c r="J16" s="399"/>
      <c r="K16" s="564"/>
      <c r="L16" s="2720"/>
      <c r="M16" s="2714"/>
      <c r="N16" s="2714"/>
      <c r="O16" s="2714"/>
      <c r="P16" s="3971"/>
      <c r="Q16" s="3633"/>
      <c r="R16" s="705"/>
      <c r="S16" s="706"/>
      <c r="T16" s="705"/>
      <c r="U16" s="706"/>
      <c r="V16" s="705"/>
      <c r="W16" s="706"/>
      <c r="X16" s="3637"/>
      <c r="Y16" s="3973"/>
      <c r="Z16" s="3636"/>
      <c r="AA16" s="3634">
        <v>1</v>
      </c>
      <c r="AB16" s="3634">
        <v>1</v>
      </c>
      <c r="AC16" s="3634">
        <v>1</v>
      </c>
    </row>
    <row r="17" spans="1:29" ht="18.75" customHeight="1">
      <c r="A17" s="379"/>
      <c r="B17" s="402" t="s">
        <v>1257</v>
      </c>
      <c r="C17" s="1900" t="str">
        <f>估价对象房地状况!C6</f>
        <v>较好</v>
      </c>
      <c r="D17" s="401">
        <v>100</v>
      </c>
      <c r="E17" s="403" t="s">
        <v>3495</v>
      </c>
      <c r="F17" s="404">
        <f>SUMIF(78:78,E18,79:79)-SUMIF(78:78,C18,79:79)+100</f>
        <v>100</v>
      </c>
      <c r="G17" s="403" t="s">
        <v>3495</v>
      </c>
      <c r="H17" s="406">
        <f>SUMIF(78:78,G18,79:79)-SUMIF(78:78,C18,79:79)+100</f>
        <v>100</v>
      </c>
      <c r="I17" s="403" t="s">
        <v>3495</v>
      </c>
      <c r="J17" s="406">
        <f>SUMIF(78:78,I18,79:79)-SUMIF(78:78,C18,79:79)+100</f>
        <v>100</v>
      </c>
      <c r="K17" s="563">
        <v>2</v>
      </c>
      <c r="L17" s="2720"/>
      <c r="M17" s="2714"/>
      <c r="N17" s="2714"/>
      <c r="O17" s="2714"/>
      <c r="P17" s="3971"/>
      <c r="Q17" s="3633" t="str">
        <f>B17</f>
        <v>交通便捷度</v>
      </c>
      <c r="R17" s="705" t="s">
        <v>14</v>
      </c>
      <c r="S17" s="706">
        <f>F17</f>
        <v>100</v>
      </c>
      <c r="T17" s="705" t="s">
        <v>14</v>
      </c>
      <c r="U17" s="706">
        <f>H17</f>
        <v>100</v>
      </c>
      <c r="V17" s="705" t="s">
        <v>14</v>
      </c>
      <c r="W17" s="706">
        <f>J17</f>
        <v>100</v>
      </c>
      <c r="X17" s="3637"/>
      <c r="Y17" s="3973"/>
      <c r="Z17" s="3636" t="str">
        <f>Q17</f>
        <v>交通便捷度</v>
      </c>
      <c r="AA17" s="3634">
        <f t="shared" si="3"/>
        <v>1</v>
      </c>
      <c r="AB17" s="3634">
        <f t="shared" si="4"/>
        <v>1</v>
      </c>
      <c r="AC17" s="3634">
        <f t="shared" si="5"/>
        <v>1</v>
      </c>
    </row>
    <row r="18" spans="1:29" ht="18.75" customHeight="1">
      <c r="A18" s="379"/>
      <c r="B18" s="407"/>
      <c r="C18" s="1901" t="s">
        <v>3495</v>
      </c>
      <c r="D18" s="401"/>
      <c r="E18" s="1903" t="s">
        <v>3495</v>
      </c>
      <c r="F18" s="404"/>
      <c r="G18" s="1903" t="s">
        <v>3495</v>
      </c>
      <c r="H18" s="399"/>
      <c r="I18" s="1903" t="s">
        <v>3495</v>
      </c>
      <c r="J18" s="399"/>
      <c r="K18" s="564"/>
      <c r="L18" s="2720"/>
      <c r="M18" s="2714"/>
      <c r="N18" s="2714"/>
      <c r="O18" s="2714"/>
      <c r="P18" s="3971"/>
      <c r="Q18" s="3633"/>
      <c r="R18" s="705"/>
      <c r="S18" s="706"/>
      <c r="T18" s="705"/>
      <c r="U18" s="706"/>
      <c r="V18" s="705"/>
      <c r="W18" s="706"/>
      <c r="X18" s="3637"/>
      <c r="Y18" s="3973"/>
      <c r="Z18" s="3636"/>
      <c r="AA18" s="3634">
        <v>1</v>
      </c>
      <c r="AB18" s="3634">
        <v>1</v>
      </c>
      <c r="AC18" s="3634">
        <v>1</v>
      </c>
    </row>
    <row r="19" spans="1:29" ht="18.75" customHeight="1">
      <c r="A19" s="379"/>
      <c r="B19" s="402" t="s">
        <v>1776</v>
      </c>
      <c r="C19" s="1900" t="str">
        <f>估价对象房地状况!C7</f>
        <v>一般</v>
      </c>
      <c r="D19" s="406">
        <v>100</v>
      </c>
      <c r="E19" s="408" t="s">
        <v>3527</v>
      </c>
      <c r="F19" s="409">
        <f>SUMIF(80:80,E20,81:81)-SUMIF(80:80,C20,81:81)+100</f>
        <v>100</v>
      </c>
      <c r="G19" s="408" t="s">
        <v>3527</v>
      </c>
      <c r="H19" s="401">
        <f>SUMIF(80:80,G20,81:81)-SUMIF(80:80,C20,81:81)+100</f>
        <v>100</v>
      </c>
      <c r="I19" s="408" t="s">
        <v>3527</v>
      </c>
      <c r="J19" s="401">
        <f>SUMIF(80:80,I20,81:81)-SUMIF(80:80,C20,81:81)+100</f>
        <v>100</v>
      </c>
      <c r="K19" s="563">
        <v>2</v>
      </c>
      <c r="L19" s="2720"/>
      <c r="M19" s="2714"/>
      <c r="N19" s="2714"/>
      <c r="O19" s="2714"/>
      <c r="P19" s="3971"/>
      <c r="Q19" s="3633" t="str">
        <f>B19</f>
        <v>公共配套设施</v>
      </c>
      <c r="R19" s="705" t="s">
        <v>14</v>
      </c>
      <c r="S19" s="706">
        <f>F19</f>
        <v>100</v>
      </c>
      <c r="T19" s="705" t="s">
        <v>14</v>
      </c>
      <c r="U19" s="706">
        <f>H19</f>
        <v>100</v>
      </c>
      <c r="V19" s="705" t="s">
        <v>14</v>
      </c>
      <c r="W19" s="706">
        <f>J19</f>
        <v>100</v>
      </c>
      <c r="X19" s="3637"/>
      <c r="Y19" s="3973"/>
      <c r="Z19" s="3636" t="str">
        <f>Q19</f>
        <v>公共配套设施</v>
      </c>
      <c r="AA19" s="3634">
        <f t="shared" si="3"/>
        <v>1</v>
      </c>
      <c r="AB19" s="3634">
        <f t="shared" si="4"/>
        <v>1</v>
      </c>
      <c r="AC19" s="3634">
        <f t="shared" si="5"/>
        <v>1</v>
      </c>
    </row>
    <row r="20" spans="1:29" ht="18.75" customHeight="1">
      <c r="A20" s="379"/>
      <c r="B20" s="407"/>
      <c r="C20" s="398" t="s">
        <v>3527</v>
      </c>
      <c r="D20" s="399"/>
      <c r="E20" s="1898" t="s">
        <v>3527</v>
      </c>
      <c r="F20" s="400"/>
      <c r="G20" s="1898" t="s">
        <v>3527</v>
      </c>
      <c r="H20" s="399"/>
      <c r="I20" s="1898" t="s">
        <v>3527</v>
      </c>
      <c r="J20" s="399"/>
      <c r="K20" s="564"/>
      <c r="L20" s="2720"/>
      <c r="M20" s="2714"/>
      <c r="N20" s="2714"/>
      <c r="O20" s="2714"/>
      <c r="P20" s="3971"/>
      <c r="Q20" s="3633"/>
      <c r="R20" s="705"/>
      <c r="S20" s="706"/>
      <c r="T20" s="705"/>
      <c r="U20" s="706"/>
      <c r="V20" s="705"/>
      <c r="W20" s="706"/>
      <c r="X20" s="3637"/>
      <c r="Y20" s="3973"/>
      <c r="Z20" s="3636"/>
      <c r="AA20" s="3634">
        <v>1</v>
      </c>
      <c r="AB20" s="3634">
        <v>1</v>
      </c>
      <c r="AC20" s="3634">
        <v>1</v>
      </c>
    </row>
    <row r="21" spans="1:29" ht="18.75" customHeight="1">
      <c r="A21" s="379"/>
      <c r="B21" s="1131" t="s">
        <v>1777</v>
      </c>
      <c r="C21" s="1900" t="str">
        <f>估价对象房地状况!C8</f>
        <v>七通</v>
      </c>
      <c r="D21" s="406">
        <v>100</v>
      </c>
      <c r="E21" s="408" t="s">
        <v>3496</v>
      </c>
      <c r="F21" s="409">
        <f>SUMIF(82:82,E22,83:83)-SUMIF(82:82,C22,83:83)+100</f>
        <v>100</v>
      </c>
      <c r="G21" s="408" t="s">
        <v>3496</v>
      </c>
      <c r="H21" s="401">
        <f>SUMIF(82:82,G22,83:83)-SUMIF(82:82,C22,83:83)+100</f>
        <v>100</v>
      </c>
      <c r="I21" s="408" t="s">
        <v>3496</v>
      </c>
      <c r="J21" s="401">
        <f>SUMIF(82:82,I22,83:83)-SUMIF(82:82,C22,83:83)+100</f>
        <v>100</v>
      </c>
      <c r="K21" s="563">
        <v>2</v>
      </c>
      <c r="L21" s="2720"/>
      <c r="M21" s="2714"/>
      <c r="N21" s="2714"/>
      <c r="O21" s="2714"/>
      <c r="P21" s="3971"/>
      <c r="Q21" s="3633" t="str">
        <f>B21</f>
        <v>基础设施水平</v>
      </c>
      <c r="R21" s="705" t="s">
        <v>14</v>
      </c>
      <c r="S21" s="706">
        <f>F21</f>
        <v>100</v>
      </c>
      <c r="T21" s="705" t="s">
        <v>14</v>
      </c>
      <c r="U21" s="706">
        <f>H21</f>
        <v>100</v>
      </c>
      <c r="V21" s="705" t="s">
        <v>14</v>
      </c>
      <c r="W21" s="706">
        <f>J21</f>
        <v>100</v>
      </c>
      <c r="X21" s="3637"/>
      <c r="Y21" s="3973"/>
      <c r="Z21" s="3636" t="str">
        <f>Q21</f>
        <v>基础设施水平</v>
      </c>
      <c r="AA21" s="3634">
        <f t="shared" ref="AA21" si="8">D21/F21</f>
        <v>1</v>
      </c>
      <c r="AB21" s="3634">
        <f t="shared" ref="AB21" si="9">D21/H21</f>
        <v>1</v>
      </c>
      <c r="AC21" s="3634">
        <f t="shared" ref="AC21" si="10">D21/J21</f>
        <v>1</v>
      </c>
    </row>
    <row r="22" spans="1:29" ht="18.75" customHeight="1">
      <c r="A22" s="379"/>
      <c r="B22" s="1131"/>
      <c r="C22" s="1901" t="s">
        <v>3496</v>
      </c>
      <c r="D22" s="399"/>
      <c r="E22" s="398" t="s">
        <v>3496</v>
      </c>
      <c r="F22" s="400"/>
      <c r="G22" s="398" t="s">
        <v>3496</v>
      </c>
      <c r="H22" s="399"/>
      <c r="I22" s="398" t="s">
        <v>3496</v>
      </c>
      <c r="J22" s="399"/>
      <c r="K22" s="1130"/>
      <c r="L22" s="2720"/>
      <c r="M22" s="2714"/>
      <c r="N22" s="2714"/>
      <c r="O22" s="2714"/>
      <c r="P22" s="3971"/>
      <c r="Q22" s="3633"/>
      <c r="R22" s="705"/>
      <c r="S22" s="706"/>
      <c r="T22" s="705"/>
      <c r="U22" s="706"/>
      <c r="V22" s="705"/>
      <c r="W22" s="706"/>
      <c r="X22" s="3637"/>
      <c r="Y22" s="3973"/>
      <c r="Z22" s="3636"/>
      <c r="AA22" s="3634">
        <v>1</v>
      </c>
      <c r="AB22" s="3634">
        <v>1</v>
      </c>
      <c r="AC22" s="3634">
        <v>1</v>
      </c>
    </row>
    <row r="23" spans="1:29" ht="18.75" customHeight="1">
      <c r="A23" s="379"/>
      <c r="B23" s="402" t="s">
        <v>1259</v>
      </c>
      <c r="C23" s="1955" t="str">
        <f>估价对象房地状况!C9</f>
        <v>一般</v>
      </c>
      <c r="D23" s="401">
        <v>100</v>
      </c>
      <c r="E23" s="408" t="s">
        <v>3527</v>
      </c>
      <c r="F23" s="404">
        <f>SUMIF(84:84,E24,85:85)-SUMIF(84:84,C24,85:85)+100</f>
        <v>100</v>
      </c>
      <c r="G23" s="408" t="s">
        <v>3527</v>
      </c>
      <c r="H23" s="401">
        <f>SUMIF(84:84,G24,85:85)-SUMIF(84:84,C24,85:85)+100</f>
        <v>100</v>
      </c>
      <c r="I23" s="408" t="s">
        <v>3527</v>
      </c>
      <c r="J23" s="401">
        <f>SUMIF(84:84,I24,85:85)-SUMIF(84:84,C24,85:85)+100</f>
        <v>100</v>
      </c>
      <c r="K23" s="563">
        <v>2</v>
      </c>
      <c r="L23" s="2720"/>
      <c r="M23" s="2714"/>
      <c r="N23" s="2714"/>
      <c r="O23" s="2714"/>
      <c r="P23" s="3971"/>
      <c r="Q23" s="3633" t="str">
        <f>B23</f>
        <v>自然及人文环境</v>
      </c>
      <c r="R23" s="705" t="s">
        <v>14</v>
      </c>
      <c r="S23" s="706">
        <f>F23</f>
        <v>100</v>
      </c>
      <c r="T23" s="705" t="s">
        <v>14</v>
      </c>
      <c r="U23" s="706">
        <f>H23</f>
        <v>100</v>
      </c>
      <c r="V23" s="705" t="s">
        <v>14</v>
      </c>
      <c r="W23" s="706">
        <f>J23</f>
        <v>100</v>
      </c>
      <c r="X23" s="3637"/>
      <c r="Y23" s="3973"/>
      <c r="Z23" s="3636" t="str">
        <f>Q23</f>
        <v>自然及人文环境</v>
      </c>
      <c r="AA23" s="3634">
        <f t="shared" si="3"/>
        <v>1</v>
      </c>
      <c r="AB23" s="3634">
        <f t="shared" si="4"/>
        <v>1</v>
      </c>
      <c r="AC23" s="3634">
        <f t="shared" si="5"/>
        <v>1</v>
      </c>
    </row>
    <row r="24" spans="1:29" ht="15">
      <c r="A24" s="379"/>
      <c r="B24" s="407"/>
      <c r="C24" s="398" t="s">
        <v>3527</v>
      </c>
      <c r="D24" s="399"/>
      <c r="E24" s="1898" t="s">
        <v>3527</v>
      </c>
      <c r="F24" s="400"/>
      <c r="G24" s="1898" t="s">
        <v>3527</v>
      </c>
      <c r="H24" s="399"/>
      <c r="I24" s="1898" t="s">
        <v>3527</v>
      </c>
      <c r="J24" s="399"/>
      <c r="K24" s="564"/>
      <c r="L24" s="2720"/>
      <c r="M24" s="2714"/>
      <c r="N24" s="2714"/>
      <c r="O24" s="2714"/>
      <c r="P24" s="3971"/>
      <c r="Q24" s="3633"/>
      <c r="R24" s="705"/>
      <c r="S24" s="706"/>
      <c r="T24" s="705"/>
      <c r="U24" s="706"/>
      <c r="V24" s="705"/>
      <c r="W24" s="706"/>
      <c r="X24" s="3637"/>
      <c r="Y24" s="3973"/>
      <c r="Z24" s="3636"/>
      <c r="AA24" s="3634">
        <v>1</v>
      </c>
      <c r="AB24" s="3634">
        <v>1</v>
      </c>
      <c r="AC24" s="3634">
        <v>1</v>
      </c>
    </row>
    <row r="25" spans="1:29" ht="15">
      <c r="A25" s="379"/>
      <c r="B25" s="375" t="s">
        <v>1778</v>
      </c>
      <c r="C25" s="565" t="s">
        <v>3497</v>
      </c>
      <c r="D25" s="386">
        <v>100</v>
      </c>
      <c r="E25" s="565" t="s">
        <v>3497</v>
      </c>
      <c r="F25" s="412">
        <f>SUMIF(86:86,E25,87:87)-SUMIF(86:86,C25,87:87)+100</f>
        <v>100</v>
      </c>
      <c r="G25" s="565" t="s">
        <v>3497</v>
      </c>
      <c r="H25" s="386">
        <f>SUMIF(86:86,G25,87:87)-SUMIF(86:86,C25,87:87)+100</f>
        <v>100</v>
      </c>
      <c r="I25" s="565" t="s">
        <v>3497</v>
      </c>
      <c r="J25" s="386">
        <f>SUMIF(86:86,I25,87:87)-SUMIF(86:86,C25,87:87)+100</f>
        <v>100</v>
      </c>
      <c r="K25" s="561">
        <v>2</v>
      </c>
      <c r="L25" s="2720"/>
      <c r="M25" s="2714"/>
      <c r="N25" s="2714"/>
      <c r="O25" s="2714"/>
      <c r="P25" s="3971"/>
      <c r="Q25" s="3633" t="str">
        <f t="shared" ref="Q25:Q46" si="11">B25</f>
        <v>临街状况</v>
      </c>
      <c r="R25" s="705" t="s">
        <v>14</v>
      </c>
      <c r="S25" s="706">
        <f>F25</f>
        <v>100</v>
      </c>
      <c r="T25" s="705" t="s">
        <v>14</v>
      </c>
      <c r="U25" s="706">
        <f>H25</f>
        <v>100</v>
      </c>
      <c r="V25" s="705" t="s">
        <v>14</v>
      </c>
      <c r="W25" s="706">
        <f>J25</f>
        <v>100</v>
      </c>
      <c r="X25" s="3637"/>
      <c r="Y25" s="3973"/>
      <c r="Z25" s="3636" t="str">
        <f>Q25</f>
        <v>临街状况</v>
      </c>
      <c r="AA25" s="3634">
        <f t="shared" si="3"/>
        <v>1</v>
      </c>
      <c r="AB25" s="3634">
        <f t="shared" si="4"/>
        <v>1</v>
      </c>
      <c r="AC25" s="3634">
        <f t="shared" si="5"/>
        <v>1</v>
      </c>
    </row>
    <row r="26" spans="1:29" ht="15">
      <c r="A26" s="379"/>
      <c r="B26" s="1133" t="s">
        <v>1779</v>
      </c>
      <c r="C26" s="3539" t="s">
        <v>3555</v>
      </c>
      <c r="D26" s="386">
        <v>100</v>
      </c>
      <c r="E26" s="385" t="s">
        <v>3498</v>
      </c>
      <c r="F26" s="412">
        <f>SUMIF(88:88,E26,89:89)-SUMIF(88:88,C26,89:89)+100</f>
        <v>100</v>
      </c>
      <c r="G26" s="385" t="s">
        <v>3498</v>
      </c>
      <c r="H26" s="386">
        <f>SUMIF(88:88,G26,89:89)-SUMIF(88:88,C26,89:89)+100</f>
        <v>100</v>
      </c>
      <c r="I26" s="385" t="s">
        <v>3498</v>
      </c>
      <c r="J26" s="386">
        <f>SUMIF(88:88,I26,89:89)-SUMIF(88:88,C26,89:89)+100</f>
        <v>100</v>
      </c>
      <c r="K26" s="562"/>
      <c r="L26" s="2720"/>
      <c r="M26" s="2714"/>
      <c r="N26" s="2714"/>
      <c r="O26" s="2714"/>
      <c r="P26" s="3971"/>
      <c r="Q26" s="3633" t="str">
        <f t="shared" si="11"/>
        <v>平面位置/可视性</v>
      </c>
      <c r="R26" s="705" t="s">
        <v>14</v>
      </c>
      <c r="S26" s="706">
        <f>F26</f>
        <v>100</v>
      </c>
      <c r="T26" s="705" t="s">
        <v>14</v>
      </c>
      <c r="U26" s="706">
        <f>H26</f>
        <v>100</v>
      </c>
      <c r="V26" s="705" t="s">
        <v>14</v>
      </c>
      <c r="W26" s="706">
        <f>J26</f>
        <v>100</v>
      </c>
      <c r="X26" s="3637"/>
      <c r="Y26" s="3973"/>
      <c r="Z26" s="3636" t="str">
        <f>Q26</f>
        <v>平面位置/可视性</v>
      </c>
      <c r="AA26" s="3634">
        <f t="shared" si="3"/>
        <v>1</v>
      </c>
      <c r="AB26" s="3634">
        <f t="shared" si="4"/>
        <v>1</v>
      </c>
      <c r="AC26" s="3634">
        <f t="shared" si="5"/>
        <v>1</v>
      </c>
    </row>
    <row r="27" spans="1:29" s="108" customFormat="1" ht="15">
      <c r="A27" s="382"/>
      <c r="B27" s="402" t="s">
        <v>1780</v>
      </c>
      <c r="C27" s="1956" t="s">
        <v>3527</v>
      </c>
      <c r="D27" s="413">
        <v>100</v>
      </c>
      <c r="E27" s="1956" t="s">
        <v>3527</v>
      </c>
      <c r="F27" s="415">
        <f>SUMIF(90:90,E27,91:91)-SUMIF(90:90,C27,91:91)+100</f>
        <v>100</v>
      </c>
      <c r="G27" s="1956" t="s">
        <v>3527</v>
      </c>
      <c r="H27" s="413">
        <f>SUMIF(90:90,G27,91:91)-SUMIF(90:90,C27,91:91)+100</f>
        <v>100</v>
      </c>
      <c r="I27" s="1956" t="s">
        <v>3527</v>
      </c>
      <c r="J27" s="413">
        <f>SUMIF(90:90,I27,91:91)-SUMIF(90:90,C27,91:91)+100</f>
        <v>100</v>
      </c>
      <c r="K27" s="561">
        <v>3</v>
      </c>
      <c r="L27" s="2715"/>
      <c r="M27" s="2716"/>
      <c r="N27" s="2716"/>
      <c r="O27" s="2716"/>
      <c r="P27" s="3971"/>
      <c r="Q27" s="3632" t="str">
        <f t="shared" si="11"/>
        <v>人流量</v>
      </c>
      <c r="R27" s="701" t="s">
        <v>14</v>
      </c>
      <c r="S27" s="702">
        <f>F27</f>
        <v>100</v>
      </c>
      <c r="T27" s="701" t="s">
        <v>14</v>
      </c>
      <c r="U27" s="702">
        <f>H27</f>
        <v>100</v>
      </c>
      <c r="V27" s="701" t="s">
        <v>14</v>
      </c>
      <c r="W27" s="702">
        <f>J27</f>
        <v>100</v>
      </c>
      <c r="X27" s="703"/>
      <c r="Y27" s="3973"/>
      <c r="Z27" s="3631" t="str">
        <f>Q27</f>
        <v>人流量</v>
      </c>
      <c r="AA27" s="3634">
        <f>D27/F27</f>
        <v>1</v>
      </c>
      <c r="AB27" s="3634">
        <f>D27/H27</f>
        <v>1</v>
      </c>
      <c r="AC27" s="3634">
        <f>D27/J27</f>
        <v>1</v>
      </c>
    </row>
    <row r="28" spans="1:29" ht="15.75" thickBot="1">
      <c r="A28" s="379"/>
      <c r="B28" s="375" t="s">
        <v>1781</v>
      </c>
      <c r="C28" s="565" t="s">
        <v>3499</v>
      </c>
      <c r="D28" s="386">
        <v>100</v>
      </c>
      <c r="E28" s="565" t="s">
        <v>3499</v>
      </c>
      <c r="F28" s="412">
        <f>SUMIF(92:92,E28,93:93)-SUMIF(92:92,C28,93:93)+100</f>
        <v>100</v>
      </c>
      <c r="G28" s="565" t="s">
        <v>3499</v>
      </c>
      <c r="H28" s="386">
        <f>SUMIF(92:92,G28,93:93)-SUMIF(92:92,C28,93:93)+100</f>
        <v>100</v>
      </c>
      <c r="I28" s="565" t="s">
        <v>3499</v>
      </c>
      <c r="J28" s="386">
        <f>SUMIF(92:92,I28,93:93)-SUMIF(92:92,C28,93:93)+100</f>
        <v>100</v>
      </c>
      <c r="K28" s="562"/>
      <c r="L28" s="2720"/>
      <c r="M28" s="2714"/>
      <c r="N28" s="2714"/>
      <c r="O28" s="2714"/>
      <c r="P28" s="3971"/>
      <c r="Q28" s="3633" t="str">
        <f t="shared" si="11"/>
        <v>楼层</v>
      </c>
      <c r="R28" s="705" t="s">
        <v>14</v>
      </c>
      <c r="S28" s="706">
        <f t="shared" ref="S28:S46" si="12">F28</f>
        <v>100</v>
      </c>
      <c r="T28" s="705" t="s">
        <v>14</v>
      </c>
      <c r="U28" s="706">
        <f t="shared" ref="U28:U46" si="13">H28</f>
        <v>100</v>
      </c>
      <c r="V28" s="705" t="s">
        <v>14</v>
      </c>
      <c r="W28" s="706">
        <f t="shared" ref="W28:W46" si="14">J28</f>
        <v>100</v>
      </c>
      <c r="X28" s="3637"/>
      <c r="Y28" s="3973"/>
      <c r="Z28" s="3636" t="str">
        <f t="shared" ref="Z28:Z46" si="15">Q28</f>
        <v>楼层</v>
      </c>
      <c r="AA28" s="3634">
        <f t="shared" si="3"/>
        <v>1</v>
      </c>
      <c r="AB28" s="3634">
        <f t="shared" si="4"/>
        <v>1</v>
      </c>
      <c r="AC28" s="3634">
        <f t="shared" si="5"/>
        <v>1</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971"/>
      <c r="Q29" s="3633">
        <f t="shared" si="11"/>
        <v>111</v>
      </c>
      <c r="R29" s="705" t="s">
        <v>14</v>
      </c>
      <c r="S29" s="706">
        <f t="shared" si="12"/>
        <v>100</v>
      </c>
      <c r="T29" s="705" t="s">
        <v>14</v>
      </c>
      <c r="U29" s="706">
        <f t="shared" si="13"/>
        <v>100</v>
      </c>
      <c r="V29" s="705" t="s">
        <v>14</v>
      </c>
      <c r="W29" s="706">
        <f t="shared" si="14"/>
        <v>100</v>
      </c>
      <c r="X29" s="3637"/>
      <c r="Y29" s="3973"/>
      <c r="Z29" s="3636">
        <f t="shared" si="15"/>
        <v>111</v>
      </c>
      <c r="AA29" s="3634">
        <f t="shared" si="3"/>
        <v>1</v>
      </c>
      <c r="AB29" s="3634">
        <f t="shared" si="4"/>
        <v>1</v>
      </c>
      <c r="AC29" s="3634">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971"/>
      <c r="Q30" s="3633">
        <f t="shared" si="11"/>
        <v>111</v>
      </c>
      <c r="R30" s="705" t="s">
        <v>14</v>
      </c>
      <c r="S30" s="706">
        <f t="shared" si="12"/>
        <v>100</v>
      </c>
      <c r="T30" s="705" t="s">
        <v>14</v>
      </c>
      <c r="U30" s="706">
        <f t="shared" si="13"/>
        <v>100</v>
      </c>
      <c r="V30" s="705" t="s">
        <v>14</v>
      </c>
      <c r="W30" s="706">
        <f t="shared" si="14"/>
        <v>100</v>
      </c>
      <c r="X30" s="3637"/>
      <c r="Y30" s="3973"/>
      <c r="Z30" s="3636">
        <f t="shared" si="15"/>
        <v>111</v>
      </c>
      <c r="AA30" s="3634">
        <f t="shared" si="3"/>
        <v>1</v>
      </c>
      <c r="AB30" s="3634">
        <f t="shared" si="4"/>
        <v>1</v>
      </c>
      <c r="AC30" s="3634">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971"/>
      <c r="Q31" s="3633">
        <f t="shared" si="11"/>
        <v>111</v>
      </c>
      <c r="R31" s="705" t="s">
        <v>14</v>
      </c>
      <c r="S31" s="706">
        <f t="shared" si="12"/>
        <v>100</v>
      </c>
      <c r="T31" s="705" t="s">
        <v>14</v>
      </c>
      <c r="U31" s="706">
        <f t="shared" si="13"/>
        <v>100</v>
      </c>
      <c r="V31" s="705" t="s">
        <v>14</v>
      </c>
      <c r="W31" s="706">
        <f t="shared" si="14"/>
        <v>100</v>
      </c>
      <c r="X31" s="3637"/>
      <c r="Y31" s="3973"/>
      <c r="Z31" s="3636">
        <f t="shared" si="15"/>
        <v>111</v>
      </c>
      <c r="AA31" s="3634">
        <f t="shared" si="3"/>
        <v>1</v>
      </c>
      <c r="AB31" s="3634">
        <f t="shared" si="4"/>
        <v>1</v>
      </c>
      <c r="AC31" s="3634">
        <f t="shared" si="5"/>
        <v>1</v>
      </c>
    </row>
    <row r="32" spans="1:29" ht="15">
      <c r="A32" s="391" t="s">
        <v>1692</v>
      </c>
      <c r="B32" s="63" t="s">
        <v>1782</v>
      </c>
      <c r="C32" s="1910" t="s">
        <v>3556</v>
      </c>
      <c r="D32" s="418">
        <v>100</v>
      </c>
      <c r="E32" s="1910" t="s">
        <v>3500</v>
      </c>
      <c r="F32" s="412">
        <f>SUMIF(100:100,E32,101:101)-SUMIF(100:100,C32,101:101)+100</f>
        <v>95</v>
      </c>
      <c r="G32" s="1910" t="s">
        <v>3556</v>
      </c>
      <c r="H32" s="386">
        <f>SUMIF(100:100,G32,101:101)-SUMIF(100:100,C32,101:101)+100</f>
        <v>100</v>
      </c>
      <c r="I32" s="1910" t="s">
        <v>3500</v>
      </c>
      <c r="J32" s="418">
        <f>SUMIF(100:100,I32,101:101)-SUMIF(100:100,C32,101:101)+100</f>
        <v>95</v>
      </c>
      <c r="K32" s="561">
        <v>5</v>
      </c>
      <c r="L32" s="2720"/>
      <c r="M32" s="2714"/>
      <c r="N32" s="2714"/>
      <c r="O32" s="2714"/>
      <c r="P32" s="3974" t="s">
        <v>1694</v>
      </c>
      <c r="Q32" s="3633" t="str">
        <f t="shared" si="11"/>
        <v>商业类型</v>
      </c>
      <c r="R32" s="705" t="s">
        <v>14</v>
      </c>
      <c r="S32" s="706">
        <f t="shared" si="12"/>
        <v>95</v>
      </c>
      <c r="T32" s="705" t="s">
        <v>14</v>
      </c>
      <c r="U32" s="706">
        <f t="shared" si="13"/>
        <v>100</v>
      </c>
      <c r="V32" s="705" t="s">
        <v>14</v>
      </c>
      <c r="W32" s="706">
        <f t="shared" si="14"/>
        <v>95</v>
      </c>
      <c r="X32" s="3637"/>
      <c r="Y32" s="3977" t="s">
        <v>1694</v>
      </c>
      <c r="Z32" s="3636" t="str">
        <f t="shared" si="15"/>
        <v>商业类型</v>
      </c>
      <c r="AA32" s="3634">
        <f t="shared" si="3"/>
        <v>1.0526315789473684</v>
      </c>
      <c r="AB32" s="3634">
        <f t="shared" si="4"/>
        <v>1</v>
      </c>
      <c r="AC32" s="3634">
        <f t="shared" si="5"/>
        <v>1.0526315789473684</v>
      </c>
    </row>
    <row r="33" spans="1:29" s="422" customFormat="1" ht="15">
      <c r="A33" s="419"/>
      <c r="B33" s="375" t="s">
        <v>1695</v>
      </c>
      <c r="C33" s="420">
        <f>'数据-汇总表'!F19</f>
        <v>468.48</v>
      </c>
      <c r="D33" s="127">
        <v>100</v>
      </c>
      <c r="E33" s="381">
        <f>售价!C2</f>
        <v>81.13</v>
      </c>
      <c r="F33" s="376">
        <f>LOOKUP(E33,103:103,104:104)-LOOKUP(C33,103:103,104:104)+100</f>
        <v>106</v>
      </c>
      <c r="G33" s="380">
        <f>售价!C3</f>
        <v>961.1</v>
      </c>
      <c r="H33" s="127">
        <f>LOOKUP(G33,103:103,104:104)-LOOKUP(C33,103:103,104:104)+100</f>
        <v>98</v>
      </c>
      <c r="I33" s="380">
        <f>售价!C4</f>
        <v>1048.03</v>
      </c>
      <c r="J33" s="127">
        <f>LOOKUP(I33,103:103,104:104)-LOOKUP(C33,103:103,104:104)+100</f>
        <v>98</v>
      </c>
      <c r="K33" s="562"/>
      <c r="L33" s="2719"/>
      <c r="M33" s="2721"/>
      <c r="N33" s="2721"/>
      <c r="O33" s="2721"/>
      <c r="P33" s="3975"/>
      <c r="Q33" s="707" t="str">
        <f t="shared" si="11"/>
        <v>项目建筑规模</v>
      </c>
      <c r="R33" s="708" t="s">
        <v>14</v>
      </c>
      <c r="S33" s="709">
        <f t="shared" si="12"/>
        <v>106</v>
      </c>
      <c r="T33" s="708" t="s">
        <v>14</v>
      </c>
      <c r="U33" s="709">
        <f t="shared" si="13"/>
        <v>98</v>
      </c>
      <c r="V33" s="708" t="s">
        <v>14</v>
      </c>
      <c r="W33" s="709">
        <f t="shared" si="14"/>
        <v>98</v>
      </c>
      <c r="X33" s="710"/>
      <c r="Y33" s="3977"/>
      <c r="Z33" s="711" t="str">
        <f t="shared" si="15"/>
        <v>项目建筑规模</v>
      </c>
      <c r="AA33" s="3634">
        <f t="shared" si="3"/>
        <v>0.94339622641509435</v>
      </c>
      <c r="AB33" s="3634">
        <f t="shared" si="4"/>
        <v>1.0204081632653061</v>
      </c>
      <c r="AC33" s="3634">
        <f t="shared" si="5"/>
        <v>1.0204081632653061</v>
      </c>
    </row>
    <row r="34" spans="1:29" ht="15">
      <c r="A34" s="423"/>
      <c r="B34" s="375" t="s">
        <v>1696</v>
      </c>
      <c r="C34" s="1912" t="s">
        <v>3501</v>
      </c>
      <c r="D34" s="386">
        <v>100</v>
      </c>
      <c r="E34" s="1912" t="s">
        <v>3501</v>
      </c>
      <c r="F34" s="412">
        <f>SUMIF(105:105,E34,106:106)-SUMIF(105:105,C34,106:106)+100</f>
        <v>100</v>
      </c>
      <c r="G34" s="1912" t="s">
        <v>3501</v>
      </c>
      <c r="H34" s="386">
        <f>SUMIF(105:105,G34,106:106)-SUMIF(105:105,C34,106:106)+100</f>
        <v>100</v>
      </c>
      <c r="I34" s="1912" t="s">
        <v>3501</v>
      </c>
      <c r="J34" s="386">
        <f>SUMIF(105:105,I34,106:106)-SUMIF(105:105,C34,106:106)+100</f>
        <v>100</v>
      </c>
      <c r="K34" s="561">
        <v>2</v>
      </c>
      <c r="L34" s="2720"/>
      <c r="M34" s="2714"/>
      <c r="N34" s="2714"/>
      <c r="O34" s="2714"/>
      <c r="P34" s="3975"/>
      <c r="Q34" s="3633" t="str">
        <f t="shared" si="11"/>
        <v>建筑结构</v>
      </c>
      <c r="R34" s="705" t="s">
        <v>14</v>
      </c>
      <c r="S34" s="706">
        <f t="shared" si="12"/>
        <v>100</v>
      </c>
      <c r="T34" s="705" t="s">
        <v>14</v>
      </c>
      <c r="U34" s="706">
        <f t="shared" si="13"/>
        <v>100</v>
      </c>
      <c r="V34" s="705" t="s">
        <v>14</v>
      </c>
      <c r="W34" s="706">
        <f t="shared" si="14"/>
        <v>100</v>
      </c>
      <c r="X34" s="3637"/>
      <c r="Y34" s="3977"/>
      <c r="Z34" s="3636" t="str">
        <f t="shared" si="15"/>
        <v>建筑结构</v>
      </c>
      <c r="AA34" s="3634">
        <f t="shared" si="3"/>
        <v>1</v>
      </c>
      <c r="AB34" s="3634">
        <f t="shared" si="4"/>
        <v>1</v>
      </c>
      <c r="AC34" s="3634">
        <f t="shared" si="5"/>
        <v>1</v>
      </c>
    </row>
    <row r="35" spans="1:29" ht="15">
      <c r="A35" s="423"/>
      <c r="B35" s="375" t="s">
        <v>1783</v>
      </c>
      <c r="C35" s="1906" t="s">
        <v>3502</v>
      </c>
      <c r="D35" s="386">
        <v>100</v>
      </c>
      <c r="E35" s="1906" t="s">
        <v>3502</v>
      </c>
      <c r="F35" s="412">
        <f>SUMIF(107:107,E35,108:108)-SUMIF(107:107,C35,108:108)+100</f>
        <v>100</v>
      </c>
      <c r="G35" s="1906" t="s">
        <v>3502</v>
      </c>
      <c r="H35" s="386">
        <f>SUMIF(107:107,G35,108:108)-SUMIF(107:107,C35,108:108)+100</f>
        <v>100</v>
      </c>
      <c r="I35" s="1906" t="s">
        <v>3502</v>
      </c>
      <c r="J35" s="386">
        <f>SUMIF(107:107,I35,108:108)-SUMIF(107:107,C35,108:108)+100</f>
        <v>100</v>
      </c>
      <c r="K35" s="561">
        <v>2</v>
      </c>
      <c r="L35" s="2720"/>
      <c r="M35" s="2714"/>
      <c r="N35" s="2714"/>
      <c r="O35" s="2714"/>
      <c r="P35" s="3975"/>
      <c r="Q35" s="3633" t="str">
        <f t="shared" si="11"/>
        <v>公共部分装修</v>
      </c>
      <c r="R35" s="705" t="s">
        <v>14</v>
      </c>
      <c r="S35" s="706">
        <f t="shared" si="12"/>
        <v>100</v>
      </c>
      <c r="T35" s="705" t="s">
        <v>14</v>
      </c>
      <c r="U35" s="706">
        <f t="shared" si="13"/>
        <v>100</v>
      </c>
      <c r="V35" s="705" t="s">
        <v>14</v>
      </c>
      <c r="W35" s="706">
        <f t="shared" si="14"/>
        <v>100</v>
      </c>
      <c r="X35" s="3637"/>
      <c r="Y35" s="3977"/>
      <c r="Z35" s="3636" t="str">
        <f t="shared" si="15"/>
        <v>公共部分装修</v>
      </c>
      <c r="AA35" s="3634">
        <f t="shared" si="3"/>
        <v>1</v>
      </c>
      <c r="AB35" s="3634">
        <f t="shared" si="4"/>
        <v>1</v>
      </c>
      <c r="AC35" s="3634">
        <f t="shared" si="5"/>
        <v>1</v>
      </c>
    </row>
    <row r="36" spans="1:29" ht="15" hidden="1">
      <c r="A36" s="423"/>
      <c r="B36" s="375" t="s">
        <v>1784</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20"/>
      <c r="M36" s="2714"/>
      <c r="N36" s="2714"/>
      <c r="O36" s="2714"/>
      <c r="P36" s="3975"/>
      <c r="Q36" s="3633" t="str">
        <f t="shared" si="11"/>
        <v>成新度</v>
      </c>
      <c r="R36" s="705" t="s">
        <v>14</v>
      </c>
      <c r="S36" s="706">
        <f t="shared" si="12"/>
        <v>100</v>
      </c>
      <c r="T36" s="705" t="s">
        <v>14</v>
      </c>
      <c r="U36" s="706">
        <f t="shared" si="13"/>
        <v>100</v>
      </c>
      <c r="V36" s="705" t="s">
        <v>14</v>
      </c>
      <c r="W36" s="706">
        <f t="shared" si="14"/>
        <v>100</v>
      </c>
      <c r="X36" s="3637"/>
      <c r="Y36" s="3977"/>
      <c r="Z36" s="3636" t="str">
        <f t="shared" si="15"/>
        <v>成新度</v>
      </c>
      <c r="AA36" s="3634">
        <f t="shared" si="3"/>
        <v>1</v>
      </c>
      <c r="AB36" s="3634">
        <f t="shared" si="4"/>
        <v>1</v>
      </c>
      <c r="AC36" s="3634">
        <f t="shared" si="5"/>
        <v>1</v>
      </c>
    </row>
    <row r="37" spans="1:29" s="108" customFormat="1" ht="15">
      <c r="A37" s="424"/>
      <c r="B37" s="375" t="s">
        <v>1785</v>
      </c>
      <c r="C37" s="1906" t="s">
        <v>3503</v>
      </c>
      <c r="D37" s="127">
        <v>100</v>
      </c>
      <c r="E37" s="1906" t="s">
        <v>3503</v>
      </c>
      <c r="F37" s="412">
        <f>SUMIF(112:112,E37,113:113)-SUMIF(112:112,C37,113:113)+100</f>
        <v>100</v>
      </c>
      <c r="G37" s="1906" t="s">
        <v>3503</v>
      </c>
      <c r="H37" s="386">
        <f>SUMIF(112:112,G37,113:113)-SUMIF(112:112,C37,113:113)+100</f>
        <v>100</v>
      </c>
      <c r="I37" s="1906" t="s">
        <v>3503</v>
      </c>
      <c r="J37" s="386">
        <f>SUMIF(112:112,I37,113:113)-SUMIF(112:112,C37,113:113)+100</f>
        <v>100</v>
      </c>
      <c r="K37" s="561">
        <v>1</v>
      </c>
      <c r="L37" s="2715"/>
      <c r="M37" s="2716"/>
      <c r="N37" s="2716"/>
      <c r="O37" s="2716"/>
      <c r="P37" s="3975"/>
      <c r="Q37" s="3632" t="str">
        <f t="shared" si="11"/>
        <v>市政基础设施</v>
      </c>
      <c r="R37" s="701" t="s">
        <v>14</v>
      </c>
      <c r="S37" s="702">
        <f t="shared" si="12"/>
        <v>100</v>
      </c>
      <c r="T37" s="701" t="s">
        <v>14</v>
      </c>
      <c r="U37" s="702">
        <f t="shared" si="13"/>
        <v>100</v>
      </c>
      <c r="V37" s="701" t="s">
        <v>14</v>
      </c>
      <c r="W37" s="702">
        <f t="shared" si="14"/>
        <v>100</v>
      </c>
      <c r="X37" s="703"/>
      <c r="Y37" s="3977"/>
      <c r="Z37" s="3631" t="str">
        <f t="shared" si="15"/>
        <v>市政基础设施</v>
      </c>
      <c r="AA37" s="704">
        <f t="shared" si="3"/>
        <v>1</v>
      </c>
      <c r="AB37" s="704">
        <f t="shared" si="4"/>
        <v>1</v>
      </c>
      <c r="AC37" s="704">
        <f t="shared" si="5"/>
        <v>1</v>
      </c>
    </row>
    <row r="38" spans="1:29" ht="15" hidden="1">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975" t="s">
        <v>1694</v>
      </c>
      <c r="Q38" s="3633" t="str">
        <f t="shared" si="11"/>
        <v>业态</v>
      </c>
      <c r="R38" s="705" t="s">
        <v>14</v>
      </c>
      <c r="S38" s="706">
        <f t="shared" si="12"/>
        <v>100</v>
      </c>
      <c r="T38" s="705" t="s">
        <v>14</v>
      </c>
      <c r="U38" s="706">
        <f t="shared" si="13"/>
        <v>100</v>
      </c>
      <c r="V38" s="705" t="s">
        <v>14</v>
      </c>
      <c r="W38" s="706">
        <f t="shared" si="14"/>
        <v>100</v>
      </c>
      <c r="X38" s="3637"/>
      <c r="Y38" s="3977" t="s">
        <v>1694</v>
      </c>
      <c r="Z38" s="3636" t="str">
        <f t="shared" si="15"/>
        <v>业态</v>
      </c>
      <c r="AA38" s="3634">
        <f t="shared" si="3"/>
        <v>1</v>
      </c>
      <c r="AB38" s="3634">
        <f t="shared" si="4"/>
        <v>1</v>
      </c>
      <c r="AC38" s="3634">
        <f t="shared" si="5"/>
        <v>1</v>
      </c>
    </row>
    <row r="39" spans="1:29" ht="15">
      <c r="A39" s="423"/>
      <c r="B39" s="375" t="s">
        <v>1787</v>
      </c>
      <c r="C39" s="1906" t="s">
        <v>3504</v>
      </c>
      <c r="D39" s="386">
        <v>100</v>
      </c>
      <c r="E39" s="1906" t="s">
        <v>3504</v>
      </c>
      <c r="F39" s="412">
        <f>SUMIF(116:116,E39,117:117)-SUMIF(116:116,C39,117:117)+100</f>
        <v>100</v>
      </c>
      <c r="G39" s="1906" t="s">
        <v>3504</v>
      </c>
      <c r="H39" s="386">
        <f>SUMIF(116:116,G39,117:117)-SUMIF(116:116,C39,117:117)+100</f>
        <v>100</v>
      </c>
      <c r="I39" s="1906" t="s">
        <v>3504</v>
      </c>
      <c r="J39" s="386">
        <f>SUMIF(116:116,I39,117:117)-SUMIF(116:116,C39,117:117)+100</f>
        <v>100</v>
      </c>
      <c r="K39" s="561">
        <v>2</v>
      </c>
      <c r="L39" s="2720"/>
      <c r="M39" s="2714"/>
      <c r="N39" s="2714"/>
      <c r="O39" s="2714"/>
      <c r="P39" s="3975"/>
      <c r="Q39" s="3633" t="str">
        <f t="shared" si="11"/>
        <v>层高</v>
      </c>
      <c r="R39" s="705" t="s">
        <v>14</v>
      </c>
      <c r="S39" s="706">
        <f t="shared" si="12"/>
        <v>100</v>
      </c>
      <c r="T39" s="705" t="s">
        <v>14</v>
      </c>
      <c r="U39" s="706">
        <f t="shared" si="13"/>
        <v>100</v>
      </c>
      <c r="V39" s="705" t="s">
        <v>14</v>
      </c>
      <c r="W39" s="706">
        <f t="shared" si="14"/>
        <v>100</v>
      </c>
      <c r="X39" s="3637"/>
      <c r="Y39" s="3977"/>
      <c r="Z39" s="3636" t="str">
        <f t="shared" si="15"/>
        <v>层高</v>
      </c>
      <c r="AA39" s="3634">
        <f t="shared" si="3"/>
        <v>1</v>
      </c>
      <c r="AB39" s="3634">
        <f t="shared" si="4"/>
        <v>1</v>
      </c>
      <c r="AC39" s="3634">
        <f t="shared" si="5"/>
        <v>1</v>
      </c>
    </row>
    <row r="40" spans="1:29" ht="15" hidden="1">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975"/>
      <c r="Q40" s="3633" t="str">
        <f t="shared" si="11"/>
        <v>单套建筑面积</v>
      </c>
      <c r="R40" s="705" t="s">
        <v>14</v>
      </c>
      <c r="S40" s="706">
        <f t="shared" si="12"/>
        <v>100</v>
      </c>
      <c r="T40" s="705" t="s">
        <v>14</v>
      </c>
      <c r="U40" s="706">
        <f t="shared" si="13"/>
        <v>100</v>
      </c>
      <c r="V40" s="705" t="s">
        <v>14</v>
      </c>
      <c r="W40" s="706">
        <f t="shared" si="14"/>
        <v>100</v>
      </c>
      <c r="X40" s="3637"/>
      <c r="Y40" s="3977"/>
      <c r="Z40" s="3636" t="str">
        <f t="shared" si="15"/>
        <v>单套建筑面积</v>
      </c>
      <c r="AA40" s="3634">
        <f t="shared" si="3"/>
        <v>1</v>
      </c>
      <c r="AB40" s="3634">
        <f t="shared" si="4"/>
        <v>1</v>
      </c>
      <c r="AC40" s="3634">
        <f t="shared" si="5"/>
        <v>1</v>
      </c>
    </row>
    <row r="41" spans="1:29" s="422" customFormat="1" ht="15">
      <c r="A41" s="419"/>
      <c r="B41" s="3635" t="s">
        <v>1789</v>
      </c>
      <c r="C41" s="565" t="s">
        <v>3505</v>
      </c>
      <c r="D41" s="386">
        <v>100</v>
      </c>
      <c r="E41" s="565" t="s">
        <v>3505</v>
      </c>
      <c r="F41" s="412">
        <f>SUMIF(120:120,E41,121:121)-SUMIF(120:120,C41,121:121)+100</f>
        <v>100</v>
      </c>
      <c r="G41" s="565" t="s">
        <v>3505</v>
      </c>
      <c r="H41" s="386">
        <f>SUMIF(120:120,G41,121:121)-SUMIF(120:120,C41,121:121)+100</f>
        <v>100</v>
      </c>
      <c r="I41" s="565" t="s">
        <v>3505</v>
      </c>
      <c r="J41" s="386">
        <f>SUMIF(120:120,I41,121:121)-SUMIF(120:120,C41,121:121)+100</f>
        <v>100</v>
      </c>
      <c r="K41" s="561">
        <v>2</v>
      </c>
      <c r="L41" s="2719"/>
      <c r="M41" s="2721"/>
      <c r="N41" s="2721"/>
      <c r="O41" s="2721"/>
      <c r="P41" s="3975"/>
      <c r="Q41" s="707" t="str">
        <f t="shared" si="11"/>
        <v>进深比</v>
      </c>
      <c r="R41" s="708" t="s">
        <v>14</v>
      </c>
      <c r="S41" s="709">
        <f t="shared" si="12"/>
        <v>100</v>
      </c>
      <c r="T41" s="708" t="s">
        <v>14</v>
      </c>
      <c r="U41" s="709">
        <f t="shared" si="13"/>
        <v>100</v>
      </c>
      <c r="V41" s="708" t="s">
        <v>14</v>
      </c>
      <c r="W41" s="709">
        <f t="shared" si="14"/>
        <v>100</v>
      </c>
      <c r="X41" s="710"/>
      <c r="Y41" s="3977"/>
      <c r="Z41" s="711" t="str">
        <f t="shared" si="15"/>
        <v>进深比</v>
      </c>
      <c r="AA41" s="3634">
        <f t="shared" si="3"/>
        <v>1</v>
      </c>
      <c r="AB41" s="3634">
        <f t="shared" si="4"/>
        <v>1</v>
      </c>
      <c r="AC41" s="3634">
        <f t="shared" si="5"/>
        <v>1</v>
      </c>
    </row>
    <row r="42" spans="1:29" ht="15">
      <c r="A42" s="423"/>
      <c r="B42" s="375" t="s">
        <v>1790</v>
      </c>
      <c r="C42" s="411" t="s">
        <v>3894</v>
      </c>
      <c r="D42" s="386">
        <v>100</v>
      </c>
      <c r="E42" s="411" t="s">
        <v>3894</v>
      </c>
      <c r="F42" s="412">
        <f>SUMIF(122:122,E42,123:123)-SUMIF(122:122,C42,123:123)+100</f>
        <v>100</v>
      </c>
      <c r="G42" s="411" t="s">
        <v>3894</v>
      </c>
      <c r="H42" s="386">
        <f>SUMIF(122:122,G42,123:123)-SUMIF(122:122,C42,123:123)+100</f>
        <v>100</v>
      </c>
      <c r="I42" s="411" t="s">
        <v>3894</v>
      </c>
      <c r="J42" s="386">
        <f>SUMIF(122:122,I42,123:123)-SUMIF(122:122,C42,123:123)+100</f>
        <v>100</v>
      </c>
      <c r="K42" s="561">
        <v>3</v>
      </c>
      <c r="L42" s="2720"/>
      <c r="M42" s="2714"/>
      <c r="N42" s="2714"/>
      <c r="O42" s="2714"/>
      <c r="P42" s="3975"/>
      <c r="Q42" s="3633" t="str">
        <f t="shared" si="11"/>
        <v>内部装修</v>
      </c>
      <c r="R42" s="705" t="s">
        <v>14</v>
      </c>
      <c r="S42" s="706">
        <f t="shared" si="12"/>
        <v>100</v>
      </c>
      <c r="T42" s="705" t="s">
        <v>14</v>
      </c>
      <c r="U42" s="706">
        <f t="shared" si="13"/>
        <v>100</v>
      </c>
      <c r="V42" s="705" t="s">
        <v>14</v>
      </c>
      <c r="W42" s="706">
        <f t="shared" si="14"/>
        <v>100</v>
      </c>
      <c r="X42" s="3637"/>
      <c r="Y42" s="3977"/>
      <c r="Z42" s="3636" t="str">
        <f t="shared" si="15"/>
        <v>内部装修</v>
      </c>
      <c r="AA42" s="3634">
        <f t="shared" si="3"/>
        <v>1</v>
      </c>
      <c r="AB42" s="3634">
        <f t="shared" si="4"/>
        <v>1</v>
      </c>
      <c r="AC42" s="3634">
        <f t="shared" si="5"/>
        <v>1</v>
      </c>
    </row>
    <row r="43" spans="1:29" ht="15.75" thickBot="1">
      <c r="A43" s="423"/>
      <c r="B43" s="375" t="s">
        <v>1705</v>
      </c>
      <c r="C43" s="1906" t="s">
        <v>3495</v>
      </c>
      <c r="D43" s="386">
        <v>100</v>
      </c>
      <c r="E43" s="1906" t="s">
        <v>3495</v>
      </c>
      <c r="F43" s="412">
        <f>SUMIF(124:124,E43,125:125)-SUMIF(124:124,C43,125:125)+100</f>
        <v>100</v>
      </c>
      <c r="G43" s="1906" t="s">
        <v>3495</v>
      </c>
      <c r="H43" s="386">
        <f>SUMIF(124:124,G43,125:125)-SUMIF(124:124,C43,125:125)+100</f>
        <v>100</v>
      </c>
      <c r="I43" s="1906" t="s">
        <v>3495</v>
      </c>
      <c r="J43" s="386">
        <f>SUMIF(124:124,I43,125:125)-SUMIF(124:124,C43,125:125)+100</f>
        <v>100</v>
      </c>
      <c r="K43" s="561">
        <v>2</v>
      </c>
      <c r="L43" s="2720"/>
      <c r="M43" s="2714"/>
      <c r="N43" s="2714"/>
      <c r="O43" s="2714"/>
      <c r="P43" s="3975"/>
      <c r="Q43" s="3633" t="str">
        <f t="shared" si="11"/>
        <v>内部装修维护情况</v>
      </c>
      <c r="R43" s="705" t="s">
        <v>14</v>
      </c>
      <c r="S43" s="706">
        <f t="shared" si="12"/>
        <v>100</v>
      </c>
      <c r="T43" s="705" t="s">
        <v>14</v>
      </c>
      <c r="U43" s="706">
        <f t="shared" si="13"/>
        <v>100</v>
      </c>
      <c r="V43" s="705" t="s">
        <v>14</v>
      </c>
      <c r="W43" s="706">
        <f t="shared" si="14"/>
        <v>100</v>
      </c>
      <c r="X43" s="3637"/>
      <c r="Y43" s="3977"/>
      <c r="Z43" s="3636" t="str">
        <f t="shared" si="15"/>
        <v>内部装修维护情况</v>
      </c>
      <c r="AA43" s="3634">
        <f t="shared" si="3"/>
        <v>1</v>
      </c>
      <c r="AB43" s="3634">
        <f t="shared" si="4"/>
        <v>1</v>
      </c>
      <c r="AC43" s="3634">
        <f t="shared" si="5"/>
        <v>1</v>
      </c>
    </row>
    <row r="44" spans="1:29" s="108" customFormat="1" ht="15" hidden="1">
      <c r="A44" s="424"/>
      <c r="B44" s="3640"/>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975"/>
      <c r="Q44" s="3632">
        <f t="shared" si="11"/>
        <v>0</v>
      </c>
      <c r="R44" s="701" t="s">
        <v>14</v>
      </c>
      <c r="S44" s="702">
        <f t="shared" si="12"/>
        <v>100</v>
      </c>
      <c r="T44" s="701" t="s">
        <v>14</v>
      </c>
      <c r="U44" s="702">
        <f t="shared" si="13"/>
        <v>100</v>
      </c>
      <c r="V44" s="701" t="s">
        <v>14</v>
      </c>
      <c r="W44" s="702">
        <f t="shared" si="14"/>
        <v>100</v>
      </c>
      <c r="X44" s="703"/>
      <c r="Y44" s="3977"/>
      <c r="Z44" s="3631">
        <f t="shared" si="15"/>
        <v>0</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975"/>
      <c r="Q45" s="3633">
        <f t="shared" si="11"/>
        <v>111</v>
      </c>
      <c r="R45" s="705" t="s">
        <v>14</v>
      </c>
      <c r="S45" s="706">
        <f t="shared" si="12"/>
        <v>100</v>
      </c>
      <c r="T45" s="705" t="s">
        <v>14</v>
      </c>
      <c r="U45" s="706">
        <f t="shared" si="13"/>
        <v>100</v>
      </c>
      <c r="V45" s="705" t="s">
        <v>14</v>
      </c>
      <c r="W45" s="706">
        <f t="shared" si="14"/>
        <v>100</v>
      </c>
      <c r="X45" s="3637"/>
      <c r="Y45" s="3977"/>
      <c r="Z45" s="3636">
        <f t="shared" si="15"/>
        <v>111</v>
      </c>
      <c r="AA45" s="3634">
        <f t="shared" si="3"/>
        <v>1</v>
      </c>
      <c r="AB45" s="3634">
        <f t="shared" si="4"/>
        <v>1</v>
      </c>
      <c r="AC45" s="3634">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976"/>
      <c r="Q46" s="3633">
        <f t="shared" si="11"/>
        <v>111</v>
      </c>
      <c r="R46" s="705" t="s">
        <v>14</v>
      </c>
      <c r="S46" s="706">
        <f t="shared" si="12"/>
        <v>100</v>
      </c>
      <c r="T46" s="705" t="s">
        <v>14</v>
      </c>
      <c r="U46" s="706">
        <f t="shared" si="13"/>
        <v>100</v>
      </c>
      <c r="V46" s="705" t="s">
        <v>14</v>
      </c>
      <c r="W46" s="706">
        <f t="shared" si="14"/>
        <v>100</v>
      </c>
      <c r="X46" s="3637"/>
      <c r="Y46" s="3978"/>
      <c r="Z46" s="3636">
        <f t="shared" si="15"/>
        <v>111</v>
      </c>
      <c r="AA46" s="3634">
        <f t="shared" si="3"/>
        <v>1</v>
      </c>
      <c r="AB46" s="3634">
        <f t="shared" si="4"/>
        <v>1</v>
      </c>
      <c r="AC46" s="3634">
        <f t="shared" si="5"/>
        <v>1</v>
      </c>
    </row>
    <row r="47" spans="1:29" ht="15">
      <c r="A47" s="430" t="s">
        <v>1706</v>
      </c>
      <c r="B47" s="431"/>
      <c r="C47" s="1154" t="s">
        <v>0</v>
      </c>
      <c r="D47" s="1155"/>
      <c r="E47" s="1156">
        <f>售价!B2</f>
        <v>44918</v>
      </c>
      <c r="F47" s="1157"/>
      <c r="G47" s="1158">
        <f>售价!B3</f>
        <v>48000</v>
      </c>
      <c r="H47" s="1159"/>
      <c r="I47" s="1156">
        <f>售价!B4</f>
        <v>46000</v>
      </c>
      <c r="J47" s="1159"/>
      <c r="K47" s="714"/>
      <c r="L47" s="2722"/>
      <c r="M47" s="2723">
        <f>15*365*0.8/0.05</f>
        <v>87600</v>
      </c>
      <c r="N47" s="2714"/>
      <c r="O47" s="2723"/>
      <c r="P47" s="3965" t="str">
        <f>A47</f>
        <v>成交单价（元/平方米）</v>
      </c>
      <c r="Q47" s="3965"/>
      <c r="R47" s="3979">
        <f>E47</f>
        <v>44918</v>
      </c>
      <c r="S47" s="3979"/>
      <c r="T47" s="3979">
        <f>G47</f>
        <v>48000</v>
      </c>
      <c r="U47" s="3979"/>
      <c r="V47" s="3979">
        <f>I47</f>
        <v>46000</v>
      </c>
      <c r="W47" s="3979"/>
      <c r="X47" s="690"/>
      <c r="Y47" s="712"/>
      <c r="Z47" s="690"/>
      <c r="AA47" s="690"/>
      <c r="AB47" s="690"/>
      <c r="AC47" s="690"/>
    </row>
    <row r="48" spans="1:29" ht="15.75" thickBot="1">
      <c r="A48" s="437" t="s">
        <v>1791</v>
      </c>
      <c r="B48" s="438"/>
      <c r="C48" s="1160">
        <f>R49</f>
        <v>47665</v>
      </c>
      <c r="D48" s="2317" t="s">
        <v>2136</v>
      </c>
      <c r="E48" s="1161">
        <f>R48</f>
        <v>44606</v>
      </c>
      <c r="F48" s="2318"/>
      <c r="G48" s="1160">
        <f>T48</f>
        <v>48980</v>
      </c>
      <c r="H48" s="2318"/>
      <c r="I48" s="1161">
        <f>V48</f>
        <v>49409</v>
      </c>
      <c r="J48" s="2318"/>
      <c r="K48" s="2320">
        <f>F48+H48+J48</f>
        <v>0</v>
      </c>
      <c r="L48" s="2722"/>
      <c r="M48" s="2723"/>
      <c r="N48" s="2714"/>
      <c r="O48" s="2723"/>
      <c r="P48" s="3965" t="str">
        <f>A48</f>
        <v>比较价值（元/平方米）</v>
      </c>
      <c r="Q48" s="3965"/>
      <c r="R48" s="3966">
        <f>IF(F1="售价",ROUND(PRODUCT(R47,AA7:AA46),0),ROUND(PRODUCT(R47,AA7:AA46),1))</f>
        <v>44606</v>
      </c>
      <c r="S48" s="3966"/>
      <c r="T48" s="3966">
        <f>IF(F1="售价",ROUND(PRODUCT(T47,AB7:AB46),0),ROUND(PRODUCT(T47,AB7:AB46),1))</f>
        <v>48980</v>
      </c>
      <c r="U48" s="3966"/>
      <c r="V48" s="3966">
        <f>IF(F1="售价",ROUND(PRODUCT(V47,AC7:AC46),0),ROUND(PRODUCT(V47,AC7:AC46),1))</f>
        <v>49409</v>
      </c>
      <c r="W48" s="3966"/>
      <c r="X48" s="690"/>
      <c r="Y48" s="690"/>
      <c r="Z48" s="690"/>
      <c r="AA48" s="690"/>
      <c r="AB48" s="690"/>
      <c r="AC48" s="690"/>
    </row>
    <row r="49" spans="1:29" ht="15.75" thickBot="1">
      <c r="A49" s="441" t="s">
        <v>1708</v>
      </c>
      <c r="B49" s="442"/>
      <c r="C49" s="1163">
        <f>R49</f>
        <v>47665</v>
      </c>
      <c r="D49" s="1163"/>
      <c r="E49" s="1163"/>
      <c r="F49" s="1163"/>
      <c r="G49" s="1163"/>
      <c r="H49" s="1163"/>
      <c r="I49" s="1163"/>
      <c r="J49" s="1163"/>
      <c r="K49" s="715"/>
      <c r="L49" s="2722"/>
      <c r="M49" s="2723"/>
      <c r="N49" s="2714"/>
      <c r="O49" s="2723"/>
      <c r="P49" s="3967" t="str">
        <f>A49</f>
        <v>估价对象XX用房的比较价值（楼面单价，元/平方米）</v>
      </c>
      <c r="Q49" s="3968"/>
      <c r="R49" s="3969">
        <f>IF(F1="售价",ROUND(IF(D48="简单平均",AVERAGE(R48:V48),R48*F48+T48*H48+V48*J48),0),ROUND(IF(D48="简单平均",AVERAGE(R48:V48),R48*F48+T48*H48+V48*J48),1))</f>
        <v>47665</v>
      </c>
      <c r="S49" s="3969"/>
      <c r="T49" s="3969"/>
      <c r="U49" s="3969"/>
      <c r="V49" s="3969"/>
      <c r="W49" s="396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1793</v>
      </c>
      <c r="D52" s="447"/>
      <c r="E52" s="448">
        <f>IF(E47&lt;E48,E48/E47-1,E47/E48-1)</f>
        <v>6.9945747208894904E-3</v>
      </c>
      <c r="F52" s="449" t="str">
        <f>IF(OR(E52&gt;=0.3,E52&lt;=-0.3),"超过30%","")</f>
        <v/>
      </c>
      <c r="G52" s="448">
        <f>IF(G47&lt;G48,G48/G47-1,G47/G48-1)</f>
        <v>2.041666666666675E-2</v>
      </c>
      <c r="H52" s="449" t="str">
        <f>IF(OR(G52&gt;=0.3,G52&lt;=-0.3),"超过30%","")</f>
        <v/>
      </c>
      <c r="I52" s="448">
        <f>IF(I47&lt;I48,I48/I47-1,I47/I48-1)</f>
        <v>7.4108695652173928E-2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1710</v>
      </c>
      <c r="D53" s="450"/>
      <c r="E53" s="448">
        <f>IF(E48&lt;G48,G48/E48-1,E48/G48-1)</f>
        <v>9.8058557144778735E-2</v>
      </c>
      <c r="F53" s="449" t="str">
        <f>IF(OR(E53&gt;=0.2,E53&lt;=-0.2),"超过20%","")</f>
        <v/>
      </c>
      <c r="G53" s="448">
        <f>IF(G48&lt;I48,I48/G48-1,G48/I48-1)</f>
        <v>8.7586770110248402E-3</v>
      </c>
      <c r="H53" s="449" t="str">
        <f>IF(OR(G53&gt;=0.2,G53&lt;=-0.2),"超过20%","")</f>
        <v/>
      </c>
      <c r="I53" s="448">
        <f>IF(I48&lt;E48,E48/I48-1,I48/E48-1)</f>
        <v>0.10767609738600181</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1711</v>
      </c>
      <c r="D54" s="450"/>
      <c r="E54" s="448">
        <f>IF(E47&lt;G47,G47/E47-1,E47/G47-1)</f>
        <v>6.8613918696291076E-2</v>
      </c>
      <c r="F54" s="449" t="str">
        <f>IF(OR(E54&gt;=0.3,E54&lt;=-0.3),"超过30%","")</f>
        <v/>
      </c>
      <c r="G54" s="448">
        <f>IF(G47&lt;I47,I47/G47-1,G47/I47-1)</f>
        <v>4.3478260869565188E-2</v>
      </c>
      <c r="H54" s="449" t="str">
        <f>IF(OR(G54&gt;=0.3,G54&lt;=-0.3),"超过30%","")</f>
        <v/>
      </c>
      <c r="I54" s="448">
        <f>IF(I47&lt;E47,E47/I47-1,I47/E47-1)</f>
        <v>2.4088338750612337E-2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1712</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1677</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1714</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1679</v>
      </c>
      <c r="B61" s="459"/>
      <c r="C61" s="471" t="s">
        <v>1716</v>
      </c>
      <c r="D61" s="3533" t="s">
        <v>3532</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105</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1717</v>
      </c>
      <c r="B63" s="477" t="s">
        <v>1683</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1686</v>
      </c>
      <c r="C65" s="3644" t="s">
        <v>3895</v>
      </c>
      <c r="D65" s="3644" t="s">
        <v>3897</v>
      </c>
      <c r="E65" s="3644" t="s">
        <v>3896</v>
      </c>
      <c r="F65" s="3644" t="s">
        <v>3898</v>
      </c>
      <c r="G65" s="3644"/>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v>100</v>
      </c>
      <c r="D66" s="485">
        <f>C66+5</f>
        <v>105</v>
      </c>
      <c r="E66" s="485">
        <f>D66+5</f>
        <v>110</v>
      </c>
      <c r="F66" s="485">
        <f>E66+5</f>
        <v>115</v>
      </c>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1687</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1688</v>
      </c>
      <c r="B76" s="477" t="s">
        <v>1718</v>
      </c>
      <c r="C76" s="522" t="s">
        <v>1719</v>
      </c>
      <c r="D76" s="522" t="s">
        <v>1720</v>
      </c>
      <c r="E76" s="522" t="s">
        <v>1721</v>
      </c>
      <c r="F76" s="522" t="s">
        <v>1722</v>
      </c>
      <c r="G76" s="522" t="s">
        <v>1723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95</v>
      </c>
      <c r="E77" s="493">
        <f>D77-$K15</f>
        <v>90</v>
      </c>
      <c r="F77" s="493">
        <f>E77-$K15</f>
        <v>85</v>
      </c>
      <c r="G77" s="493">
        <f>F77-$K15</f>
        <v>80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1724</v>
      </c>
      <c r="C78" s="527" t="s">
        <v>1719</v>
      </c>
      <c r="D78" s="527" t="s">
        <v>1720</v>
      </c>
      <c r="E78" s="527" t="s">
        <v>1721</v>
      </c>
      <c r="F78" s="527" t="s">
        <v>1722</v>
      </c>
      <c r="G78" s="527" t="s">
        <v>1723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1725</v>
      </c>
      <c r="C80" s="527" t="s">
        <v>1719</v>
      </c>
      <c r="D80" s="527" t="s">
        <v>1720</v>
      </c>
      <c r="E80" s="527" t="s">
        <v>1721</v>
      </c>
      <c r="F80" s="527" t="s">
        <v>1722</v>
      </c>
      <c r="G80" s="527" t="s">
        <v>1723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1777</v>
      </c>
      <c r="C82" s="608" t="s">
        <v>1797</v>
      </c>
      <c r="D82" s="608" t="s">
        <v>1798</v>
      </c>
      <c r="E82" s="608" t="s">
        <v>1799</v>
      </c>
      <c r="F82" s="608" t="s">
        <v>1800</v>
      </c>
      <c r="G82" s="608" t="s">
        <v>1801</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1731</v>
      </c>
      <c r="C84" s="527" t="s">
        <v>1719</v>
      </c>
      <c r="D84" s="527" t="s">
        <v>1720</v>
      </c>
      <c r="E84" s="527" t="s">
        <v>1721</v>
      </c>
      <c r="F84" s="527" t="s">
        <v>1722</v>
      </c>
      <c r="G84" s="527" t="s">
        <v>1723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1802</v>
      </c>
      <c r="C86" s="3534" t="s">
        <v>3533</v>
      </c>
      <c r="D86" s="3534" t="s">
        <v>3534</v>
      </c>
      <c r="E86" s="3534" t="s">
        <v>3535</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3536</v>
      </c>
      <c r="D88" s="503" t="s">
        <v>3537</v>
      </c>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95</v>
      </c>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3528</v>
      </c>
      <c r="D90" s="503" t="s">
        <v>3495</v>
      </c>
      <c r="E90" s="503" t="s">
        <v>3527</v>
      </c>
      <c r="F90" s="503" t="s">
        <v>3538</v>
      </c>
      <c r="G90" s="503" t="s">
        <v>3531</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3539</v>
      </c>
      <c r="D92" s="503" t="s">
        <v>3540</v>
      </c>
      <c r="E92" s="3535" t="s">
        <v>3541</v>
      </c>
      <c r="F92" s="3534" t="s">
        <v>3542</v>
      </c>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105</v>
      </c>
      <c r="D93" s="485">
        <v>100</v>
      </c>
      <c r="E93" s="485">
        <v>102</v>
      </c>
      <c r="F93" s="485">
        <v>104</v>
      </c>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1692</v>
      </c>
      <c r="B100" s="477" t="s">
        <v>1803</v>
      </c>
      <c r="C100" s="3535" t="s">
        <v>3543</v>
      </c>
      <c r="D100" s="3536" t="s">
        <v>3544</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1735</v>
      </c>
      <c r="C102" s="527" t="str">
        <f>C103&amp;"(含)"&amp;"-"&amp;D103</f>
        <v>0(含)-30</v>
      </c>
      <c r="D102" s="527" t="str">
        <f t="shared" ref="D102:L102" si="23">D103&amp;"(含)"&amp;"-"&amp;E103</f>
        <v>30(含)-50</v>
      </c>
      <c r="E102" s="527" t="str">
        <f t="shared" si="23"/>
        <v>50(含)-100</v>
      </c>
      <c r="F102" s="527" t="str">
        <f t="shared" si="23"/>
        <v>100(含)-200</v>
      </c>
      <c r="G102" s="527" t="str">
        <f t="shared" si="23"/>
        <v>200(含)-400</v>
      </c>
      <c r="H102" s="527" t="str">
        <f t="shared" si="23"/>
        <v>400(含)-800</v>
      </c>
      <c r="I102" s="527" t="str">
        <f t="shared" si="23"/>
        <v>800(含)-2000</v>
      </c>
      <c r="J102" s="527" t="str">
        <f t="shared" si="23"/>
        <v>2000(含)-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I104" si="24">D104-2</f>
        <v>96</v>
      </c>
      <c r="F104" s="485">
        <f t="shared" si="24"/>
        <v>94</v>
      </c>
      <c r="G104" s="485">
        <f t="shared" si="24"/>
        <v>92</v>
      </c>
      <c r="H104" s="485">
        <f t="shared" si="24"/>
        <v>90</v>
      </c>
      <c r="I104" s="485">
        <f t="shared" si="24"/>
        <v>88</v>
      </c>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1736</v>
      </c>
      <c r="C105" s="3534" t="s">
        <v>3545</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1738</v>
      </c>
      <c r="C107" s="3534" t="s">
        <v>3546</v>
      </c>
      <c r="D107" s="3534" t="s">
        <v>3547</v>
      </c>
      <c r="E107" s="3534" t="s">
        <v>3548</v>
      </c>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1740</v>
      </c>
      <c r="C112" s="3534" t="s">
        <v>3549</v>
      </c>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1804</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1805</v>
      </c>
      <c r="C116" s="3534" t="s">
        <v>3550</v>
      </c>
      <c r="D116" s="3534" t="s">
        <v>3551</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1806</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1807</v>
      </c>
      <c r="C120" s="3537" t="s">
        <v>3552</v>
      </c>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1742</v>
      </c>
      <c r="C122" s="3534" t="s">
        <v>3546</v>
      </c>
      <c r="D122" s="3534" t="s">
        <v>3547</v>
      </c>
      <c r="E122" s="3534" t="s">
        <v>3548</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0</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pane ySplit="6" topLeftCell="A64" activePane="bottomLeft" state="frozen"/>
      <selection pane="bottomLeft" activeCell="B3" sqref="B3"/>
    </sheetView>
  </sheetViews>
  <sheetFormatPr defaultRowHeight="13.5"/>
  <sheetData>
    <row r="1" spans="1:3">
      <c r="A1" s="4221" t="s">
        <v>669</v>
      </c>
      <c r="B1" s="4221" t="s">
        <v>3899</v>
      </c>
      <c r="C1" s="4221" t="s">
        <v>3558</v>
      </c>
    </row>
    <row r="2" spans="1:3">
      <c r="A2" s="4221" t="s">
        <v>4812</v>
      </c>
      <c r="B2">
        <v>44918</v>
      </c>
      <c r="C2">
        <v>81.13</v>
      </c>
    </row>
    <row r="3" spans="1:3">
      <c r="A3" s="4221" t="s">
        <v>4813</v>
      </c>
      <c r="B3">
        <v>48000</v>
      </c>
      <c r="C3">
        <v>961.1</v>
      </c>
    </row>
    <row r="4" spans="1:3">
      <c r="A4" s="4221" t="s">
        <v>4814</v>
      </c>
      <c r="B4">
        <v>46000</v>
      </c>
      <c r="C4">
        <v>1048.03</v>
      </c>
    </row>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805" t="s">
        <v>949</v>
      </c>
      <c r="B1" s="3805"/>
      <c r="C1" s="3805"/>
      <c r="D1" s="3805"/>
    </row>
    <row r="2" spans="1:4" ht="18">
      <c r="A2" s="3806" t="s">
        <v>933</v>
      </c>
      <c r="B2" s="3806"/>
      <c r="C2" s="3806"/>
      <c r="D2" s="380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806" t="s">
        <v>939</v>
      </c>
      <c r="B6" s="3806"/>
      <c r="C6" s="3806"/>
      <c r="D6" s="380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807" t="s">
        <v>942</v>
      </c>
      <c r="B11" s="3799"/>
      <c r="C11" s="3799"/>
      <c r="D11" s="3799"/>
    </row>
    <row r="12" spans="1:4" ht="15.75">
      <c r="A12" s="37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04"/>
      <c r="C12" s="3804"/>
      <c r="D12" s="3804"/>
    </row>
    <row r="13" spans="1:4" ht="30" customHeight="1">
      <c r="A13" s="3799" t="str">
        <f>IF(项目基本情况!B8="抵押","3.抵押双方在办理抵押登记手续时，应使用本公司出具的正式《房地产评估报告》，特提醒报告使用者注意。","——")</f>
        <v>——</v>
      </c>
      <c r="B13" s="3804"/>
      <c r="C13" s="3804"/>
      <c r="D13" s="3804"/>
    </row>
    <row r="14" spans="1:4" ht="15.75" customHeight="1">
      <c r="A14" s="3799" t="str">
        <f>IF(项目基本情况!B8="抵押","4.本次评估估价师所知悉的法定优先受偿款情况说明如下：","——")</f>
        <v>——</v>
      </c>
      <c r="B14" s="3804"/>
      <c r="C14" s="3804"/>
      <c r="D14" s="3804"/>
    </row>
    <row r="15" spans="1:4" ht="42" customHeight="1">
      <c r="A15" s="3799" t="str">
        <f>IF(项目基本情况!B8="抵押","（1）"&amp;CONCATENATE(项目基本情况!L20,项目基本情况!L21,项目基本情况!L22),"——")</f>
        <v>——</v>
      </c>
      <c r="B15" s="3799"/>
      <c r="C15" s="3799"/>
      <c r="D15" s="3799"/>
    </row>
    <row r="16" spans="1:4" ht="30" customHeight="1">
      <c r="A16" s="3801" t="s">
        <v>943</v>
      </c>
      <c r="B16" s="3801"/>
      <c r="C16" s="3801"/>
      <c r="D16" s="3801"/>
    </row>
    <row r="17" spans="1:4" ht="144" customHeight="1">
      <c r="A17" s="3801" t="s">
        <v>944</v>
      </c>
      <c r="B17" s="3801"/>
      <c r="C17" s="3801"/>
      <c r="D17" s="3801"/>
    </row>
    <row r="18" spans="1:4" ht="15.75" customHeight="1">
      <c r="A18" s="3799" t="str">
        <f>IF(项目基本情况!B8="抵押",结果表!K120,"——")</f>
        <v>——</v>
      </c>
      <c r="B18" s="3799"/>
      <c r="C18" s="3799"/>
      <c r="D18" s="3799"/>
    </row>
    <row r="19" spans="1:4" ht="46.5" customHeight="1">
      <c r="A19" s="37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99"/>
      <c r="C19" s="3799"/>
      <c r="D19" s="3799"/>
    </row>
    <row r="20" spans="1:4" ht="57.75" customHeight="1">
      <c r="A20" s="37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99"/>
      <c r="C20" s="3799"/>
      <c r="D20" s="3799"/>
    </row>
    <row r="21" spans="1:4" ht="57.75" customHeight="1">
      <c r="A21" s="38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02"/>
      <c r="C21" s="3802"/>
      <c r="D21" s="3802"/>
    </row>
    <row r="22" spans="1:4" ht="18.75" customHeight="1">
      <c r="A22" s="3803" t="s">
        <v>945</v>
      </c>
      <c r="B22" s="3803"/>
      <c r="C22" s="3803"/>
      <c r="D22" s="380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800">
        <v>42551</v>
      </c>
      <c r="D31" s="38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813" t="s">
        <v>956</v>
      </c>
      <c r="B15" s="3808" t="s">
        <v>109</v>
      </c>
      <c r="C15" s="3809"/>
    </row>
    <row r="16" spans="1:7" ht="13.5">
      <c r="A16" s="3814"/>
      <c r="B16" s="3808" t="s">
        <v>42</v>
      </c>
      <c r="C16" s="3809"/>
    </row>
    <row r="17" spans="1:3" ht="13.5">
      <c r="A17" s="3814"/>
      <c r="B17" s="3811" t="s">
        <v>957</v>
      </c>
      <c r="C17" s="1532" t="s">
        <v>956</v>
      </c>
    </row>
    <row r="18" spans="1:3" ht="13.5">
      <c r="A18" s="3814"/>
      <c r="B18" s="3811"/>
      <c r="C18" s="1532" t="s">
        <v>958</v>
      </c>
    </row>
    <row r="19" spans="1:3" ht="13.5">
      <c r="A19" s="3814"/>
      <c r="B19" s="3811"/>
      <c r="C19" s="1532" t="s">
        <v>959</v>
      </c>
    </row>
    <row r="20" spans="1:3" ht="13.5">
      <c r="A20" s="3815"/>
      <c r="B20" s="3810" t="s">
        <v>960</v>
      </c>
      <c r="C20" s="3809"/>
    </row>
    <row r="21" spans="1:3" ht="13.5">
      <c r="A21" s="1533" t="s">
        <v>961</v>
      </c>
      <c r="B21" s="1534"/>
      <c r="C21" s="1535"/>
    </row>
    <row r="22" spans="1:3" ht="13.5">
      <c r="A22" s="3812" t="s">
        <v>962</v>
      </c>
      <c r="B22" s="3810" t="s">
        <v>963</v>
      </c>
      <c r="C22" s="3809"/>
    </row>
    <row r="23" spans="1:3" ht="13.5">
      <c r="A23" s="3812"/>
      <c r="B23" s="3810" t="s">
        <v>964</v>
      </c>
      <c r="C23" s="3809"/>
    </row>
    <row r="24" spans="1:3" ht="13.5">
      <c r="A24" s="3812"/>
      <c r="B24" s="3810" t="s">
        <v>965</v>
      </c>
      <c r="C24" s="3809"/>
    </row>
    <row r="25" spans="1:3" ht="13.5">
      <c r="A25" s="3812"/>
      <c r="B25" s="3811" t="s">
        <v>966</v>
      </c>
      <c r="C25" s="1532" t="s">
        <v>967</v>
      </c>
    </row>
    <row r="26" spans="1:3" ht="13.5">
      <c r="A26" s="3812"/>
      <c r="B26" s="3811"/>
      <c r="C26" s="1532" t="s">
        <v>968</v>
      </c>
    </row>
    <row r="27" spans="1:3" ht="13.5">
      <c r="A27" s="3812"/>
      <c r="B27" s="3811"/>
      <c r="C27" s="1532" t="s">
        <v>969</v>
      </c>
    </row>
    <row r="28" spans="1:3" ht="13.5">
      <c r="A28" s="3812"/>
      <c r="B28" s="3811"/>
      <c r="C28" s="1532" t="s">
        <v>970</v>
      </c>
    </row>
    <row r="29" spans="1:3" ht="13.5">
      <c r="A29" s="3812"/>
      <c r="B29" s="3811"/>
      <c r="C29" s="1532" t="s">
        <v>971</v>
      </c>
    </row>
    <row r="30" spans="1:3" ht="13.5">
      <c r="A30" s="3812"/>
      <c r="B30" s="3811"/>
      <c r="C30" s="1532" t="s">
        <v>972</v>
      </c>
    </row>
    <row r="31" spans="1:3" ht="13.5">
      <c r="A31" s="3812"/>
      <c r="B31" s="3811"/>
      <c r="C31" s="1532" t="s">
        <v>973</v>
      </c>
    </row>
    <row r="32" spans="1:3" ht="13.5">
      <c r="A32" s="3812"/>
      <c r="B32" s="3811"/>
      <c r="C32" s="1532" t="s">
        <v>974</v>
      </c>
    </row>
    <row r="33" spans="1:3" ht="13.5">
      <c r="A33" s="3812"/>
      <c r="B33" s="381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45586</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t="str">
        <f ca="1">IF(C6&lt;B2,"已过期",1120050019)</f>
        <v>已过期</v>
      </c>
      <c r="C6" s="2345">
        <v>45410</v>
      </c>
      <c r="D6" s="2346" t="str">
        <f t="shared" ca="1" si="0"/>
        <v>王鹏（注册号：已过期）</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t="str">
        <f ca="1">IF(C13&lt;B2,"已过期",1120020033)</f>
        <v>已过期</v>
      </c>
      <c r="C13" s="2345">
        <v>45375</v>
      </c>
      <c r="D13" s="2346" t="str">
        <f t="shared" ca="1" si="0"/>
        <v>刘敬东（注册号：已过期）</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816" t="s">
        <v>2158</v>
      </c>
      <c r="B17" s="3816"/>
      <c r="C17" s="3816"/>
      <c r="D17" s="3816"/>
      <c r="E17" s="3816"/>
      <c r="F17" s="3816"/>
      <c r="G17" s="3816"/>
      <c r="H17" s="3816"/>
    </row>
    <row r="18" spans="1:8" ht="24" customHeight="1">
      <c r="A18" s="3817" t="s">
        <v>2159</v>
      </c>
      <c r="B18" s="3817"/>
      <c r="C18" s="3817"/>
      <c r="D18" s="2343"/>
      <c r="E18" s="3818" t="s">
        <v>2160</v>
      </c>
      <c r="F18" s="3817"/>
      <c r="G18" s="3817"/>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170</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西三旗万象</vt:lpstr>
      <vt:lpstr>林奥</vt:lpstr>
      <vt:lpstr>租金表</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售价</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西三旗万象!Print_Area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2024-10-21T04:40:17Z</dcterms:modified>
</cp:coreProperties>
</file>