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2025-1-0242-F03淮安土地-住宅房子案例要换一下\"/>
    </mc:Choice>
  </mc:AlternateContent>
  <xr:revisionPtr revIDLastSave="0" documentId="13_ncr:1_{A4EE8D7A-3872-454D-B12C-7B64C50B1191}" xr6:coauthVersionLast="47" xr6:coauthVersionMax="47" xr10:uidLastSave="{00000000-0000-0000-0000-000000000000}"/>
  <bookViews>
    <workbookView xWindow="-108" yWindow="-108" windowWidth="20376" windowHeight="12216" tabRatio="875" firstSheet="11"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酒店模型" sheetId="68" state="hidden" r:id="rId32"/>
    <sheet name="成本逼近法" sheetId="11" state="hidden" r:id="rId33"/>
    <sheet name="不动产比较法-住宅" sheetId="21" r:id="rId34"/>
    <sheet name="不动产收益法" sheetId="15"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信息" sheetId="72" r:id="rId42"/>
    <sheet name="土地案例" sheetId="73" r:id="rId43"/>
    <sheet name="住宅案例" sheetId="74" r:id="rId44"/>
    <sheet name="租金案例" sheetId="75" r:id="rId45"/>
    <sheet name="Sheet1" sheetId="76" r:id="rId46"/>
    <sheet name="存贷款利率" sheetId="65" r:id="rId47"/>
  </sheets>
  <externalReferences>
    <externalReference r:id="rId48"/>
    <externalReference r:id="rId49"/>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3">'不动产比较法-住宅'!$A$1:$K$54,'不动产比较法-住宅'!$A$57:$M$131</definedName>
    <definedName name="_xlnm.Print_Area" localSheetId="34">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4" i="66" l="1"/>
  <c r="B14" i="66"/>
  <c r="D8" i="12"/>
  <c r="F20" i="6"/>
  <c r="F19" i="6"/>
  <c r="L7" i="1"/>
  <c r="G5" i="72"/>
  <c r="K13" i="3"/>
  <c r="I13" i="3"/>
  <c r="E3" i="72"/>
  <c r="E4" i="72"/>
  <c r="I48" i="39"/>
  <c r="G48" i="39"/>
  <c r="E48" i="39"/>
  <c r="I40" i="39"/>
  <c r="G40" i="39"/>
  <c r="E40" i="39"/>
  <c r="C40" i="39"/>
  <c r="D119" i="39"/>
  <c r="E119" i="39" s="1"/>
  <c r="F119" i="39" s="1"/>
  <c r="G119" i="39" s="1"/>
  <c r="H119" i="39" s="1"/>
  <c r="I119" i="39" s="1"/>
  <c r="D84" i="39"/>
  <c r="E84" i="39" s="1"/>
  <c r="F84" i="39" s="1"/>
  <c r="I7" i="39" l="1"/>
  <c r="G7" i="39"/>
  <c r="E7" i="39"/>
  <c r="G9" i="72"/>
  <c r="E11" i="72"/>
  <c r="E8" i="72"/>
  <c r="E9" i="72"/>
  <c r="E10" i="72"/>
  <c r="E7" i="72"/>
  <c r="B11" i="72"/>
  <c r="N7" i="1" l="1"/>
  <c r="J7" i="1"/>
  <c r="I7" i="1"/>
  <c r="H7" i="1"/>
  <c r="E27" i="49"/>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C9" i="70"/>
  <c r="AB9" i="70"/>
  <c r="AA9" i="70"/>
  <c r="AD9" i="70" s="1"/>
  <c r="Z9" i="70"/>
  <c r="Y9" i="70"/>
  <c r="O9" i="70"/>
  <c r="N9" i="70"/>
  <c r="M9" i="70"/>
  <c r="P9" i="70" s="1"/>
  <c r="L9" i="70"/>
  <c r="K9" i="70"/>
  <c r="I9" i="70"/>
  <c r="AR10" i="70" l="1"/>
  <c r="AR37" i="70"/>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U34" i="70"/>
  <c r="AI34" i="70" s="1"/>
  <c r="U35" i="70"/>
  <c r="AI35" i="70" s="1"/>
  <c r="U33" i="70"/>
  <c r="AI33" i="70" s="1"/>
  <c r="Z3" i="70"/>
  <c r="AR18" i="70"/>
  <c r="AR19" i="70" s="1"/>
  <c r="AR20" i="70" s="1"/>
  <c r="AR21" i="70" s="1"/>
  <c r="AR22" i="70" s="1"/>
  <c r="AR23" i="70" s="1"/>
  <c r="AR24" i="70" s="1"/>
  <c r="AD39" i="70"/>
  <c r="AD37" i="70"/>
  <c r="AD38" i="70"/>
  <c r="AD36" i="70"/>
  <c r="AD35" i="70"/>
  <c r="AR40" i="70"/>
  <c r="AR41" i="70" s="1"/>
  <c r="AR42" i="70" s="1"/>
  <c r="AR43" i="70" s="1"/>
  <c r="AR44" i="70" s="1"/>
  <c r="AR45" i="70" s="1"/>
  <c r="AR46" i="70" s="1"/>
  <c r="AR47" i="70" s="1"/>
  <c r="AR48" i="70" s="1"/>
  <c r="AR49" i="70" s="1"/>
  <c r="AR50" i="70" s="1"/>
  <c r="AR51" i="70" s="1"/>
  <c r="AR52" i="70" s="1"/>
  <c r="S35" i="70"/>
  <c r="AG35" i="70" s="1"/>
  <c r="S33" i="70"/>
  <c r="AG33" i="70" s="1"/>
  <c r="S34" i="70"/>
  <c r="AG34"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AH33" i="70" l="1"/>
  <c r="W33" i="70"/>
  <c r="AK33" i="70" s="1"/>
  <c r="AH34" i="70"/>
  <c r="W34" i="70"/>
  <c r="AK34" i="70" s="1"/>
  <c r="W35" i="70"/>
  <c r="AK35" i="70" s="1"/>
  <c r="AH35"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Y34" i="59" s="1"/>
  <c r="Z34" i="59" s="1"/>
  <c r="N34" i="59"/>
  <c r="B35" i="59"/>
  <c r="B36" i="59" s="1"/>
  <c r="B37" i="59" s="1"/>
  <c r="S37" i="59" s="1"/>
  <c r="D34" i="59"/>
  <c r="Q33" i="59"/>
  <c r="P33" i="59"/>
  <c r="O33" i="59"/>
  <c r="N33" i="59"/>
  <c r="X33" i="59" s="1"/>
  <c r="Q32" i="59"/>
  <c r="P32" i="59"/>
  <c r="O32" i="59"/>
  <c r="N32" i="59"/>
  <c r="X32" i="59" s="1"/>
  <c r="Q31" i="59"/>
  <c r="P31" i="59"/>
  <c r="O31" i="59"/>
  <c r="N31" i="59"/>
  <c r="Q30" i="59"/>
  <c r="F31" i="59"/>
  <c r="P30" i="59"/>
  <c r="O30" i="59"/>
  <c r="N30" i="59"/>
  <c r="D30" i="59"/>
  <c r="AA27" i="59"/>
  <c r="E31" i="59"/>
  <c r="E32" i="59" s="1"/>
  <c r="E33" i="59" s="1"/>
  <c r="U33" i="59" s="1"/>
  <c r="E52" i="59"/>
  <c r="E53" i="59" s="1"/>
  <c r="U53" i="59"/>
  <c r="S69" i="59"/>
  <c r="AA40" i="59"/>
  <c r="F32" i="59"/>
  <c r="F33" i="59"/>
  <c r="V33" i="59" s="1"/>
  <c r="F48" i="59"/>
  <c r="F49" i="59" s="1"/>
  <c r="V49" i="59" s="1"/>
  <c r="F57" i="59"/>
  <c r="V57" i="59"/>
  <c r="C44" i="59"/>
  <c r="C45" i="59" s="1"/>
  <c r="D43" i="59"/>
  <c r="D47" i="59"/>
  <c r="C60" i="59"/>
  <c r="D60" i="59" s="1"/>
  <c r="D59" i="59"/>
  <c r="C64" i="59"/>
  <c r="C65" i="59" s="1"/>
  <c r="Q68" i="59"/>
  <c r="C68" i="59"/>
  <c r="D68" i="59" s="1"/>
  <c r="U69" i="59"/>
  <c r="Q69" i="59"/>
  <c r="C72" i="59"/>
  <c r="C71" i="59" s="1"/>
  <c r="D71" i="59" s="1"/>
  <c r="D73" i="59"/>
  <c r="C76" i="59"/>
  <c r="D76" i="59" s="1"/>
  <c r="C80" i="59"/>
  <c r="D80" i="59" s="1"/>
  <c r="E80" i="59"/>
  <c r="E79" i="59"/>
  <c r="D81" i="59"/>
  <c r="C84" i="59"/>
  <c r="D84" i="59" s="1"/>
  <c r="C88" i="59"/>
  <c r="D88" i="59" s="1"/>
  <c r="U16" i="4"/>
  <c r="S16" i="4"/>
  <c r="Q16" i="4"/>
  <c r="O16" i="4"/>
  <c r="M16" i="4"/>
  <c r="K16" i="4"/>
  <c r="C87" i="59"/>
  <c r="D87" i="59" s="1"/>
  <c r="C79" i="59"/>
  <c r="D79" i="59" s="1"/>
  <c r="O68" i="59"/>
  <c r="C83" i="59"/>
  <c r="D83" i="59" s="1"/>
  <c r="C61" i="59"/>
  <c r="T61" i="59" s="1"/>
  <c r="D6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s="1"/>
  <c r="F21" i="37"/>
  <c r="AA21" i="37" s="1"/>
  <c r="C21" i="37"/>
  <c r="D77" i="37"/>
  <c r="E77" i="37" s="1"/>
  <c r="F77" i="37" s="1"/>
  <c r="G77" i="37" s="1"/>
  <c r="Z21" i="34"/>
  <c r="Q21" i="34"/>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31" i="39"/>
  <c r="C31" i="39"/>
  <c r="B57" i="46"/>
  <c r="B77"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L72" i="3" s="1"/>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A388" i="3" s="1"/>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A387" i="3" s="1"/>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A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c r="R85" i="31"/>
  <c r="R86" i="31"/>
  <c r="S86" i="31" s="1"/>
  <c r="R87" i="31"/>
  <c r="R88" i="31"/>
  <c r="S88" i="31" s="1"/>
  <c r="R89" i="31"/>
  <c r="R90" i="31"/>
  <c r="S90" i="31"/>
  <c r="R91" i="31"/>
  <c r="R92" i="31"/>
  <c r="S92" i="31" s="1"/>
  <c r="R93" i="31"/>
  <c r="R94" i="31"/>
  <c r="S94" i="31"/>
  <c r="R95" i="31"/>
  <c r="R96" i="31"/>
  <c r="S96" i="31" s="1"/>
  <c r="R97" i="31"/>
  <c r="R98" i="31"/>
  <c r="S98" i="31" s="1"/>
  <c r="R99" i="31"/>
  <c r="R100" i="31"/>
  <c r="S100" i="31"/>
  <c r="R101" i="31"/>
  <c r="R102" i="31"/>
  <c r="S102" i="31" s="1"/>
  <c r="R103" i="31"/>
  <c r="R104" i="31"/>
  <c r="S104" i="31" s="1"/>
  <c r="R105" i="31"/>
  <c r="R106" i="31"/>
  <c r="S106" i="31"/>
  <c r="R107" i="31"/>
  <c r="R108" i="31"/>
  <c r="S108" i="31"/>
  <c r="R109" i="31"/>
  <c r="R110" i="31"/>
  <c r="S110" i="31" s="1"/>
  <c r="R111" i="31"/>
  <c r="R112" i="31"/>
  <c r="S112" i="31" s="1"/>
  <c r="R113" i="31"/>
  <c r="R114" i="31"/>
  <c r="S114" i="3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c r="R133" i="31"/>
  <c r="R134" i="31"/>
  <c r="S134" i="31"/>
  <c r="R135" i="31"/>
  <c r="R136" i="31"/>
  <c r="S136" i="31" s="1"/>
  <c r="R137" i="31"/>
  <c r="R138" i="31"/>
  <c r="S138" i="31"/>
  <c r="R139" i="31"/>
  <c r="R140" i="31"/>
  <c r="S140" i="3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c r="R165" i="31"/>
  <c r="R166" i="31"/>
  <c r="S166" i="31"/>
  <c r="R167" i="31"/>
  <c r="R168" i="31"/>
  <c r="S168" i="31" s="1"/>
  <c r="R169" i="31"/>
  <c r="R170" i="31"/>
  <c r="S170" i="31"/>
  <c r="R171" i="31"/>
  <c r="R172" i="31"/>
  <c r="S172" i="31"/>
  <c r="R173" i="31"/>
  <c r="R174" i="31"/>
  <c r="S174" i="31" s="1"/>
  <c r="R175" i="31"/>
  <c r="R176" i="31"/>
  <c r="S176" i="31" s="1"/>
  <c r="R177" i="31"/>
  <c r="R178" i="31"/>
  <c r="S178" i="3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c r="R197" i="31"/>
  <c r="R198" i="31"/>
  <c r="S198" i="31"/>
  <c r="R199" i="31"/>
  <c r="R200" i="31"/>
  <c r="S200" i="31" s="1"/>
  <c r="R201" i="31"/>
  <c r="R202" i="31"/>
  <c r="S202" i="31"/>
  <c r="R203" i="31"/>
  <c r="R204" i="31"/>
  <c r="S204" i="3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c r="R451" i="31"/>
  <c r="R452" i="31"/>
  <c r="S452" i="31"/>
  <c r="R453" i="31"/>
  <c r="R454" i="31"/>
  <c r="S454" i="31" s="1"/>
  <c r="R455" i="31"/>
  <c r="R456" i="31"/>
  <c r="S456" i="31"/>
  <c r="R457" i="31"/>
  <c r="R458" i="31"/>
  <c r="S458" i="3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B5" i="3" s="1"/>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s="1"/>
  <c r="I54" i="33"/>
  <c r="J54" i="33" s="1"/>
  <c r="G54" i="33"/>
  <c r="E54" i="33"/>
  <c r="F54" i="33" s="1"/>
  <c r="H14" i="3"/>
  <c r="G14" i="3" s="1"/>
  <c r="AC14" i="3"/>
  <c r="H15" i="3"/>
  <c r="G15" i="3" s="1"/>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A19" i="3" s="1"/>
  <c r="AZ19" i="3" s="1"/>
  <c r="BC19" i="3"/>
  <c r="BD19" i="3"/>
  <c r="BE19" i="3"/>
  <c r="BF19" i="3"/>
  <c r="BG19" i="3"/>
  <c r="BH19" i="3"/>
  <c r="BI19" i="3"/>
  <c r="BJ19" i="3"/>
  <c r="BK19" i="3"/>
  <c r="BM19" i="3"/>
  <c r="BN19" i="3"/>
  <c r="BO19" i="3"/>
  <c r="BP19" i="3"/>
  <c r="BQ19" i="3"/>
  <c r="BR19" i="3"/>
  <c r="BS19" i="3"/>
  <c r="BT19" i="3"/>
  <c r="H20" i="3"/>
  <c r="AC20" i="3"/>
  <c r="BB20" i="3"/>
  <c r="BA20" i="3" s="1"/>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L485" i="3" s="1"/>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L525" i="3" s="1"/>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A531" i="3" s="1"/>
  <c r="AZ531" i="3" s="1"/>
  <c r="BC531" i="3"/>
  <c r="BD531" i="3"/>
  <c r="BE531" i="3"/>
  <c r="BF531" i="3"/>
  <c r="BG531" i="3"/>
  <c r="BH531" i="3"/>
  <c r="BI531" i="3"/>
  <c r="BJ531" i="3"/>
  <c r="BK531" i="3"/>
  <c r="BM531" i="3"/>
  <c r="BN531" i="3"/>
  <c r="BO531" i="3"/>
  <c r="BP531" i="3"/>
  <c r="BQ531" i="3"/>
  <c r="BR531" i="3"/>
  <c r="BS531" i="3"/>
  <c r="BT531" i="3"/>
  <c r="H532" i="3"/>
  <c r="AC532" i="3"/>
  <c r="BB532" i="3"/>
  <c r="BA532" i="3" s="1"/>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L545" i="3" s="1"/>
  <c r="BO545" i="3"/>
  <c r="BP545" i="3"/>
  <c r="BQ545" i="3"/>
  <c r="BR545" i="3"/>
  <c r="BS545" i="3"/>
  <c r="BT545" i="3"/>
  <c r="H546" i="3"/>
  <c r="AC546" i="3"/>
  <c r="G546" i="3" s="1"/>
  <c r="BB546" i="3"/>
  <c r="BC546" i="3"/>
  <c r="BA546" i="3" s="1"/>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A551" i="3" s="1"/>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D99" i="37"/>
  <c r="E99" i="37" s="1"/>
  <c r="H42" i="34"/>
  <c r="J42" i="34"/>
  <c r="F42" i="34"/>
  <c r="S42" i="34" s="1"/>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W41" i="33" s="1"/>
  <c r="AC41" i="33"/>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F40" i="37" s="1"/>
  <c r="AA40" i="37" s="1"/>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J13" i="37" s="1"/>
  <c r="AC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c r="J25" i="37"/>
  <c r="W25" i="37" s="1"/>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D83" i="36"/>
  <c r="E83" i="36" s="1"/>
  <c r="F83" i="36" s="1"/>
  <c r="G83" i="36" s="1"/>
  <c r="H83" i="36" s="1"/>
  <c r="I83" i="36" s="1"/>
  <c r="J83" i="36" s="1"/>
  <c r="K83" i="36" s="1"/>
  <c r="L83" i="36" s="1"/>
  <c r="M83" i="36" s="1"/>
  <c r="D78" i="36"/>
  <c r="J26" i="36"/>
  <c r="W26" i="36" s="1"/>
  <c r="B75" i="36"/>
  <c r="B73" i="36"/>
  <c r="J24" i="36" s="1"/>
  <c r="B71" i="36"/>
  <c r="J23" i="36" s="1"/>
  <c r="D70" i="36"/>
  <c r="H22" i="36"/>
  <c r="AB22" i="36"/>
  <c r="D68" i="36"/>
  <c r="E68" i="36" s="1"/>
  <c r="F68" i="36" s="1"/>
  <c r="G68" i="36" s="1"/>
  <c r="D64" i="36"/>
  <c r="E64" i="36"/>
  <c r="F64" i="36" s="1"/>
  <c r="G64" i="36"/>
  <c r="J16" i="36"/>
  <c r="D62" i="36"/>
  <c r="E62" i="36" s="1"/>
  <c r="B59" i="36"/>
  <c r="B57" i="36"/>
  <c r="J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c r="H27" i="35"/>
  <c r="F27" i="35"/>
  <c r="AA27" i="35" s="1"/>
  <c r="J22" i="35"/>
  <c r="AC22" i="35" s="1"/>
  <c r="B101" i="35"/>
  <c r="H36" i="35"/>
  <c r="B99" i="35"/>
  <c r="J35" i="35" s="1"/>
  <c r="AC35" i="35" s="1"/>
  <c r="B97" i="35"/>
  <c r="B77" i="35"/>
  <c r="B75" i="35"/>
  <c r="J24" i="35" s="1"/>
  <c r="AC24" i="35" s="1"/>
  <c r="B73" i="35"/>
  <c r="B57" i="35"/>
  <c r="B61" i="35"/>
  <c r="H13" i="35" s="1"/>
  <c r="U13" i="35" s="1"/>
  <c r="B59" i="35"/>
  <c r="B131" i="34"/>
  <c r="F47" i="34" s="1"/>
  <c r="AA47" i="34" s="1"/>
  <c r="B129" i="34"/>
  <c r="B127" i="34"/>
  <c r="H45" i="34" s="1"/>
  <c r="U45" i="34" s="1"/>
  <c r="B99" i="34"/>
  <c r="B97" i="34"/>
  <c r="B95" i="34"/>
  <c r="B93" i="34"/>
  <c r="H29" i="34" s="1"/>
  <c r="U29" i="34" s="1"/>
  <c r="B75" i="34"/>
  <c r="F14" i="34" s="1"/>
  <c r="B73" i="34"/>
  <c r="J13" i="34" s="1"/>
  <c r="W13" i="34" s="1"/>
  <c r="B71" i="34"/>
  <c r="B130" i="33"/>
  <c r="J46" i="33" s="1"/>
  <c r="AC46" i="33" s="1"/>
  <c r="B128" i="33"/>
  <c r="H45" i="33" s="1"/>
  <c r="B126" i="33"/>
  <c r="B98" i="33"/>
  <c r="F31" i="33"/>
  <c r="B96" i="33"/>
  <c r="B94" i="33"/>
  <c r="B74" i="33"/>
  <c r="F14" i="33" s="1"/>
  <c r="B72" i="33"/>
  <c r="F13" i="33" s="1"/>
  <c r="S13" i="33" s="1"/>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Q35" i="35"/>
  <c r="Z35" i="35"/>
  <c r="Q34" i="35"/>
  <c r="Z34" i="35" s="1"/>
  <c r="Q33" i="35"/>
  <c r="Z33" i="35" s="1"/>
  <c r="Q32" i="35"/>
  <c r="Z32" i="35" s="1"/>
  <c r="H32" i="35"/>
  <c r="AB32" i="35"/>
  <c r="F32" i="35"/>
  <c r="AA32" i="35" s="1"/>
  <c r="Q31" i="35"/>
  <c r="Z31" i="35" s="1"/>
  <c r="AC31" i="35"/>
  <c r="AB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s="1"/>
  <c r="Q11" i="34"/>
  <c r="Z11" i="34" s="1"/>
  <c r="Q10" i="34"/>
  <c r="Z10" i="34"/>
  <c r="F10" i="34"/>
  <c r="S10" i="34" s="1"/>
  <c r="Q9" i="34"/>
  <c r="Z9" i="34" s="1"/>
  <c r="H9" i="34"/>
  <c r="F9" i="34"/>
  <c r="AA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s="1"/>
  <c r="F87" i="33" s="1"/>
  <c r="G87" i="33" s="1"/>
  <c r="H87" i="33" s="1"/>
  <c r="I87" i="33" s="1"/>
  <c r="J87" i="33" s="1"/>
  <c r="K87" i="33" s="1"/>
  <c r="L87" i="33" s="1"/>
  <c r="M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Q39" i="33"/>
  <c r="Z39" i="33"/>
  <c r="J39" i="33"/>
  <c r="AC39" i="33" s="1"/>
  <c r="Q38" i="33"/>
  <c r="Z38" i="33" s="1"/>
  <c r="J38" i="33"/>
  <c r="H38" i="33"/>
  <c r="U38" i="33" s="1"/>
  <c r="AB38" i="33"/>
  <c r="F38" i="33"/>
  <c r="AA38" i="33" s="1"/>
  <c r="Q37" i="33"/>
  <c r="Z37" i="33" s="1"/>
  <c r="Q36" i="33"/>
  <c r="Z36" i="33" s="1"/>
  <c r="Q35" i="33"/>
  <c r="Z35" i="33"/>
  <c r="H35" i="33"/>
  <c r="AB35" i="33" s="1"/>
  <c r="Q34" i="33"/>
  <c r="Z34" i="33" s="1"/>
  <c r="Q33" i="33"/>
  <c r="Z33" i="33" s="1"/>
  <c r="J33" i="33"/>
  <c r="AC33" i="33"/>
  <c r="H33" i="33"/>
  <c r="AB33" i="33" s="1"/>
  <c r="F33" i="33"/>
  <c r="S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Q11" i="33"/>
  <c r="Z11" i="33" s="1"/>
  <c r="Q10" i="33"/>
  <c r="Z10" i="33"/>
  <c r="Q9" i="33"/>
  <c r="Z9" i="33" s="1"/>
  <c r="J8" i="33"/>
  <c r="W8" i="33" s="1"/>
  <c r="H8" i="33"/>
  <c r="U8" i="33" s="1"/>
  <c r="F8" i="33"/>
  <c r="M102" i="21"/>
  <c r="D102" i="21"/>
  <c r="E102" i="21"/>
  <c r="F102" i="21"/>
  <c r="G102" i="21"/>
  <c r="H102" i="21"/>
  <c r="I102" i="21"/>
  <c r="J102" i="21"/>
  <c r="K102" i="21"/>
  <c r="L102" i="21"/>
  <c r="C102" i="21"/>
  <c r="C63" i="21"/>
  <c r="F9" i="21" s="1"/>
  <c r="S9" i="21" s="1"/>
  <c r="G18" i="20"/>
  <c r="B90" i="46" s="1"/>
  <c r="C25" i="40"/>
  <c r="G16" i="20"/>
  <c r="G15" i="20"/>
  <c r="B83" i="46" s="1"/>
  <c r="C24" i="20"/>
  <c r="B75" i="46" s="1"/>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81" i="21"/>
  <c r="E81" i="21" s="1"/>
  <c r="F81" i="21" s="1"/>
  <c r="G81" i="21" s="1"/>
  <c r="D77" i="21"/>
  <c r="E77" i="21" s="1"/>
  <c r="F77" i="21" s="1"/>
  <c r="G77" i="21" s="1"/>
  <c r="B130" i="21"/>
  <c r="B128" i="21"/>
  <c r="F45" i="21" s="1"/>
  <c r="AA45" i="21" s="1"/>
  <c r="B126" i="21"/>
  <c r="H44" i="21" s="1"/>
  <c r="AB44" i="21" s="1"/>
  <c r="B98" i="21"/>
  <c r="B96" i="21"/>
  <c r="F30" i="21" s="1"/>
  <c r="S30" i="21" s="1"/>
  <c r="B94" i="21"/>
  <c r="F29" i="21" s="1"/>
  <c r="B92" i="21"/>
  <c r="B90" i="21"/>
  <c r="B74" i="21"/>
  <c r="J14" i="21" s="1"/>
  <c r="B72" i="21"/>
  <c r="J13" i="21" s="1"/>
  <c r="AC13" i="21" s="1"/>
  <c r="B70" i="21"/>
  <c r="F12" i="21" s="1"/>
  <c r="F10" i="21"/>
  <c r="AA10"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Q40" i="21"/>
  <c r="Z40" i="21" s="1"/>
  <c r="Q41" i="21"/>
  <c r="Z41" i="21" s="1"/>
  <c r="Q42" i="21"/>
  <c r="Z42" i="21"/>
  <c r="J43" i="21"/>
  <c r="AC43" i="21" s="1"/>
  <c r="Q43" i="21"/>
  <c r="Z43" i="21" s="1"/>
  <c r="Q44" i="21"/>
  <c r="Z44" i="21" s="1"/>
  <c r="Q45" i="21"/>
  <c r="Z45" i="21"/>
  <c r="Q46" i="21"/>
  <c r="Z46" i="21" s="1"/>
  <c r="P47" i="21"/>
  <c r="R47" i="21"/>
  <c r="T47" i="21"/>
  <c r="V47" i="21"/>
  <c r="P48" i="21"/>
  <c r="P49" i="21"/>
  <c r="F8" i="21"/>
  <c r="AA8" i="21" s="1"/>
  <c r="E13" i="11"/>
  <c r="E12" i="11"/>
  <c r="C9" i="12"/>
  <c r="BB12" i="3"/>
  <c r="F9" i="12"/>
  <c r="D9" i="12"/>
  <c r="E9" i="12"/>
  <c r="G9" i="12"/>
  <c r="K5" i="3"/>
  <c r="J5" i="3"/>
  <c r="BE10" i="3"/>
  <c r="BD13" i="3"/>
  <c r="BD5" i="3" s="1"/>
  <c r="BE13" i="3"/>
  <c r="BF13" i="3"/>
  <c r="BG13" i="3"/>
  <c r="BH13" i="3"/>
  <c r="BI13" i="3"/>
  <c r="BJ13" i="3"/>
  <c r="BJ5" i="3" s="1"/>
  <c r="BK13" i="3"/>
  <c r="BM13" i="3"/>
  <c r="BN13" i="3"/>
  <c r="BO13" i="3"/>
  <c r="BP13" i="3"/>
  <c r="BS13" i="3"/>
  <c r="BS5" i="3" s="1"/>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G3" i="46" s="1"/>
  <c r="Z7" i="46" s="1"/>
  <c r="L5" i="3"/>
  <c r="M5" i="3"/>
  <c r="N5" i="3"/>
  <c r="O5" i="3"/>
  <c r="P5" i="3"/>
  <c r="Q5" i="3"/>
  <c r="R5" i="3"/>
  <c r="S5" i="3"/>
  <c r="T5" i="3"/>
  <c r="U5" i="3"/>
  <c r="V5" i="3"/>
  <c r="W5" i="3"/>
  <c r="X5" i="3"/>
  <c r="Y5" i="3"/>
  <c r="Z5" i="3"/>
  <c r="AA5" i="3"/>
  <c r="AB5" i="3"/>
  <c r="H570" i="3"/>
  <c r="G570" i="3" s="1"/>
  <c r="H571" i="3"/>
  <c r="H572" i="3"/>
  <c r="G572" i="3" s="1"/>
  <c r="F5" i="3"/>
  <c r="G27" i="6"/>
  <c r="F34" i="21"/>
  <c r="AA34" i="21"/>
  <c r="H34" i="21"/>
  <c r="U34" i="21" s="1"/>
  <c r="F43" i="21"/>
  <c r="S43" i="21"/>
  <c r="H38" i="21"/>
  <c r="AB38" i="21" s="1"/>
  <c r="H43" i="21"/>
  <c r="AB43" i="21" s="1"/>
  <c r="F32" i="21"/>
  <c r="F38" i="21"/>
  <c r="AA38" i="21" s="1"/>
  <c r="F36" i="21"/>
  <c r="S36" i="21" s="1"/>
  <c r="F39" i="21"/>
  <c r="AA39" i="21"/>
  <c r="J40" i="21"/>
  <c r="W40" i="21" s="1"/>
  <c r="H35" i="21"/>
  <c r="AB35" i="21" s="1"/>
  <c r="J8" i="21"/>
  <c r="AC8" i="21" s="1"/>
  <c r="J9" i="21"/>
  <c r="AC9" i="21" s="1"/>
  <c r="H8" i="21"/>
  <c r="AB8" i="21" s="1"/>
  <c r="H9" i="21"/>
  <c r="AB9" i="21" s="1"/>
  <c r="H10" i="21"/>
  <c r="U10" i="21" s="1"/>
  <c r="H39" i="21"/>
  <c r="AB39" i="21" s="1"/>
  <c r="J34" i="21"/>
  <c r="W34" i="21" s="1"/>
  <c r="H36" i="21"/>
  <c r="U36" i="21"/>
  <c r="F35" i="21"/>
  <c r="AA35" i="21" s="1"/>
  <c r="J33" i="21"/>
  <c r="W33" i="21" s="1"/>
  <c r="H33" i="21"/>
  <c r="U33" i="21" s="1"/>
  <c r="F33" i="21"/>
  <c r="J10" i="21"/>
  <c r="AC10" i="21" s="1"/>
  <c r="H26" i="21"/>
  <c r="U26" i="21" s="1"/>
  <c r="F19" i="21"/>
  <c r="AA19" i="21" s="1"/>
  <c r="H19" i="21"/>
  <c r="AB19" i="21" s="1"/>
  <c r="J19" i="21"/>
  <c r="W19" i="21" s="1"/>
  <c r="J12" i="21"/>
  <c r="H12" i="21"/>
  <c r="U12" i="21" s="1"/>
  <c r="J26" i="21"/>
  <c r="W26" i="21" s="1"/>
  <c r="F26" i="21"/>
  <c r="AA26" i="21" s="1"/>
  <c r="AB41" i="21"/>
  <c r="S41" i="21"/>
  <c r="S10" i="39"/>
  <c r="F39" i="37"/>
  <c r="AA39" i="37" s="1"/>
  <c r="W39" i="37"/>
  <c r="F29" i="36"/>
  <c r="AA29" i="36"/>
  <c r="F16" i="36"/>
  <c r="AA16" i="36" s="1"/>
  <c r="U22" i="36"/>
  <c r="W22" i="36"/>
  <c r="U26" i="36"/>
  <c r="AC31" i="36"/>
  <c r="W33" i="36"/>
  <c r="AC27" i="35"/>
  <c r="U31" i="35"/>
  <c r="S31" i="35"/>
  <c r="F36" i="34"/>
  <c r="S36" i="34" s="1"/>
  <c r="S34" i="34"/>
  <c r="W39" i="34"/>
  <c r="H39" i="33"/>
  <c r="AB39" i="33"/>
  <c r="F26" i="33"/>
  <c r="AA26" i="33" s="1"/>
  <c r="S40" i="33"/>
  <c r="W33" i="33"/>
  <c r="H39" i="37"/>
  <c r="AB39" i="37" s="1"/>
  <c r="W10" i="40"/>
  <c r="U11" i="40"/>
  <c r="U36" i="40"/>
  <c r="AC40" i="21"/>
  <c r="AB36" i="21"/>
  <c r="AC35" i="21"/>
  <c r="C29" i="39"/>
  <c r="C23" i="39"/>
  <c r="U36" i="39"/>
  <c r="H32" i="33"/>
  <c r="AB32" i="33" s="1"/>
  <c r="J11" i="21"/>
  <c r="W11" i="21" s="1"/>
  <c r="F85" i="40"/>
  <c r="G85" i="40" s="1"/>
  <c r="J27" i="36"/>
  <c r="W27" i="36" s="1"/>
  <c r="J34" i="36"/>
  <c r="W34" i="36" s="1"/>
  <c r="J30" i="35"/>
  <c r="W30" i="35" s="1"/>
  <c r="F22" i="35"/>
  <c r="AA22" i="35"/>
  <c r="H10" i="35"/>
  <c r="U10" i="35" s="1"/>
  <c r="U29" i="36"/>
  <c r="E85" i="36"/>
  <c r="F85" i="36" s="1"/>
  <c r="G85" i="36" s="1"/>
  <c r="H85" i="36" s="1"/>
  <c r="I85" i="36" s="1"/>
  <c r="J85" i="36" s="1"/>
  <c r="K85" i="36" s="1"/>
  <c r="L85" i="36" s="1"/>
  <c r="M85" i="36" s="1"/>
  <c r="J29" i="36"/>
  <c r="AC29" i="36" s="1"/>
  <c r="F12" i="36"/>
  <c r="S12" i="36" s="1"/>
  <c r="F24" i="36"/>
  <c r="AA24" i="36" s="1"/>
  <c r="AB8" i="36"/>
  <c r="H16" i="35"/>
  <c r="U16" i="35" s="1"/>
  <c r="H33" i="35"/>
  <c r="AB33" i="35" s="1"/>
  <c r="AC8" i="35"/>
  <c r="F35" i="37"/>
  <c r="E101" i="37"/>
  <c r="F101" i="37" s="1"/>
  <c r="G101" i="37" s="1"/>
  <c r="H101" i="37" s="1"/>
  <c r="I101" i="37" s="1"/>
  <c r="J101" i="37" s="1"/>
  <c r="K101" i="37" s="1"/>
  <c r="L101" i="37" s="1"/>
  <c r="M101" i="37" s="1"/>
  <c r="J34" i="37"/>
  <c r="W34" i="37"/>
  <c r="H43" i="34"/>
  <c r="U43" i="34" s="1"/>
  <c r="U42" i="34"/>
  <c r="H36" i="34"/>
  <c r="U36" i="34" s="1"/>
  <c r="F37" i="34"/>
  <c r="AA37" i="34"/>
  <c r="F33" i="34"/>
  <c r="S33" i="34" s="1"/>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F125" i="21"/>
  <c r="G125" i="21" s="1"/>
  <c r="AB30" i="36"/>
  <c r="S22" i="35"/>
  <c r="H29" i="35"/>
  <c r="U34" i="37"/>
  <c r="S34" i="37"/>
  <c r="AA34" i="37"/>
  <c r="AB42" i="34"/>
  <c r="AB40" i="34"/>
  <c r="W36" i="34"/>
  <c r="J19" i="34"/>
  <c r="AC19" i="34" s="1"/>
  <c r="H37" i="33"/>
  <c r="AB37" i="33"/>
  <c r="S37" i="33"/>
  <c r="AC42" i="34"/>
  <c r="W42" i="34"/>
  <c r="AA42" i="34"/>
  <c r="AC38" i="34"/>
  <c r="W38" i="34"/>
  <c r="AA38" i="34"/>
  <c r="J37" i="33"/>
  <c r="W37" i="33" s="1"/>
  <c r="J42" i="21"/>
  <c r="AC42" i="21" s="1"/>
  <c r="J44" i="34"/>
  <c r="AC44" i="34" s="1"/>
  <c r="F44" i="34"/>
  <c r="S44" i="34" s="1"/>
  <c r="J10" i="35"/>
  <c r="W10" i="35" s="1"/>
  <c r="AL5" i="3"/>
  <c r="BQ13" i="3"/>
  <c r="BL572" i="3"/>
  <c r="F14" i="21"/>
  <c r="AA14" i="21" s="1"/>
  <c r="H14" i="21"/>
  <c r="U14" i="21"/>
  <c r="H28" i="21"/>
  <c r="AB28" i="21" s="1"/>
  <c r="F28" i="21"/>
  <c r="S28" i="21" s="1"/>
  <c r="J28" i="21"/>
  <c r="AC28" i="21" s="1"/>
  <c r="H30" i="21"/>
  <c r="U30" i="21" s="1"/>
  <c r="J44" i="21"/>
  <c r="AC44" i="21" s="1"/>
  <c r="F44" i="21"/>
  <c r="AA44" i="21" s="1"/>
  <c r="H46" i="21"/>
  <c r="AB46" i="21" s="1"/>
  <c r="J46" i="21"/>
  <c r="W46" i="21" s="1"/>
  <c r="F46" i="21"/>
  <c r="AA46" i="21"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H27" i="21"/>
  <c r="AB27" i="21" s="1"/>
  <c r="J27" i="21"/>
  <c r="W27" i="21" s="1"/>
  <c r="F27" i="21"/>
  <c r="AA27" i="21" s="1"/>
  <c r="J31" i="21"/>
  <c r="AC31" i="21" s="1"/>
  <c r="H31" i="21"/>
  <c r="F31" i="21"/>
  <c r="S31" i="21" s="1"/>
  <c r="H45" i="21"/>
  <c r="U45" i="21" s="1"/>
  <c r="J27" i="33"/>
  <c r="AC27" i="33" s="1"/>
  <c r="F27" i="33"/>
  <c r="S27" i="33" s="1"/>
  <c r="J29" i="33"/>
  <c r="W29" i="33" s="1"/>
  <c r="J31" i="33"/>
  <c r="AC31" i="33" s="1"/>
  <c r="H31" i="33"/>
  <c r="U31" i="33" s="1"/>
  <c r="J45" i="33"/>
  <c r="W45" i="33" s="1"/>
  <c r="F45" i="33"/>
  <c r="S45" i="33" s="1"/>
  <c r="F11" i="35"/>
  <c r="S11" i="35"/>
  <c r="H28" i="36"/>
  <c r="U28" i="36" s="1"/>
  <c r="H32" i="36"/>
  <c r="AB32" i="36" s="1"/>
  <c r="J32" i="36"/>
  <c r="AC32" i="36" s="1"/>
  <c r="J11" i="36"/>
  <c r="W11" i="36" s="1"/>
  <c r="H13" i="36"/>
  <c r="AB13" i="36" s="1"/>
  <c r="J13" i="36"/>
  <c r="F13" i="36"/>
  <c r="S13" i="36" s="1"/>
  <c r="J29" i="37"/>
  <c r="W29" i="37"/>
  <c r="F29" i="37"/>
  <c r="AA29" i="37" s="1"/>
  <c r="F105" i="37"/>
  <c r="AB36" i="37"/>
  <c r="F107" i="37"/>
  <c r="G107" i="37" s="1"/>
  <c r="H107" i="37" s="1"/>
  <c r="I107" i="37" s="1"/>
  <c r="J107" i="37" s="1"/>
  <c r="K107" i="37" s="1"/>
  <c r="L107" i="37" s="1"/>
  <c r="M107" i="37" s="1"/>
  <c r="J37" i="37"/>
  <c r="AC37" i="37" s="1"/>
  <c r="H37" i="37"/>
  <c r="U37" i="37" s="1"/>
  <c r="H40" i="37"/>
  <c r="U40" i="37" s="1"/>
  <c r="J40" i="37"/>
  <c r="W40" i="37" s="1"/>
  <c r="H14" i="33"/>
  <c r="U14" i="33" s="1"/>
  <c r="AA14" i="33"/>
  <c r="J14" i="33"/>
  <c r="AC14" i="33"/>
  <c r="F30" i="33"/>
  <c r="AA30" i="33" s="1"/>
  <c r="H44" i="33"/>
  <c r="U44" i="33" s="1"/>
  <c r="J44" i="33"/>
  <c r="AC44" i="33" s="1"/>
  <c r="F44" i="33"/>
  <c r="S44" i="33" s="1"/>
  <c r="F46" i="33"/>
  <c r="AA46" i="33" s="1"/>
  <c r="H46" i="33"/>
  <c r="AB46" i="33" s="1"/>
  <c r="H13" i="34"/>
  <c r="U13" i="34" s="1"/>
  <c r="F13" i="34"/>
  <c r="AA13" i="34" s="1"/>
  <c r="J29" i="34"/>
  <c r="AC29" i="34" s="1"/>
  <c r="F29" i="34"/>
  <c r="S29" i="34" s="1"/>
  <c r="J31" i="34"/>
  <c r="W31" i="34" s="1"/>
  <c r="H31" i="34"/>
  <c r="AB31" i="34" s="1"/>
  <c r="F31" i="34"/>
  <c r="S31" i="34" s="1"/>
  <c r="J45" i="34"/>
  <c r="W45" i="34" s="1"/>
  <c r="F45" i="34"/>
  <c r="AA45" i="34" s="1"/>
  <c r="H47" i="34"/>
  <c r="U47" i="34" s="1"/>
  <c r="J47" i="34"/>
  <c r="AC47" i="34" s="1"/>
  <c r="F13" i="35"/>
  <c r="S13" i="35" s="1"/>
  <c r="J13" i="35"/>
  <c r="AC13" i="35" s="1"/>
  <c r="J25" i="35"/>
  <c r="AC25" i="35" s="1"/>
  <c r="F25" i="35"/>
  <c r="AA25" i="35" s="1"/>
  <c r="H25" i="35"/>
  <c r="AB25" i="35" s="1"/>
  <c r="F35" i="35"/>
  <c r="S35" i="35" s="1"/>
  <c r="H35" i="35"/>
  <c r="U35" i="35" s="1"/>
  <c r="J25" i="36"/>
  <c r="W25" i="36" s="1"/>
  <c r="F25" i="36"/>
  <c r="AA25" i="36" s="1"/>
  <c r="H25" i="36"/>
  <c r="AB25" i="36" s="1"/>
  <c r="H13" i="37"/>
  <c r="AB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14" i="21"/>
  <c r="W42" i="21"/>
  <c r="S46" i="33"/>
  <c r="U36" i="37"/>
  <c r="AB27" i="33"/>
  <c r="U28" i="21"/>
  <c r="G521" i="3"/>
  <c r="G517" i="3"/>
  <c r="G513" i="3"/>
  <c r="G499" i="3"/>
  <c r="G493" i="3"/>
  <c r="G485" i="3"/>
  <c r="G565" i="3"/>
  <c r="G561" i="3"/>
  <c r="G557" i="3"/>
  <c r="G545" i="3"/>
  <c r="G539" i="3"/>
  <c r="BL569" i="3"/>
  <c r="BL557" i="3"/>
  <c r="BL553" i="3"/>
  <c r="BL527" i="3"/>
  <c r="BL519" i="3"/>
  <c r="BL511" i="3"/>
  <c r="BL491" i="3"/>
  <c r="BL483" i="3"/>
  <c r="G16" i="3"/>
  <c r="BL559" i="3"/>
  <c r="BL555" i="3"/>
  <c r="BL541" i="3"/>
  <c r="BL533" i="3"/>
  <c r="G514" i="3"/>
  <c r="G510" i="3"/>
  <c r="BL503" i="3"/>
  <c r="G18" i="3"/>
  <c r="BA569" i="3"/>
  <c r="BA561" i="3"/>
  <c r="BA559" i="3"/>
  <c r="AZ559" i="3" s="1"/>
  <c r="BA557" i="3"/>
  <c r="AZ557" i="3" s="1"/>
  <c r="BA555" i="3"/>
  <c r="BA545" i="3"/>
  <c r="BA543" i="3"/>
  <c r="BA541" i="3"/>
  <c r="AZ541" i="3" s="1"/>
  <c r="BA521" i="3"/>
  <c r="BA509" i="3"/>
  <c r="BA505" i="3"/>
  <c r="BA501" i="3"/>
  <c r="BA493" i="3"/>
  <c r="AZ493" i="3" s="1"/>
  <c r="BA487" i="3"/>
  <c r="BA566" i="3"/>
  <c r="BA562" i="3"/>
  <c r="BA560" i="3"/>
  <c r="AZ560" i="3" s="1"/>
  <c r="BA558" i="3"/>
  <c r="BA556" i="3"/>
  <c r="BA554" i="3"/>
  <c r="BA550" i="3"/>
  <c r="BA544" i="3"/>
  <c r="BA540" i="3"/>
  <c r="BA536" i="3"/>
  <c r="AZ536" i="3" s="1"/>
  <c r="BA528" i="3"/>
  <c r="BA524" i="3"/>
  <c r="BA520" i="3"/>
  <c r="BA516" i="3"/>
  <c r="BA512" i="3"/>
  <c r="BA508" i="3"/>
  <c r="BA502" i="3"/>
  <c r="BA498" i="3"/>
  <c r="BA492" i="3"/>
  <c r="BA488" i="3"/>
  <c r="BA484" i="3"/>
  <c r="G566" i="3"/>
  <c r="G562" i="3"/>
  <c r="G560" i="3"/>
  <c r="G558" i="3"/>
  <c r="G556" i="3"/>
  <c r="G554" i="3"/>
  <c r="G550" i="3"/>
  <c r="BL543" i="3"/>
  <c r="BA542" i="3"/>
  <c r="AC542" i="3"/>
  <c r="G542" i="3" s="1"/>
  <c r="BQ542" i="3"/>
  <c r="BL542" i="3" s="1"/>
  <c r="BQ568" i="3"/>
  <c r="BQ566" i="3"/>
  <c r="BQ564" i="3"/>
  <c r="BL564" i="3" s="1"/>
  <c r="BQ562" i="3"/>
  <c r="BL562" i="3" s="1"/>
  <c r="AZ562" i="3" s="1"/>
  <c r="BQ560" i="3"/>
  <c r="BL560" i="3" s="1"/>
  <c r="BQ558" i="3"/>
  <c r="BL558" i="3" s="1"/>
  <c r="BQ556" i="3"/>
  <c r="BL556" i="3" s="1"/>
  <c r="BQ554" i="3"/>
  <c r="BL554" i="3" s="1"/>
  <c r="AZ554" i="3" s="1"/>
  <c r="BQ552" i="3"/>
  <c r="BL552" i="3" s="1"/>
  <c r="BQ550" i="3"/>
  <c r="BL550" i="3" s="1"/>
  <c r="BQ548" i="3"/>
  <c r="BQ546" i="3"/>
  <c r="BL546" i="3" s="1"/>
  <c r="BQ544" i="3"/>
  <c r="BL544" i="3" s="1"/>
  <c r="G544" i="3"/>
  <c r="G538" i="3"/>
  <c r="G534" i="3"/>
  <c r="G530" i="3"/>
  <c r="G526" i="3"/>
  <c r="BQ540" i="3"/>
  <c r="BL540" i="3" s="1"/>
  <c r="AZ540" i="3" s="1"/>
  <c r="BQ538" i="3"/>
  <c r="BL538" i="3" s="1"/>
  <c r="BQ536" i="3"/>
  <c r="BQ534" i="3"/>
  <c r="BL534" i="3" s="1"/>
  <c r="BQ532" i="3"/>
  <c r="BL532" i="3" s="1"/>
  <c r="BQ530" i="3"/>
  <c r="BQ528" i="3"/>
  <c r="BQ526" i="3"/>
  <c r="BL526" i="3" s="1"/>
  <c r="BQ524" i="3"/>
  <c r="BL524" i="3" s="1"/>
  <c r="BQ522" i="3"/>
  <c r="BQ520" i="3"/>
  <c r="BL520" i="3" s="1"/>
  <c r="AZ520" i="3" s="1"/>
  <c r="BQ518" i="3"/>
  <c r="BQ516" i="3"/>
  <c r="BL516" i="3" s="1"/>
  <c r="BQ514" i="3"/>
  <c r="BL514" i="3" s="1"/>
  <c r="BQ512" i="3"/>
  <c r="BL512" i="3" s="1"/>
  <c r="AZ512" i="3" s="1"/>
  <c r="BQ510" i="3"/>
  <c r="BL510" i="3" s="1"/>
  <c r="BQ508" i="3"/>
  <c r="BL508" i="3" s="1"/>
  <c r="AZ508" i="3" s="1"/>
  <c r="AC506" i="3"/>
  <c r="BQ506" i="3"/>
  <c r="G502" i="3"/>
  <c r="G498" i="3"/>
  <c r="BQ504" i="3"/>
  <c r="BQ502" i="3"/>
  <c r="BL502" i="3" s="1"/>
  <c r="BQ500" i="3"/>
  <c r="BL500" i="3" s="1"/>
  <c r="BQ498" i="3"/>
  <c r="BL498" i="3" s="1"/>
  <c r="AZ498" i="3" s="1"/>
  <c r="BQ496" i="3"/>
  <c r="BL496" i="3" s="1"/>
  <c r="AC494" i="3"/>
  <c r="AC5" i="3" s="1"/>
  <c r="BQ494" i="3"/>
  <c r="BL493" i="3"/>
  <c r="G492" i="3"/>
  <c r="G488" i="3"/>
  <c r="G20" i="3"/>
  <c r="BQ492" i="3"/>
  <c r="BL492" i="3" s="1"/>
  <c r="BQ490" i="3"/>
  <c r="BL490" i="3" s="1"/>
  <c r="AZ490" i="3" s="1"/>
  <c r="BQ488" i="3"/>
  <c r="BL488" i="3" s="1"/>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AB17" i="37" s="1"/>
  <c r="F23" i="37"/>
  <c r="S23" i="37" s="1"/>
  <c r="F79" i="37"/>
  <c r="G79"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c r="H23" i="37"/>
  <c r="AB23" i="37"/>
  <c r="J32" i="37"/>
  <c r="AC32" i="37"/>
  <c r="F36" i="37"/>
  <c r="S36" i="37" s="1"/>
  <c r="F37" i="37"/>
  <c r="AA37" i="37" s="1"/>
  <c r="U23" i="37"/>
  <c r="H42" i="33"/>
  <c r="U42" i="33" s="1"/>
  <c r="J43" i="33"/>
  <c r="AC43" i="33" s="1"/>
  <c r="J23" i="37"/>
  <c r="W23" i="37" s="1"/>
  <c r="F17" i="37"/>
  <c r="AA17" i="37" s="1"/>
  <c r="AB43" i="33"/>
  <c r="D3" i="21"/>
  <c r="AC33" i="36"/>
  <c r="W23" i="35"/>
  <c r="U39" i="37"/>
  <c r="AC8" i="37"/>
  <c r="AC36" i="34"/>
  <c r="AB8" i="34"/>
  <c r="AC37" i="33"/>
  <c r="AC45" i="33"/>
  <c r="AC33" i="21"/>
  <c r="AA36" i="21"/>
  <c r="S39" i="33"/>
  <c r="F43" i="33"/>
  <c r="AA43" i="33"/>
  <c r="AB44" i="33"/>
  <c r="F37" i="21"/>
  <c r="S37" i="21" s="1"/>
  <c r="J37" i="21"/>
  <c r="W37" i="21" s="1"/>
  <c r="H19" i="34"/>
  <c r="AB19" i="34"/>
  <c r="J10" i="37"/>
  <c r="AC10" i="37" s="1"/>
  <c r="F36" i="35"/>
  <c r="AA36" i="35" s="1"/>
  <c r="J9" i="37"/>
  <c r="W9" i="37" s="1"/>
  <c r="H9" i="37"/>
  <c r="U9" i="37"/>
  <c r="F9" i="37"/>
  <c r="S9" i="37" s="1"/>
  <c r="F11" i="37"/>
  <c r="S11" i="37" s="1"/>
  <c r="J12" i="37"/>
  <c r="AC12" i="37" s="1"/>
  <c r="H12" i="37"/>
  <c r="AB12" i="37"/>
  <c r="F12" i="37"/>
  <c r="AA12" i="37" s="1"/>
  <c r="H15" i="37"/>
  <c r="U15" i="37" s="1"/>
  <c r="E94" i="37"/>
  <c r="F94" i="37" s="1"/>
  <c r="G94" i="37" s="1"/>
  <c r="H94" i="37" s="1"/>
  <c r="I94" i="37" s="1"/>
  <c r="J94" i="37" s="1"/>
  <c r="K94" i="37" s="1"/>
  <c r="L94" i="37" s="1"/>
  <c r="M94" i="37" s="1"/>
  <c r="F31" i="37"/>
  <c r="S31" i="37"/>
  <c r="H31" i="37"/>
  <c r="U31" i="37" s="1"/>
  <c r="AB31" i="37"/>
  <c r="J15" i="37"/>
  <c r="W15" i="37" s="1"/>
  <c r="U12" i="37"/>
  <c r="J11" i="37"/>
  <c r="W11" i="37" s="1"/>
  <c r="E89" i="40"/>
  <c r="F89" i="40" s="1"/>
  <c r="G89" i="40" s="1"/>
  <c r="F21" i="40"/>
  <c r="S21" i="40" s="1"/>
  <c r="J21" i="40"/>
  <c r="AC21" i="40" s="1"/>
  <c r="S27" i="31"/>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AZ363" i="3" s="1"/>
  <c r="G371" i="3"/>
  <c r="BL372" i="3"/>
  <c r="G373" i="3"/>
  <c r="BL374" i="3"/>
  <c r="BA376" i="3"/>
  <c r="BA377" i="3"/>
  <c r="BL377" i="3"/>
  <c r="G378" i="3"/>
  <c r="BA379" i="3"/>
  <c r="AZ379" i="3" s="1"/>
  <c r="BA114" i="3"/>
  <c r="BL115" i="3"/>
  <c r="G116" i="3"/>
  <c r="BA118" i="3"/>
  <c r="BL119" i="3"/>
  <c r="G120" i="3"/>
  <c r="BA122" i="3"/>
  <c r="BL123" i="3"/>
  <c r="G124" i="3"/>
  <c r="BA126" i="3"/>
  <c r="BL127" i="3"/>
  <c r="G128" i="3"/>
  <c r="BA130" i="3"/>
  <c r="AZ130" i="3" s="1"/>
  <c r="BL131" i="3"/>
  <c r="AZ131" i="3"/>
  <c r="G132" i="3"/>
  <c r="BA134" i="3"/>
  <c r="BL135" i="3"/>
  <c r="G136" i="3"/>
  <c r="BA138" i="3"/>
  <c r="BL139" i="3"/>
  <c r="G140" i="3"/>
  <c r="BA142" i="3"/>
  <c r="BL143" i="3"/>
  <c r="G144" i="3"/>
  <c r="BA146" i="3"/>
  <c r="AZ146" i="3" s="1"/>
  <c r="BL147" i="3"/>
  <c r="AZ147" i="3" s="1"/>
  <c r="G148" i="3"/>
  <c r="BA150" i="3"/>
  <c r="BL151" i="3"/>
  <c r="AZ151" i="3" s="1"/>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AZ188" i="3" s="1"/>
  <c r="BL189" i="3"/>
  <c r="G190" i="3"/>
  <c r="BA192" i="3"/>
  <c r="AZ192" i="3" s="1"/>
  <c r="BL193" i="3"/>
  <c r="G194" i="3"/>
  <c r="BA196" i="3"/>
  <c r="BL197" i="3"/>
  <c r="G198" i="3"/>
  <c r="BA200" i="3"/>
  <c r="BL201" i="3"/>
  <c r="G491" i="3"/>
  <c r="BA298" i="3"/>
  <c r="AZ298" i="3"/>
  <c r="BA299" i="3"/>
  <c r="BL299" i="3"/>
  <c r="G300" i="3"/>
  <c r="G303" i="3"/>
  <c r="BL304" i="3"/>
  <c r="BA306" i="3"/>
  <c r="AZ306" i="3" s="1"/>
  <c r="BA307" i="3"/>
  <c r="BL307" i="3"/>
  <c r="G308" i="3"/>
  <c r="G319" i="3"/>
  <c r="BL320" i="3"/>
  <c r="BA322" i="3"/>
  <c r="BA323" i="3"/>
  <c r="BL323" i="3"/>
  <c r="G324" i="3"/>
  <c r="G327" i="3"/>
  <c r="BL328" i="3"/>
  <c r="BA330" i="3"/>
  <c r="BA331" i="3"/>
  <c r="AZ331" i="3" s="1"/>
  <c r="BL331" i="3"/>
  <c r="G332" i="3"/>
  <c r="G335" i="3"/>
  <c r="BL336" i="3"/>
  <c r="BA338" i="3"/>
  <c r="BA339" i="3"/>
  <c r="AZ339" i="3" s="1"/>
  <c r="BL339" i="3"/>
  <c r="G340" i="3"/>
  <c r="G343" i="3"/>
  <c r="BL344" i="3"/>
  <c r="BA346" i="3"/>
  <c r="BA347" i="3"/>
  <c r="BL347" i="3"/>
  <c r="G348" i="3"/>
  <c r="G351" i="3"/>
  <c r="BL352" i="3"/>
  <c r="BA354" i="3"/>
  <c r="BA355" i="3"/>
  <c r="BL355" i="3"/>
  <c r="G356" i="3"/>
  <c r="AZ143" i="3"/>
  <c r="BA358" i="3"/>
  <c r="AZ358" i="3" s="1"/>
  <c r="BA359" i="3"/>
  <c r="BL359" i="3"/>
  <c r="G360" i="3"/>
  <c r="G361" i="3"/>
  <c r="BL362" i="3"/>
  <c r="BA364" i="3"/>
  <c r="BA365" i="3"/>
  <c r="AZ365" i="3" s="1"/>
  <c r="BL365" i="3"/>
  <c r="G366" i="3"/>
  <c r="G369" i="3"/>
  <c r="BL370" i="3"/>
  <c r="BA372" i="3"/>
  <c r="BA373" i="3"/>
  <c r="AZ373" i="3" s="1"/>
  <c r="BL373" i="3"/>
  <c r="G374" i="3"/>
  <c r="G377" i="3"/>
  <c r="BL378" i="3"/>
  <c r="BA380" i="3"/>
  <c r="BA381" i="3"/>
  <c r="AZ381" i="3" s="1"/>
  <c r="BL381" i="3"/>
  <c r="G382" i="3"/>
  <c r="G385" i="3"/>
  <c r="G523" i="3"/>
  <c r="BL297" i="3"/>
  <c r="AZ297" i="3"/>
  <c r="G298" i="3"/>
  <c r="BA300" i="3"/>
  <c r="BL301" i="3"/>
  <c r="G302" i="3"/>
  <c r="BA304" i="3"/>
  <c r="BL305" i="3"/>
  <c r="G306" i="3"/>
  <c r="BA308" i="3"/>
  <c r="BL309" i="3"/>
  <c r="G310" i="3"/>
  <c r="BA310" i="3"/>
  <c r="BL311" i="3"/>
  <c r="G312" i="3"/>
  <c r="BA312" i="3"/>
  <c r="AZ312" i="3" s="1"/>
  <c r="BL313" i="3"/>
  <c r="G314" i="3"/>
  <c r="BA314" i="3"/>
  <c r="BL315" i="3"/>
  <c r="AZ315" i="3" s="1"/>
  <c r="G316" i="3"/>
  <c r="BA316" i="3"/>
  <c r="BL317" i="3"/>
  <c r="G318" i="3"/>
  <c r="BA320" i="3"/>
  <c r="AZ320" i="3" s="1"/>
  <c r="BL321" i="3"/>
  <c r="G322" i="3"/>
  <c r="BA324" i="3"/>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AZ353" i="3"/>
  <c r="G368" i="3"/>
  <c r="BA370" i="3"/>
  <c r="BL371" i="3"/>
  <c r="G372" i="3"/>
  <c r="BA374" i="3"/>
  <c r="AZ374" i="3" s="1"/>
  <c r="BL375" i="3"/>
  <c r="G376" i="3"/>
  <c r="BA378" i="3"/>
  <c r="BL379" i="3"/>
  <c r="G380" i="3"/>
  <c r="BA382" i="3"/>
  <c r="BL383" i="3"/>
  <c r="AZ383" i="3" s="1"/>
  <c r="G384" i="3"/>
  <c r="AZ311" i="3"/>
  <c r="AZ347" i="3"/>
  <c r="F37" i="46"/>
  <c r="AA43" i="21"/>
  <c r="U43" i="21"/>
  <c r="AA13" i="40"/>
  <c r="F77" i="40"/>
  <c r="G77" i="40" s="1"/>
  <c r="H77" i="40" s="1"/>
  <c r="I77" i="40" s="1"/>
  <c r="J77" i="40" s="1"/>
  <c r="K77" i="40" s="1"/>
  <c r="L77" i="40" s="1"/>
  <c r="M77" i="40" s="1"/>
  <c r="BH5" i="3"/>
  <c r="R16" i="4"/>
  <c r="D3" i="35"/>
  <c r="G4" i="4"/>
  <c r="S37" i="34"/>
  <c r="J16" i="35"/>
  <c r="W16" i="35"/>
  <c r="U42" i="21"/>
  <c r="AC26" i="36"/>
  <c r="AZ300" i="3"/>
  <c r="AZ354" i="3"/>
  <c r="H11" i="37"/>
  <c r="AB11" i="37" s="1"/>
  <c r="W37" i="37"/>
  <c r="AA36" i="37"/>
  <c r="S42" i="33"/>
  <c r="U32" i="33"/>
  <c r="AC11" i="36"/>
  <c r="AB45" i="34"/>
  <c r="S25" i="35"/>
  <c r="W44" i="33"/>
  <c r="AC29" i="37"/>
  <c r="W32" i="36"/>
  <c r="U28" i="33"/>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H35" i="37"/>
  <c r="AB35" i="37" s="1"/>
  <c r="AB12" i="21"/>
  <c r="H32" i="21"/>
  <c r="U32" i="21" s="1"/>
  <c r="AB26" i="21"/>
  <c r="AA33" i="21"/>
  <c r="S33" i="21"/>
  <c r="U39" i="21"/>
  <c r="J32" i="21"/>
  <c r="AC32" i="21" s="1"/>
  <c r="F17" i="21"/>
  <c r="S17" i="21" s="1"/>
  <c r="H17" i="21"/>
  <c r="AB17" i="21" s="1"/>
  <c r="J17" i="21"/>
  <c r="AC17" i="21" s="1"/>
  <c r="H37" i="21"/>
  <c r="U37" i="21" s="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s="1"/>
  <c r="J32" i="33"/>
  <c r="AC32" i="33" s="1"/>
  <c r="F35" i="33"/>
  <c r="AA35" i="33"/>
  <c r="AB39" i="34"/>
  <c r="F11" i="34"/>
  <c r="S11" i="34" s="1"/>
  <c r="E80" i="34"/>
  <c r="F80" i="34" s="1"/>
  <c r="H17" i="34"/>
  <c r="U17" i="34" s="1"/>
  <c r="AB17" i="34"/>
  <c r="AC27" i="34"/>
  <c r="W27" i="34"/>
  <c r="AB28" i="35"/>
  <c r="U28" i="35"/>
  <c r="H13" i="33"/>
  <c r="U13" i="33" s="1"/>
  <c r="H29" i="33"/>
  <c r="AB29" i="33" s="1"/>
  <c r="F29" i="33"/>
  <c r="AA29" i="33"/>
  <c r="J12" i="34"/>
  <c r="AC12" i="34" s="1"/>
  <c r="H12" i="34"/>
  <c r="AB12" i="34" s="1"/>
  <c r="F12" i="34"/>
  <c r="S12" i="34" s="1"/>
  <c r="J14" i="34"/>
  <c r="AC14" i="34" s="1"/>
  <c r="W14" i="34"/>
  <c r="H14" i="34"/>
  <c r="AB14" i="34" s="1"/>
  <c r="H30" i="34"/>
  <c r="AB30" i="34" s="1"/>
  <c r="F30" i="34"/>
  <c r="S30" i="34"/>
  <c r="J30" i="34"/>
  <c r="W30" i="34" s="1"/>
  <c r="H32" i="34"/>
  <c r="AB32" i="34" s="1"/>
  <c r="F32" i="34"/>
  <c r="AA32" i="34" s="1"/>
  <c r="J32" i="34"/>
  <c r="W32" i="34"/>
  <c r="H46" i="34"/>
  <c r="AB46" i="34" s="1"/>
  <c r="F46" i="34"/>
  <c r="AA46" i="34" s="1"/>
  <c r="J46" i="34"/>
  <c r="AC46" i="34" s="1"/>
  <c r="H11" i="35"/>
  <c r="J11" i="35"/>
  <c r="AC11" i="35" s="1"/>
  <c r="F96" i="37"/>
  <c r="G96" i="37" s="1"/>
  <c r="H96" i="37" s="1"/>
  <c r="I96" i="37" s="1"/>
  <c r="J96" i="37" s="1"/>
  <c r="K96" i="37" s="1"/>
  <c r="L96" i="37" s="1"/>
  <c r="M96" i="37" s="1"/>
  <c r="H32" i="37"/>
  <c r="AB32" i="37" s="1"/>
  <c r="F19" i="39"/>
  <c r="S19" i="39" s="1"/>
  <c r="H19" i="39"/>
  <c r="AB19" i="39" s="1"/>
  <c r="J19" i="39"/>
  <c r="W19" i="39" s="1"/>
  <c r="F43" i="39"/>
  <c r="AA43" i="39" s="1"/>
  <c r="H43" i="39"/>
  <c r="U43" i="39" s="1"/>
  <c r="J43" i="39"/>
  <c r="W43" i="39" s="1"/>
  <c r="F99" i="37"/>
  <c r="AC27" i="37"/>
  <c r="U25" i="35"/>
  <c r="S45" i="34"/>
  <c r="AC40" i="37"/>
  <c r="W27" i="33"/>
  <c r="S28" i="33"/>
  <c r="S14" i="21"/>
  <c r="AA44" i="34"/>
  <c r="AB29" i="35"/>
  <c r="U29" i="35"/>
  <c r="AC19" i="33"/>
  <c r="W19" i="33"/>
  <c r="AB43" i="34"/>
  <c r="AC34" i="37"/>
  <c r="S35" i="37"/>
  <c r="AA35" i="37"/>
  <c r="AA32" i="21"/>
  <c r="S32" i="21"/>
  <c r="U38" i="21"/>
  <c r="BL571" i="3"/>
  <c r="BA571" i="3"/>
  <c r="BL570" i="3"/>
  <c r="F42" i="21"/>
  <c r="AA42" i="21" s="1"/>
  <c r="AB40" i="33"/>
  <c r="U40" i="33"/>
  <c r="AA35" i="34"/>
  <c r="E90" i="34"/>
  <c r="H27" i="34"/>
  <c r="AB27" i="34" s="1"/>
  <c r="AB8" i="35"/>
  <c r="U8" i="35"/>
  <c r="J14" i="35"/>
  <c r="AC14" i="35" s="1"/>
  <c r="F14" i="35"/>
  <c r="AA14" i="35" s="1"/>
  <c r="H14" i="35"/>
  <c r="U14" i="35" s="1"/>
  <c r="E80" i="35"/>
  <c r="E94" i="35"/>
  <c r="F94" i="35"/>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H33" i="36"/>
  <c r="U33" i="36" s="1"/>
  <c r="F33" i="36"/>
  <c r="S33" i="36" s="1"/>
  <c r="AA33" i="36"/>
  <c r="H27" i="36"/>
  <c r="AB27" i="36" s="1"/>
  <c r="AA31" i="36"/>
  <c r="AC25" i="37"/>
  <c r="AC26" i="37"/>
  <c r="W26" i="37"/>
  <c r="AB29" i="37"/>
  <c r="AA30" i="37"/>
  <c r="S30" i="37"/>
  <c r="AC31" i="37"/>
  <c r="W31" i="37"/>
  <c r="AB14" i="37"/>
  <c r="F21" i="39"/>
  <c r="S21" i="39" s="1"/>
  <c r="H21" i="39"/>
  <c r="U21" i="39" s="1"/>
  <c r="J21" i="39"/>
  <c r="W21" i="39" s="1"/>
  <c r="F33" i="39"/>
  <c r="S33" i="39" s="1"/>
  <c r="H33" i="39"/>
  <c r="U33" i="39" s="1"/>
  <c r="J33" i="39"/>
  <c r="F44" i="39"/>
  <c r="S44" i="39" s="1"/>
  <c r="H44" i="39"/>
  <c r="U44" i="39" s="1"/>
  <c r="J44" i="39"/>
  <c r="AC44" i="39" s="1"/>
  <c r="F46" i="39"/>
  <c r="S46" i="39" s="1"/>
  <c r="H46" i="39"/>
  <c r="U46" i="39" s="1"/>
  <c r="J46" i="39"/>
  <c r="W46" i="39" s="1"/>
  <c r="F29" i="39"/>
  <c r="AA29" i="39" s="1"/>
  <c r="E102" i="39"/>
  <c r="F102" i="39" s="1"/>
  <c r="G102" i="39" s="1"/>
  <c r="H29" i="39"/>
  <c r="AB29" i="39" s="1"/>
  <c r="F39" i="39"/>
  <c r="S39" i="39" s="1"/>
  <c r="H39" i="39"/>
  <c r="AB39" i="39" s="1"/>
  <c r="J39" i="39"/>
  <c r="J29" i="35"/>
  <c r="W29" i="35" s="1"/>
  <c r="AC29" i="35"/>
  <c r="F29" i="35"/>
  <c r="S29" i="35" s="1"/>
  <c r="W30" i="36"/>
  <c r="AC30" i="36"/>
  <c r="F37" i="39"/>
  <c r="S37" i="39" s="1"/>
  <c r="H37" i="39"/>
  <c r="U37" i="39"/>
  <c r="J37" i="39"/>
  <c r="W37" i="39" s="1"/>
  <c r="BL568" i="3"/>
  <c r="AZ568" i="3" s="1"/>
  <c r="BA568" i="3"/>
  <c r="BL567" i="3"/>
  <c r="BA567" i="3"/>
  <c r="BL566" i="3"/>
  <c r="BL565" i="3"/>
  <c r="BA564" i="3"/>
  <c r="AZ564" i="3" s="1"/>
  <c r="BA563" i="3"/>
  <c r="BA553" i="3"/>
  <c r="AZ553" i="3" s="1"/>
  <c r="BA552" i="3"/>
  <c r="AZ552" i="3" s="1"/>
  <c r="BL549" i="3"/>
  <c r="AZ549" i="3" s="1"/>
  <c r="BA549" i="3"/>
  <c r="BL548" i="3"/>
  <c r="BA548" i="3"/>
  <c r="BL547" i="3"/>
  <c r="AZ547" i="3" s="1"/>
  <c r="BA547" i="3"/>
  <c r="BL539" i="3"/>
  <c r="BA539" i="3"/>
  <c r="BA538" i="3"/>
  <c r="AZ538" i="3" s="1"/>
  <c r="BL537" i="3"/>
  <c r="BA537" i="3"/>
  <c r="BL536" i="3"/>
  <c r="BA535" i="3"/>
  <c r="BA534" i="3"/>
  <c r="BA533" i="3"/>
  <c r="AZ533" i="3" s="1"/>
  <c r="BL531" i="3"/>
  <c r="BL530" i="3"/>
  <c r="BA530" i="3"/>
  <c r="AZ530" i="3" s="1"/>
  <c r="BL529" i="3"/>
  <c r="BA529" i="3"/>
  <c r="AZ529" i="3" s="1"/>
  <c r="BL528" i="3"/>
  <c r="AZ528" i="3" s="1"/>
  <c r="BA527" i="3"/>
  <c r="AZ527" i="3" s="1"/>
  <c r="BA526" i="3"/>
  <c r="BA525" i="3"/>
  <c r="BL523" i="3"/>
  <c r="BA523" i="3"/>
  <c r="BL522" i="3"/>
  <c r="BA522" i="3"/>
  <c r="BL521" i="3"/>
  <c r="AZ521" i="3" s="1"/>
  <c r="BA519" i="3"/>
  <c r="AZ519" i="3"/>
  <c r="BL518" i="3"/>
  <c r="BA518" i="3"/>
  <c r="BL517" i="3"/>
  <c r="BA517" i="3"/>
  <c r="AZ517" i="3"/>
  <c r="BL515" i="3"/>
  <c r="BA515" i="3"/>
  <c r="BA514" i="3"/>
  <c r="BL513" i="3"/>
  <c r="BA513" i="3"/>
  <c r="BA511" i="3"/>
  <c r="AZ511" i="3" s="1"/>
  <c r="BA510" i="3"/>
  <c r="BL509" i="3"/>
  <c r="AZ509" i="3" s="1"/>
  <c r="BL507" i="3"/>
  <c r="BA507" i="3"/>
  <c r="AZ507" i="3"/>
  <c r="BL506" i="3"/>
  <c r="BA506" i="3"/>
  <c r="BL505" i="3"/>
  <c r="AZ505" i="3" s="1"/>
  <c r="BL504" i="3"/>
  <c r="BA504" i="3"/>
  <c r="BA503" i="3"/>
  <c r="BA500" i="3"/>
  <c r="BL499" i="3"/>
  <c r="BA499" i="3"/>
  <c r="BL497" i="3"/>
  <c r="BA497" i="3"/>
  <c r="AZ497" i="3" s="1"/>
  <c r="BA496" i="3"/>
  <c r="BA495" i="3"/>
  <c r="BL494" i="3"/>
  <c r="AZ494" i="3" s="1"/>
  <c r="BA494" i="3"/>
  <c r="G494" i="3"/>
  <c r="BA491" i="3"/>
  <c r="AZ491" i="3" s="1"/>
  <c r="BA490" i="3"/>
  <c r="BL489" i="3"/>
  <c r="BA489" i="3"/>
  <c r="BL487" i="3"/>
  <c r="AZ487" i="3" s="1"/>
  <c r="BL486" i="3"/>
  <c r="BA486" i="3"/>
  <c r="BA485" i="3"/>
  <c r="BA483" i="3"/>
  <c r="AZ483" i="3" s="1"/>
  <c r="BA482" i="3"/>
  <c r="AZ482" i="3" s="1"/>
  <c r="BL481" i="3"/>
  <c r="BA481" i="3"/>
  <c r="BL19" i="3"/>
  <c r="BA18" i="3"/>
  <c r="H38" i="34"/>
  <c r="U38" i="34" s="1"/>
  <c r="H30" i="40"/>
  <c r="AB30" i="40" s="1"/>
  <c r="G99" i="40"/>
  <c r="H99" i="40" s="1"/>
  <c r="I99" i="40" s="1"/>
  <c r="J99" i="40" s="1"/>
  <c r="K99" i="40" s="1"/>
  <c r="L99" i="40" s="1"/>
  <c r="M99" i="40" s="1"/>
  <c r="J30" i="40"/>
  <c r="AC30" i="40" s="1"/>
  <c r="F38" i="40"/>
  <c r="AA38" i="40" s="1"/>
  <c r="AA36" i="34"/>
  <c r="AC12" i="21"/>
  <c r="W12" i="21"/>
  <c r="S35" i="21"/>
  <c r="AB10" i="21"/>
  <c r="U8" i="21"/>
  <c r="S34" i="21"/>
  <c r="AC36" i="21"/>
  <c r="AB8" i="33"/>
  <c r="E106" i="33"/>
  <c r="F106" i="33" s="1"/>
  <c r="G106" i="33" s="1"/>
  <c r="H106" i="33" s="1"/>
  <c r="I106" i="33" s="1"/>
  <c r="J106" i="33" s="1"/>
  <c r="K106" i="33" s="1"/>
  <c r="L106" i="33" s="1"/>
  <c r="M106" i="33" s="1"/>
  <c r="H34" i="33"/>
  <c r="AB34" i="33" s="1"/>
  <c r="U34" i="33"/>
  <c r="F34" i="33"/>
  <c r="S34" i="33" s="1"/>
  <c r="E121" i="33"/>
  <c r="F41" i="33"/>
  <c r="S41" i="33"/>
  <c r="W34" i="34"/>
  <c r="AA39" i="34"/>
  <c r="S39" i="34"/>
  <c r="E78" i="34"/>
  <c r="F15" i="34"/>
  <c r="S15" i="34" s="1"/>
  <c r="AC28" i="35"/>
  <c r="J20" i="35"/>
  <c r="AC20" i="35"/>
  <c r="E72" i="35"/>
  <c r="F72" i="35" s="1"/>
  <c r="G72" i="35" s="1"/>
  <c r="H22" i="35"/>
  <c r="AB22" i="35"/>
  <c r="H23" i="35"/>
  <c r="AB23" i="35" s="1"/>
  <c r="F23" i="35"/>
  <c r="AA23" i="35" s="1"/>
  <c r="AB36" i="35"/>
  <c r="U36" i="35"/>
  <c r="U31" i="36"/>
  <c r="S8" i="37"/>
  <c r="AA8" i="37"/>
  <c r="F14" i="39"/>
  <c r="S14" i="39" s="1"/>
  <c r="H14" i="39"/>
  <c r="AB14" i="39" s="1"/>
  <c r="J14" i="39"/>
  <c r="AC14" i="39" s="1"/>
  <c r="F16" i="39"/>
  <c r="AA16" i="39" s="1"/>
  <c r="H16" i="39"/>
  <c r="U16" i="39" s="1"/>
  <c r="J16" i="39"/>
  <c r="AC16" i="39" s="1"/>
  <c r="E96" i="39"/>
  <c r="F96" i="39" s="1"/>
  <c r="G96" i="39" s="1"/>
  <c r="F27" i="39"/>
  <c r="AA27" i="39" s="1"/>
  <c r="H27" i="39"/>
  <c r="AB27" i="39" s="1"/>
  <c r="J27" i="39"/>
  <c r="AC27" i="39" s="1"/>
  <c r="F15" i="40"/>
  <c r="AA15" i="40" s="1"/>
  <c r="J15" i="40"/>
  <c r="W15" i="40" s="1"/>
  <c r="H15" i="40"/>
  <c r="AB15" i="40"/>
  <c r="E91" i="40"/>
  <c r="F91" i="40"/>
  <c r="H23" i="40"/>
  <c r="U23" i="40"/>
  <c r="H41" i="40"/>
  <c r="AB41" i="40"/>
  <c r="F41" i="40"/>
  <c r="S41" i="40" s="1"/>
  <c r="AA41" i="40"/>
  <c r="J41" i="40"/>
  <c r="AC41" i="40" s="1"/>
  <c r="H36" i="33"/>
  <c r="AB36" i="33" s="1"/>
  <c r="H37" i="34"/>
  <c r="U37" i="34" s="1"/>
  <c r="F15" i="39"/>
  <c r="AA15" i="39" s="1"/>
  <c r="H15" i="39"/>
  <c r="U15" i="39" s="1"/>
  <c r="J15" i="39"/>
  <c r="AC15" i="39" s="1"/>
  <c r="H25" i="39"/>
  <c r="U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AB40" i="40" s="1"/>
  <c r="U40" i="40"/>
  <c r="H34" i="40"/>
  <c r="U34" i="40"/>
  <c r="B41" i="1"/>
  <c r="F72" i="9" s="1"/>
  <c r="J42" i="40"/>
  <c r="AC42" i="40" s="1"/>
  <c r="J40" i="40"/>
  <c r="W40" i="40" s="1"/>
  <c r="AC40" i="40"/>
  <c r="J34" i="40"/>
  <c r="AC34" i="40" s="1"/>
  <c r="H16" i="40"/>
  <c r="AB16" i="40" s="1"/>
  <c r="H14" i="40"/>
  <c r="U14" i="40" s="1"/>
  <c r="F32" i="40"/>
  <c r="S32" i="40" s="1"/>
  <c r="AA32" i="40"/>
  <c r="F61" i="46"/>
  <c r="H61" i="46" s="1"/>
  <c r="AZ236" i="3"/>
  <c r="AZ252" i="3"/>
  <c r="AZ276" i="3"/>
  <c r="F72" i="46"/>
  <c r="H74" i="46" s="1"/>
  <c r="J13" i="40"/>
  <c r="W13" i="40" s="1"/>
  <c r="AB14" i="40"/>
  <c r="AC14" i="40"/>
  <c r="S47" i="39"/>
  <c r="W41" i="40"/>
  <c r="U41" i="40"/>
  <c r="J23" i="40"/>
  <c r="AC23" i="40" s="1"/>
  <c r="G91" i="40"/>
  <c r="F23" i="40"/>
  <c r="S23" i="40" s="1"/>
  <c r="AC15" i="40"/>
  <c r="AB16" i="39"/>
  <c r="U23" i="35"/>
  <c r="H20" i="35"/>
  <c r="F20" i="35"/>
  <c r="AA20" i="35" s="1"/>
  <c r="S20" i="35"/>
  <c r="H15" i="34"/>
  <c r="AB15" i="34"/>
  <c r="F78" i="34"/>
  <c r="G78" i="34"/>
  <c r="J15" i="34"/>
  <c r="AC15" i="34" s="1"/>
  <c r="H41" i="33"/>
  <c r="U41" i="33" s="1"/>
  <c r="F121" i="33"/>
  <c r="G121" i="33" s="1"/>
  <c r="H121" i="33" s="1"/>
  <c r="I121" i="33" s="1"/>
  <c r="J121" i="33" s="1"/>
  <c r="K121" i="33" s="1"/>
  <c r="L121" i="33" s="1"/>
  <c r="M121" i="33" s="1"/>
  <c r="F30" i="40"/>
  <c r="AA30" i="40" s="1"/>
  <c r="AZ515" i="3"/>
  <c r="AB37" i="39"/>
  <c r="AA29" i="35"/>
  <c r="U39" i="39"/>
  <c r="J29" i="39"/>
  <c r="AC29" i="39" s="1"/>
  <c r="AB21" i="39"/>
  <c r="AB33" i="36"/>
  <c r="AA11" i="36"/>
  <c r="G99" i="37"/>
  <c r="H99" i="37" s="1"/>
  <c r="I99" i="37" s="1"/>
  <c r="J99" i="37" s="1"/>
  <c r="K99" i="37" s="1"/>
  <c r="L99" i="37" s="1"/>
  <c r="M99" i="37" s="1"/>
  <c r="F33" i="37"/>
  <c r="AA33" i="37" s="1"/>
  <c r="U19" i="39"/>
  <c r="U46" i="34"/>
  <c r="AC30" i="34"/>
  <c r="W12" i="34"/>
  <c r="U29" i="33"/>
  <c r="W32" i="33"/>
  <c r="H15" i="33"/>
  <c r="U15" i="33" s="1"/>
  <c r="AA40" i="21"/>
  <c r="AB34" i="40"/>
  <c r="U42" i="40"/>
  <c r="H25" i="40"/>
  <c r="AB25" i="40" s="1"/>
  <c r="F93" i="40"/>
  <c r="G93" i="40"/>
  <c r="J37" i="34"/>
  <c r="AC37" i="34"/>
  <c r="J36" i="33"/>
  <c r="W36" i="33" s="1"/>
  <c r="AB23" i="40"/>
  <c r="H23" i="39"/>
  <c r="AB23" i="39" s="1"/>
  <c r="J23" i="39"/>
  <c r="AC23" i="39" s="1"/>
  <c r="S16" i="39"/>
  <c r="AA41" i="33"/>
  <c r="AA34" i="33"/>
  <c r="J34" i="33"/>
  <c r="AC34" i="33" s="1"/>
  <c r="U30" i="40"/>
  <c r="AA37" i="39"/>
  <c r="AC39" i="39"/>
  <c r="W39" i="39"/>
  <c r="AA39" i="39"/>
  <c r="AB46" i="39"/>
  <c r="AC33" i="39"/>
  <c r="W33" i="39"/>
  <c r="AA33" i="39"/>
  <c r="U11" i="36"/>
  <c r="F80" i="35"/>
  <c r="G80" i="35" s="1"/>
  <c r="H80" i="35" s="1"/>
  <c r="I80" i="35" s="1"/>
  <c r="J80" i="35" s="1"/>
  <c r="K80" i="35" s="1"/>
  <c r="L80" i="35" s="1"/>
  <c r="M80" i="35" s="1"/>
  <c r="F90" i="34"/>
  <c r="G90" i="34" s="1"/>
  <c r="H90" i="34" s="1"/>
  <c r="I90" i="34" s="1"/>
  <c r="J90" i="34" s="1"/>
  <c r="K90" i="34" s="1"/>
  <c r="L90" i="34" s="1"/>
  <c r="M90" i="34" s="1"/>
  <c r="F27" i="34"/>
  <c r="S27" i="34" s="1"/>
  <c r="AA19" i="39"/>
  <c r="F32" i="37"/>
  <c r="S32" i="37"/>
  <c r="U11" i="35"/>
  <c r="AB11" i="35"/>
  <c r="S46" i="34"/>
  <c r="U32" i="34"/>
  <c r="U14" i="34"/>
  <c r="AB13" i="33"/>
  <c r="G80" i="34"/>
  <c r="F17" i="34"/>
  <c r="AA17" i="34" s="1"/>
  <c r="J17" i="34"/>
  <c r="AC17" i="34" s="1"/>
  <c r="H11" i="34"/>
  <c r="AB11" i="34" s="1"/>
  <c r="J35" i="33"/>
  <c r="W35" i="33" s="1"/>
  <c r="AC15" i="33"/>
  <c r="H11" i="33"/>
  <c r="U11" i="33" s="1"/>
  <c r="H10" i="33"/>
  <c r="U10" i="33" s="1"/>
  <c r="J10" i="33"/>
  <c r="W10" i="33" s="1"/>
  <c r="U40" i="21"/>
  <c r="U11" i="37"/>
  <c r="AC16" i="35"/>
  <c r="J11" i="34"/>
  <c r="AC11" i="34" s="1"/>
  <c r="W11" i="34"/>
  <c r="AC36" i="33"/>
  <c r="F25" i="40"/>
  <c r="AA25" i="40" s="1"/>
  <c r="J11" i="33"/>
  <c r="W11" i="33" s="1"/>
  <c r="H33" i="37"/>
  <c r="AB33" i="37" s="1"/>
  <c r="W15" i="34"/>
  <c r="U20" i="35"/>
  <c r="AB20" i="35"/>
  <c r="W23" i="40"/>
  <c r="B11" i="1"/>
  <c r="E11" i="1" s="1"/>
  <c r="K11" i="1"/>
  <c r="M11" i="1" s="1"/>
  <c r="B9" i="1"/>
  <c r="E9" i="1" s="1"/>
  <c r="K9" i="1"/>
  <c r="M9" i="1" s="1"/>
  <c r="B7" i="1"/>
  <c r="E7" i="1" s="1"/>
  <c r="K7" i="1"/>
  <c r="M7" i="1" s="1"/>
  <c r="AP6" i="1"/>
  <c r="M20" i="44"/>
  <c r="AC25" i="36"/>
  <c r="S8" i="36"/>
  <c r="AA26" i="36"/>
  <c r="AA28" i="36"/>
  <c r="U25" i="36"/>
  <c r="H20" i="36"/>
  <c r="U20" i="36" s="1"/>
  <c r="J20" i="36"/>
  <c r="AC20" i="36" s="1"/>
  <c r="F20" i="36"/>
  <c r="AA20" i="36" s="1"/>
  <c r="S20" i="36"/>
  <c r="F62" i="36"/>
  <c r="G62" i="36" s="1"/>
  <c r="J14" i="36"/>
  <c r="H14" i="36"/>
  <c r="AB14" i="36" s="1"/>
  <c r="F14" i="36"/>
  <c r="AA14" i="36" s="1"/>
  <c r="U27" i="36"/>
  <c r="U32" i="36"/>
  <c r="AA27" i="36"/>
  <c r="S16" i="36"/>
  <c r="S29" i="36"/>
  <c r="AC33" i="35"/>
  <c r="U22" i="35"/>
  <c r="AA13" i="35"/>
  <c r="S8" i="35"/>
  <c r="W20" i="35"/>
  <c r="S23" i="35"/>
  <c r="AB14" i="35"/>
  <c r="W13" i="35"/>
  <c r="AC18" i="35"/>
  <c r="W18" i="35"/>
  <c r="U18" i="35"/>
  <c r="AB18" i="35"/>
  <c r="S30" i="35"/>
  <c r="AA35" i="35"/>
  <c r="AB30" i="35"/>
  <c r="S27" i="35"/>
  <c r="S28" i="35"/>
  <c r="J26" i="35"/>
  <c r="F26" i="35"/>
  <c r="AA26" i="35" s="1"/>
  <c r="H26" i="35"/>
  <c r="AB26" i="35" s="1"/>
  <c r="AB9" i="37"/>
  <c r="W12" i="37"/>
  <c r="AA9" i="37"/>
  <c r="S17" i="37"/>
  <c r="W28" i="37"/>
  <c r="AB37" i="37"/>
  <c r="AA31" i="37"/>
  <c r="S33" i="37"/>
  <c r="AA32" i="37"/>
  <c r="J33" i="37"/>
  <c r="W33" i="37" s="1"/>
  <c r="S29" i="37"/>
  <c r="J19" i="37"/>
  <c r="AC19" i="37" s="1"/>
  <c r="G75" i="37"/>
  <c r="F19" i="37"/>
  <c r="AA19" i="37" s="1"/>
  <c r="H19" i="37"/>
  <c r="J17" i="37"/>
  <c r="W17" i="37" s="1"/>
  <c r="S15" i="37"/>
  <c r="AC21" i="37"/>
  <c r="W21" i="37"/>
  <c r="AC11" i="37"/>
  <c r="AC9" i="37"/>
  <c r="W32" i="37"/>
  <c r="U8" i="37"/>
  <c r="AB25" i="37"/>
  <c r="AB21" i="37"/>
  <c r="U21" i="37"/>
  <c r="S37" i="37"/>
  <c r="S40" i="37"/>
  <c r="AC45" i="34"/>
  <c r="AA40" i="34"/>
  <c r="S32" i="34"/>
  <c r="AB33" i="34"/>
  <c r="AC35" i="34"/>
  <c r="AA30" i="34"/>
  <c r="AC32" i="34"/>
  <c r="AA33" i="34"/>
  <c r="U44" i="34"/>
  <c r="U34" i="34"/>
  <c r="U28" i="34"/>
  <c r="J25" i="34"/>
  <c r="H25" i="34"/>
  <c r="U25" i="34" s="1"/>
  <c r="F25" i="34"/>
  <c r="S25" i="34" s="1"/>
  <c r="J23" i="34"/>
  <c r="F86" i="34"/>
  <c r="G86" i="34" s="1"/>
  <c r="F23" i="34"/>
  <c r="AA23" i="34" s="1"/>
  <c r="H23" i="34"/>
  <c r="AB23" i="34" s="1"/>
  <c r="U11" i="34"/>
  <c r="W37" i="34"/>
  <c r="W44" i="34"/>
  <c r="W19" i="34"/>
  <c r="W29" i="34"/>
  <c r="AC21" i="34"/>
  <c r="W21" i="34"/>
  <c r="U15" i="34"/>
  <c r="AB21" i="34"/>
  <c r="U21" i="34"/>
  <c r="U27" i="34"/>
  <c r="U19" i="34"/>
  <c r="AB41" i="34"/>
  <c r="AA41" i="34"/>
  <c r="S9" i="34"/>
  <c r="U39" i="33"/>
  <c r="U37" i="33"/>
  <c r="S35" i="33"/>
  <c r="W34" i="33"/>
  <c r="AB41" i="33"/>
  <c r="S29" i="33"/>
  <c r="W31" i="33"/>
  <c r="U46" i="33"/>
  <c r="W39" i="33"/>
  <c r="U35" i="33"/>
  <c r="H25" i="33"/>
  <c r="AB25" i="33" s="1"/>
  <c r="J25" i="33"/>
  <c r="W25" i="33" s="1"/>
  <c r="F25" i="33"/>
  <c r="F85" i="33"/>
  <c r="G85" i="33" s="1"/>
  <c r="J23" i="33"/>
  <c r="W23" i="33" s="1"/>
  <c r="F23" i="33"/>
  <c r="S23" i="33" s="1"/>
  <c r="H23" i="33"/>
  <c r="AB23" i="33" s="1"/>
  <c r="U19" i="33"/>
  <c r="F79" i="33"/>
  <c r="G79" i="33" s="1"/>
  <c r="F17" i="33"/>
  <c r="S17" i="33" s="1"/>
  <c r="H17" i="33"/>
  <c r="J17" i="33"/>
  <c r="W17" i="33" s="1"/>
  <c r="AC11" i="33"/>
  <c r="S14" i="33"/>
  <c r="AC21" i="33"/>
  <c r="W21" i="33"/>
  <c r="W14" i="33"/>
  <c r="AB21" i="33"/>
  <c r="U21" i="33"/>
  <c r="AA21" i="33"/>
  <c r="S21" i="33"/>
  <c r="AA44" i="33"/>
  <c r="AA36" i="33"/>
  <c r="W39" i="21"/>
  <c r="AC34" i="21"/>
  <c r="W32" i="21"/>
  <c r="U35" i="21"/>
  <c r="W43" i="21"/>
  <c r="AA37" i="21"/>
  <c r="S42" i="21"/>
  <c r="W28" i="21"/>
  <c r="AC46" i="21"/>
  <c r="AC26" i="21"/>
  <c r="J23" i="21"/>
  <c r="AC23" i="21" s="1"/>
  <c r="F23" i="21"/>
  <c r="S23" i="21" s="1"/>
  <c r="H23" i="21"/>
  <c r="U23" i="21" s="1"/>
  <c r="F15" i="21"/>
  <c r="S15" i="21" s="1"/>
  <c r="J15" i="21"/>
  <c r="AC15" i="21" s="1"/>
  <c r="H15" i="21"/>
  <c r="U15" i="21" s="1"/>
  <c r="W13" i="21"/>
  <c r="AC21" i="21"/>
  <c r="W21" i="21"/>
  <c r="W10" i="21"/>
  <c r="AC38" i="21"/>
  <c r="AB21" i="21"/>
  <c r="U21" i="21"/>
  <c r="AA30" i="21"/>
  <c r="AA31" i="21"/>
  <c r="U15" i="40"/>
  <c r="S14" i="40"/>
  <c r="S15" i="40"/>
  <c r="AB13" i="40"/>
  <c r="S16" i="40"/>
  <c r="W11" i="40"/>
  <c r="AA21" i="40"/>
  <c r="U21" i="40"/>
  <c r="W25" i="40"/>
  <c r="U35" i="40"/>
  <c r="F37" i="40"/>
  <c r="AA37" i="40" s="1"/>
  <c r="J37" i="40"/>
  <c r="AC37" i="40" s="1"/>
  <c r="H37" i="40"/>
  <c r="G112" i="40"/>
  <c r="H112" i="40" s="1"/>
  <c r="I112" i="40" s="1"/>
  <c r="J112" i="40" s="1"/>
  <c r="K112" i="40" s="1"/>
  <c r="L112" i="40" s="1"/>
  <c r="M112" i="40" s="1"/>
  <c r="F39" i="40"/>
  <c r="AA39" i="40" s="1"/>
  <c r="H39" i="40"/>
  <c r="U39" i="40" s="1"/>
  <c r="J39" i="40"/>
  <c r="W38" i="40"/>
  <c r="F29" i="40"/>
  <c r="H29" i="40"/>
  <c r="U29" i="40" s="1"/>
  <c r="J29" i="40"/>
  <c r="W29" i="40" s="1"/>
  <c r="F97" i="40"/>
  <c r="G97" i="40" s="1"/>
  <c r="H97" i="40" s="1"/>
  <c r="I97" i="40" s="1"/>
  <c r="J97" i="40" s="1"/>
  <c r="K97" i="40" s="1"/>
  <c r="L97" i="40" s="1"/>
  <c r="M97" i="40" s="1"/>
  <c r="S25" i="40"/>
  <c r="AA23" i="40"/>
  <c r="F87" i="40"/>
  <c r="G87" i="40" s="1"/>
  <c r="F19" i="40"/>
  <c r="AA19" i="40" s="1"/>
  <c r="H19" i="40"/>
  <c r="U19" i="40" s="1"/>
  <c r="J19" i="40"/>
  <c r="AC19" i="40" s="1"/>
  <c r="W17" i="40"/>
  <c r="AC17" i="40"/>
  <c r="F17" i="40"/>
  <c r="AA17" i="40" s="1"/>
  <c r="H17" i="40"/>
  <c r="U17" i="40" s="1"/>
  <c r="U10" i="40"/>
  <c r="U27" i="40"/>
  <c r="AB27" i="40"/>
  <c r="S11" i="39"/>
  <c r="AB45" i="39"/>
  <c r="AA21" i="39"/>
  <c r="AC19" i="39"/>
  <c r="AC21" i="39"/>
  <c r="U11" i="39"/>
  <c r="AB38" i="39"/>
  <c r="U31" i="39"/>
  <c r="AB31" i="39"/>
  <c r="S38" i="39"/>
  <c r="S22" i="31"/>
  <c r="R22" i="31" s="1"/>
  <c r="B21" i="31" s="1"/>
  <c r="D96" i="9"/>
  <c r="A18" i="64"/>
  <c r="B74" i="63" s="1"/>
  <c r="C53" i="10"/>
  <c r="A25" i="64" s="1"/>
  <c r="A18" i="51"/>
  <c r="B14" i="63" s="1"/>
  <c r="BA16" i="3"/>
  <c r="BA17" i="3"/>
  <c r="AZ17" i="3" s="1"/>
  <c r="F3" i="35"/>
  <c r="K1" i="43"/>
  <c r="K1" i="12"/>
  <c r="G1" i="44"/>
  <c r="AZ15" i="3"/>
  <c r="BK5" i="3"/>
  <c r="BO5" i="3"/>
  <c r="BP5" i="3"/>
  <c r="BN5" i="3"/>
  <c r="G29" i="6" s="1"/>
  <c r="BL18" i="3"/>
  <c r="BC5" i="3"/>
  <c r="BR5" i="3"/>
  <c r="BQ5" i="3"/>
  <c r="F28" i="6" s="1"/>
  <c r="BL16" i="3"/>
  <c r="AZ16" i="3" s="1"/>
  <c r="BM5" i="3"/>
  <c r="G28" i="12"/>
  <c r="D24" i="44"/>
  <c r="D26" i="44"/>
  <c r="F50" i="46"/>
  <c r="H52" i="46" s="1"/>
  <c r="C6" i="46"/>
  <c r="I5" i="48"/>
  <c r="K21" i="46"/>
  <c r="F42" i="46"/>
  <c r="D74" i="46"/>
  <c r="D87" i="46"/>
  <c r="D72" i="46"/>
  <c r="A4" i="64"/>
  <c r="A4" i="51"/>
  <c r="B6" i="63" s="1"/>
  <c r="C51" i="10"/>
  <c r="A9" i="64" s="1"/>
  <c r="H83" i="46"/>
  <c r="H87" i="46"/>
  <c r="AA12" i="36"/>
  <c r="W11" i="35"/>
  <c r="AA11" i="35"/>
  <c r="S14" i="37"/>
  <c r="U13" i="37"/>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U23" i="36"/>
  <c r="AC27" i="36"/>
  <c r="W28" i="36"/>
  <c r="AA32" i="36"/>
  <c r="U13" i="36"/>
  <c r="AA22" i="36"/>
  <c r="AA13" i="36"/>
  <c r="W29" i="36"/>
  <c r="W8" i="36"/>
  <c r="AC30" i="35"/>
  <c r="U24" i="35"/>
  <c r="W32" i="35"/>
  <c r="AA33" i="35"/>
  <c r="U32" i="35"/>
  <c r="W22" i="35"/>
  <c r="S32" i="35"/>
  <c r="W35" i="37"/>
  <c r="AC15" i="37"/>
  <c r="S12" i="37"/>
  <c r="W38" i="37"/>
  <c r="W36" i="37"/>
  <c r="S28" i="37"/>
  <c r="W13" i="37"/>
  <c r="U38" i="37"/>
  <c r="AA31" i="34"/>
  <c r="AB35" i="34"/>
  <c r="W47" i="34"/>
  <c r="AB29" i="34"/>
  <c r="AB13" i="34"/>
  <c r="AC13" i="34"/>
  <c r="S47" i="34"/>
  <c r="AA29" i="34"/>
  <c r="S19" i="34"/>
  <c r="S8" i="34"/>
  <c r="AA19" i="33"/>
  <c r="S43" i="33"/>
  <c r="AB42" i="33"/>
  <c r="AB14" i="33"/>
  <c r="S26" i="33"/>
  <c r="S15" i="33"/>
  <c r="S39" i="21"/>
  <c r="AB25" i="21"/>
  <c r="W25" i="21"/>
  <c r="AA25" i="21"/>
  <c r="AC37" i="21"/>
  <c r="U27" i="21"/>
  <c r="W31" i="21"/>
  <c r="S27" i="21"/>
  <c r="AC27" i="21"/>
  <c r="G95" i="40"/>
  <c r="J27" i="40"/>
  <c r="W27" i="40" s="1"/>
  <c r="W37" i="40"/>
  <c r="W30" i="40"/>
  <c r="S34" i="40"/>
  <c r="U38" i="40"/>
  <c r="S40" i="40"/>
  <c r="S42" i="40"/>
  <c r="G104" i="39"/>
  <c r="J31" i="39"/>
  <c r="W31" i="39" s="1"/>
  <c r="AB33" i="39"/>
  <c r="AC46" i="39"/>
  <c r="W42" i="39"/>
  <c r="W36" i="39"/>
  <c r="AC37" i="39"/>
  <c r="W45" i="39"/>
  <c r="AA46" i="39"/>
  <c r="W10" i="39"/>
  <c r="U42" i="39"/>
  <c r="C27" i="39"/>
  <c r="C17" i="40"/>
  <c r="C19" i="40"/>
  <c r="C17" i="39"/>
  <c r="C19" i="39"/>
  <c r="C21" i="39"/>
  <c r="C23" i="40"/>
  <c r="B51" i="46"/>
  <c r="B54" i="46"/>
  <c r="B58" i="46"/>
  <c r="B62" i="46"/>
  <c r="B65" i="46"/>
  <c r="B69" i="46"/>
  <c r="B56" i="46"/>
  <c r="B67" i="46"/>
  <c r="D24" i="15"/>
  <c r="AB20" i="36"/>
  <c r="AC14" i="36"/>
  <c r="W14" i="36"/>
  <c r="U14" i="36"/>
  <c r="S26" i="35"/>
  <c r="U26" i="35"/>
  <c r="W26" i="35"/>
  <c r="AC26" i="35"/>
  <c r="S19" i="37"/>
  <c r="AB19" i="37"/>
  <c r="U19" i="37"/>
  <c r="AC17" i="37"/>
  <c r="AB25" i="34"/>
  <c r="AA25" i="34"/>
  <c r="W25" i="34"/>
  <c r="AC25" i="34"/>
  <c r="U23" i="34"/>
  <c r="S23" i="34"/>
  <c r="AC23" i="34"/>
  <c r="W23" i="34"/>
  <c r="AA25" i="33"/>
  <c r="S25" i="33"/>
  <c r="U23" i="33"/>
  <c r="AA23" i="33"/>
  <c r="AC17" i="33"/>
  <c r="U17" i="33"/>
  <c r="AB17" i="33"/>
  <c r="AB39" i="40"/>
  <c r="AC39" i="40"/>
  <c r="W39" i="40"/>
  <c r="U37" i="40"/>
  <c r="AB37" i="40"/>
  <c r="AB29" i="40"/>
  <c r="AC29" i="40"/>
  <c r="AA29" i="40"/>
  <c r="S29" i="40"/>
  <c r="W19" i="40"/>
  <c r="S19" i="40"/>
  <c r="AB19" i="40"/>
  <c r="B20" i="31"/>
  <c r="A17" i="51"/>
  <c r="B13" i="63" s="1"/>
  <c r="AT6" i="3"/>
  <c r="E4" i="4"/>
  <c r="B21" i="55" s="1"/>
  <c r="B72" i="63" s="1"/>
  <c r="C4" i="4"/>
  <c r="J18" i="36"/>
  <c r="L20" i="6"/>
  <c r="B20" i="55"/>
  <c r="B70" i="63" s="1"/>
  <c r="C45" i="9"/>
  <c r="B7" i="66" s="1"/>
  <c r="N76" i="9"/>
  <c r="C46" i="9"/>
  <c r="K33" i="9" s="1"/>
  <c r="B8" i="66"/>
  <c r="J21" i="46"/>
  <c r="F38" i="46"/>
  <c r="F41" i="46"/>
  <c r="F40" i="46"/>
  <c r="H117" i="46"/>
  <c r="D24" i="59"/>
  <c r="C23" i="59"/>
  <c r="C22" i="59" s="1"/>
  <c r="C21" i="59" s="1"/>
  <c r="D23" i="59"/>
  <c r="F24" i="59"/>
  <c r="F23" i="59"/>
  <c r="F22" i="59"/>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F10" i="67"/>
  <c r="N7" i="65"/>
  <c r="I4" i="65"/>
  <c r="F37" i="15"/>
  <c r="F39" i="44"/>
  <c r="F11" i="44"/>
  <c r="F9" i="44"/>
  <c r="B11" i="67"/>
  <c r="F43" i="15"/>
  <c r="J6" i="65"/>
  <c r="N6" i="65"/>
  <c r="F11" i="67"/>
  <c r="M6" i="15"/>
  <c r="F28" i="44"/>
  <c r="F42" i="15"/>
  <c r="L48" i="44"/>
  <c r="I3" i="65"/>
  <c r="M26" i="15"/>
  <c r="F8" i="67"/>
  <c r="M28" i="44"/>
  <c r="F16" i="15"/>
  <c r="E8" i="67"/>
  <c r="F14" i="67"/>
  <c r="F13" i="15"/>
  <c r="F43" i="44"/>
  <c r="F9" i="15"/>
  <c r="J4" i="65"/>
  <c r="B12" i="67"/>
  <c r="N5" i="65"/>
  <c r="F18" i="44"/>
  <c r="M8" i="15"/>
  <c r="I5" i="65"/>
  <c r="F40" i="15"/>
  <c r="B13" i="67"/>
  <c r="F6" i="15"/>
  <c r="F13" i="67"/>
  <c r="F40" i="44"/>
  <c r="F12" i="67"/>
  <c r="F38" i="15"/>
  <c r="M11" i="44"/>
  <c r="F36" i="15"/>
  <c r="E11" i="67"/>
  <c r="B10" i="67"/>
  <c r="M10" i="44"/>
  <c r="J3" i="65"/>
  <c r="E13" i="67"/>
  <c r="M26" i="44"/>
  <c r="L47" i="15"/>
  <c r="N4" i="65"/>
  <c r="M31" i="44"/>
  <c r="F26" i="15"/>
  <c r="F38" i="44"/>
  <c r="M22" i="15"/>
  <c r="N3" i="65"/>
  <c r="L48" i="15"/>
  <c r="F8" i="44"/>
  <c r="B14" i="67"/>
  <c r="I6" i="65"/>
  <c r="L49" i="44"/>
  <c r="M28" i="15"/>
  <c r="F7" i="15"/>
  <c r="J7" i="65"/>
  <c r="B8" i="67"/>
  <c r="M24" i="15"/>
  <c r="F9" i="67"/>
  <c r="J15" i="15"/>
  <c r="J5" i="65"/>
  <c r="M24" i="44"/>
  <c r="F8" i="15"/>
  <c r="J36" i="15"/>
  <c r="M29" i="15"/>
  <c r="E12" i="67"/>
  <c r="M23" i="15"/>
  <c r="E9" i="67"/>
  <c r="F10" i="44"/>
  <c r="M30" i="44"/>
  <c r="F45" i="44"/>
  <c r="B9" i="67"/>
  <c r="M9" i="15"/>
  <c r="M8" i="44"/>
  <c r="E10" i="67"/>
  <c r="E14" i="67"/>
  <c r="I7" i="65"/>
  <c r="H11" i="21" l="1"/>
  <c r="F11" i="21"/>
  <c r="S11" i="21" s="1"/>
  <c r="F25" i="39"/>
  <c r="AA25" i="39" s="1"/>
  <c r="J25" i="39"/>
  <c r="AC25" i="39" s="1"/>
  <c r="F23" i="39"/>
  <c r="AA23" i="39" s="1"/>
  <c r="H17" i="39"/>
  <c r="U17" i="39" s="1"/>
  <c r="F17" i="39"/>
  <c r="AA17" i="39" s="1"/>
  <c r="J17" i="39"/>
  <c r="W17" i="39" s="1"/>
  <c r="J13" i="39"/>
  <c r="AC13" i="39" s="1"/>
  <c r="F13" i="39"/>
  <c r="AA13" i="39" s="1"/>
  <c r="H13" i="39"/>
  <c r="AB13" i="39" s="1"/>
  <c r="G108" i="39"/>
  <c r="H108" i="39" s="1"/>
  <c r="I108" i="39" s="1"/>
  <c r="J108" i="39" s="1"/>
  <c r="K108" i="39" s="1"/>
  <c r="L108" i="39" s="1"/>
  <c r="M108" i="39" s="1"/>
  <c r="J34" i="39"/>
  <c r="AC34" i="39" s="1"/>
  <c r="H34" i="39"/>
  <c r="U34" i="39" s="1"/>
  <c r="F34" i="39"/>
  <c r="AA34" i="39" s="1"/>
  <c r="U44" i="21"/>
  <c r="S44" i="21"/>
  <c r="W44" i="21"/>
  <c r="C18" i="9"/>
  <c r="D18" i="9" s="1"/>
  <c r="M44" i="9" s="1"/>
  <c r="M43" i="9"/>
  <c r="AC11" i="21"/>
  <c r="AB37" i="21"/>
  <c r="S46" i="21"/>
  <c r="S19" i="21"/>
  <c r="U19" i="21"/>
  <c r="U17" i="21"/>
  <c r="AA23" i="21"/>
  <c r="AB23" i="21"/>
  <c r="W23" i="21"/>
  <c r="W17" i="21"/>
  <c r="W15" i="21"/>
  <c r="AA9" i="21"/>
  <c r="U9" i="21"/>
  <c r="W13" i="39"/>
  <c r="W11" i="39"/>
  <c r="AB15" i="39"/>
  <c r="AB44" i="39"/>
  <c r="W44" i="39"/>
  <c r="AA44" i="39"/>
  <c r="S43" i="39"/>
  <c r="AB43" i="39"/>
  <c r="AC43" i="39"/>
  <c r="U27" i="39"/>
  <c r="U29" i="39"/>
  <c r="S27" i="39"/>
  <c r="S25" i="39"/>
  <c r="W25" i="39"/>
  <c r="AB25" i="39"/>
  <c r="W23" i="39"/>
  <c r="U23" i="39"/>
  <c r="AB17" i="39"/>
  <c r="S17" i="39"/>
  <c r="AA14" i="39"/>
  <c r="U14" i="39"/>
  <c r="S13" i="39"/>
  <c r="F29" i="6"/>
  <c r="A11" i="55"/>
  <c r="B62" i="63" s="1"/>
  <c r="O41" i="9"/>
  <c r="R8" i="54" s="1"/>
  <c r="B54" i="63" s="1"/>
  <c r="S29" i="21"/>
  <c r="AA29" i="21"/>
  <c r="S28" i="34"/>
  <c r="AA28" i="34"/>
  <c r="W18" i="36"/>
  <c r="AC18" i="36"/>
  <c r="AC14" i="21"/>
  <c r="W14" i="21"/>
  <c r="AC9" i="34"/>
  <c r="W9" i="34"/>
  <c r="U45" i="33"/>
  <c r="AB45" i="33"/>
  <c r="S14" i="34"/>
  <c r="AA14" i="34"/>
  <c r="W12" i="36"/>
  <c r="AC12" i="36"/>
  <c r="S35" i="40"/>
  <c r="K34" i="9"/>
  <c r="W42" i="40"/>
  <c r="U33" i="40"/>
  <c r="AA17" i="21"/>
  <c r="AC35" i="33"/>
  <c r="U30" i="34"/>
  <c r="W46" i="34"/>
  <c r="U35" i="37"/>
  <c r="U12" i="34"/>
  <c r="AA15" i="34"/>
  <c r="W34" i="40"/>
  <c r="AA11" i="34"/>
  <c r="S14" i="35"/>
  <c r="AB38" i="34"/>
  <c r="AB35" i="35"/>
  <c r="AA45" i="33"/>
  <c r="AB15" i="37"/>
  <c r="AZ328" i="3"/>
  <c r="AZ545" i="3"/>
  <c r="H29" i="21"/>
  <c r="W40" i="33"/>
  <c r="AB9" i="34"/>
  <c r="U9" i="34"/>
  <c r="AC36" i="35"/>
  <c r="W36" i="35"/>
  <c r="AA31" i="33"/>
  <c r="S31" i="33"/>
  <c r="H12" i="35"/>
  <c r="J12" i="35"/>
  <c r="J9" i="36"/>
  <c r="H9" i="36"/>
  <c r="AC23" i="36"/>
  <c r="W23" i="36"/>
  <c r="AB15" i="21"/>
  <c r="AA17" i="33"/>
  <c r="S14" i="36"/>
  <c r="W41" i="39"/>
  <c r="U33" i="37"/>
  <c r="S29" i="39"/>
  <c r="AB15" i="33"/>
  <c r="S37" i="40"/>
  <c r="S39" i="40"/>
  <c r="AC23" i="33"/>
  <c r="S15" i="39"/>
  <c r="S45" i="39"/>
  <c r="AC33" i="37"/>
  <c r="W29" i="39"/>
  <c r="U32" i="37"/>
  <c r="AC13" i="40"/>
  <c r="W15" i="39"/>
  <c r="AB37" i="34"/>
  <c r="AZ481" i="3"/>
  <c r="AZ496" i="3"/>
  <c r="AZ500" i="3"/>
  <c r="AZ522" i="3"/>
  <c r="AZ548" i="3"/>
  <c r="W19" i="37"/>
  <c r="S41" i="39"/>
  <c r="W16" i="39"/>
  <c r="AA15" i="21"/>
  <c r="AB45" i="21"/>
  <c r="AC25" i="33"/>
  <c r="AB47" i="34"/>
  <c r="AB28" i="37"/>
  <c r="AZ18" i="3"/>
  <c r="M18" i="15"/>
  <c r="U41" i="39"/>
  <c r="AC17" i="39"/>
  <c r="AC38" i="39"/>
  <c r="W21" i="40"/>
  <c r="S30" i="40"/>
  <c r="S38" i="40"/>
  <c r="U25" i="40"/>
  <c r="W33" i="40"/>
  <c r="AC19" i="21"/>
  <c r="AB32" i="21"/>
  <c r="U25" i="33"/>
  <c r="W43" i="33"/>
  <c r="U36" i="33"/>
  <c r="S13" i="34"/>
  <c r="AC40" i="34"/>
  <c r="W17" i="34"/>
  <c r="AA27" i="34"/>
  <c r="AA12" i="34"/>
  <c r="W33" i="34"/>
  <c r="AA11" i="37"/>
  <c r="S16" i="35"/>
  <c r="U33" i="35"/>
  <c r="S32" i="33"/>
  <c r="W14" i="35"/>
  <c r="U47" i="39"/>
  <c r="W32" i="40"/>
  <c r="AA11" i="33"/>
  <c r="W27" i="39"/>
  <c r="S43" i="34"/>
  <c r="AB33" i="21"/>
  <c r="AZ485" i="3"/>
  <c r="AZ489" i="3"/>
  <c r="AZ503" i="3"/>
  <c r="AZ523" i="3"/>
  <c r="AZ566" i="3"/>
  <c r="AC30" i="37"/>
  <c r="AB34" i="21"/>
  <c r="U31" i="34"/>
  <c r="J13" i="33"/>
  <c r="W9" i="21"/>
  <c r="S26" i="21"/>
  <c r="S24" i="36"/>
  <c r="AC14" i="37"/>
  <c r="AC29" i="33"/>
  <c r="W25" i="35"/>
  <c r="AB16" i="35"/>
  <c r="AZ378" i="3"/>
  <c r="AZ377" i="3"/>
  <c r="AZ343" i="3"/>
  <c r="AZ303" i="3"/>
  <c r="S36" i="35"/>
  <c r="AA23" i="37"/>
  <c r="AA13" i="33"/>
  <c r="AC41" i="34"/>
  <c r="F24" i="35"/>
  <c r="AB27" i="37"/>
  <c r="U17" i="37"/>
  <c r="BL20" i="3"/>
  <c r="AZ488" i="3"/>
  <c r="AZ558" i="3"/>
  <c r="AZ501" i="3"/>
  <c r="U46" i="21"/>
  <c r="F13" i="37"/>
  <c r="S30" i="33"/>
  <c r="W13" i="36"/>
  <c r="AC13" i="36"/>
  <c r="U31" i="21"/>
  <c r="AB31" i="21"/>
  <c r="J29" i="21"/>
  <c r="F13" i="21"/>
  <c r="J30" i="21"/>
  <c r="AC34" i="36"/>
  <c r="S10" i="21"/>
  <c r="S8" i="21"/>
  <c r="U33" i="33"/>
  <c r="U30" i="37"/>
  <c r="S38" i="21"/>
  <c r="AA33" i="33"/>
  <c r="AC43" i="34"/>
  <c r="W43" i="34"/>
  <c r="H9" i="35"/>
  <c r="F9" i="35"/>
  <c r="U27" i="35"/>
  <c r="AB27" i="35"/>
  <c r="H12" i="36"/>
  <c r="F23" i="36"/>
  <c r="W24" i="36"/>
  <c r="AC24" i="36"/>
  <c r="BA565" i="3"/>
  <c r="AZ565" i="3" s="1"/>
  <c r="BL561" i="3"/>
  <c r="AZ561" i="3" s="1"/>
  <c r="BL535" i="3"/>
  <c r="AZ535" i="3" s="1"/>
  <c r="BL501" i="3"/>
  <c r="W28" i="33"/>
  <c r="AC28" i="33"/>
  <c r="AC38" i="33"/>
  <c r="W38" i="33"/>
  <c r="BL551" i="3"/>
  <c r="AZ551" i="3" s="1"/>
  <c r="AZ486" i="3"/>
  <c r="AZ504" i="3"/>
  <c r="AZ510" i="3"/>
  <c r="AZ525" i="3"/>
  <c r="AZ571" i="3"/>
  <c r="AZ324" i="3"/>
  <c r="AZ305" i="3"/>
  <c r="AZ338" i="3"/>
  <c r="AZ299" i="3"/>
  <c r="AZ492" i="3"/>
  <c r="AZ544" i="3"/>
  <c r="AZ569" i="3"/>
  <c r="S45" i="21"/>
  <c r="AA28" i="21"/>
  <c r="J45" i="21"/>
  <c r="U24" i="36"/>
  <c r="W24" i="35"/>
  <c r="S39" i="37"/>
  <c r="W41" i="21"/>
  <c r="J26" i="33"/>
  <c r="H26" i="33"/>
  <c r="H30" i="33"/>
  <c r="J30" i="33"/>
  <c r="H34" i="36"/>
  <c r="F34" i="36"/>
  <c r="BL563" i="3"/>
  <c r="AZ563" i="3" s="1"/>
  <c r="G555" i="3"/>
  <c r="G520" i="3"/>
  <c r="G503" i="3"/>
  <c r="BL495" i="3"/>
  <c r="AZ495" i="3" s="1"/>
  <c r="G487" i="3"/>
  <c r="F25" i="37"/>
  <c r="G569" i="3"/>
  <c r="G553" i="3"/>
  <c r="G532" i="3"/>
  <c r="G527" i="3"/>
  <c r="G516" i="3"/>
  <c r="G504" i="3"/>
  <c r="G486" i="3"/>
  <c r="BA402" i="3"/>
  <c r="BL404" i="3"/>
  <c r="BA392" i="3"/>
  <c r="BL410" i="3"/>
  <c r="BA412" i="3"/>
  <c r="G416" i="3"/>
  <c r="BL430" i="3"/>
  <c r="G548" i="3"/>
  <c r="G536" i="3"/>
  <c r="G519" i="3"/>
  <c r="G497" i="3"/>
  <c r="BA396" i="3"/>
  <c r="G410" i="3"/>
  <c r="BA420" i="3"/>
  <c r="G430" i="3"/>
  <c r="G391" i="3"/>
  <c r="BL391" i="3"/>
  <c r="BL396" i="3"/>
  <c r="G397" i="3"/>
  <c r="BA399" i="3"/>
  <c r="BL401" i="3"/>
  <c r="BA404" i="3"/>
  <c r="BL409" i="3"/>
  <c r="G412" i="3"/>
  <c r="BA414" i="3"/>
  <c r="BL416" i="3"/>
  <c r="G417" i="3"/>
  <c r="BL419" i="3"/>
  <c r="BL425" i="3"/>
  <c r="G428" i="3"/>
  <c r="G429" i="3"/>
  <c r="BA434" i="3"/>
  <c r="BL436" i="3"/>
  <c r="G437" i="3"/>
  <c r="BA439" i="3"/>
  <c r="BL441" i="3"/>
  <c r="G444" i="3"/>
  <c r="G445" i="3"/>
  <c r="BA448" i="3"/>
  <c r="BL453" i="3"/>
  <c r="G456" i="3"/>
  <c r="BA458" i="3"/>
  <c r="BL460" i="3"/>
  <c r="G461" i="3"/>
  <c r="BA463" i="3"/>
  <c r="BA465" i="3"/>
  <c r="BL465" i="3"/>
  <c r="BA468" i="3"/>
  <c r="G472" i="3"/>
  <c r="BA474" i="3"/>
  <c r="BL476" i="3"/>
  <c r="G477" i="3"/>
  <c r="BA479" i="3"/>
  <c r="BA301" i="3"/>
  <c r="AZ301" i="3" s="1"/>
  <c r="G305" i="3"/>
  <c r="BL308" i="3"/>
  <c r="AZ308" i="3" s="1"/>
  <c r="G309" i="3"/>
  <c r="BL319" i="3"/>
  <c r="G320" i="3"/>
  <c r="BL330" i="3"/>
  <c r="AZ330" i="3" s="1"/>
  <c r="G331" i="3"/>
  <c r="G336" i="3"/>
  <c r="BL346" i="3"/>
  <c r="AZ346" i="3" s="1"/>
  <c r="G347" i="3"/>
  <c r="BA368" i="3"/>
  <c r="BL380" i="3"/>
  <c r="AZ380" i="3" s="1"/>
  <c r="G207" i="3"/>
  <c r="BA209" i="3"/>
  <c r="BL210" i="3"/>
  <c r="BA217" i="3"/>
  <c r="BA462" i="3"/>
  <c r="BL464" i="3"/>
  <c r="G465" i="3"/>
  <c r="BA467" i="3"/>
  <c r="BL469" i="3"/>
  <c r="BA472" i="3"/>
  <c r="G476" i="3"/>
  <c r="BA478" i="3"/>
  <c r="BL480" i="3"/>
  <c r="G212" i="3"/>
  <c r="G213" i="3"/>
  <c r="G219" i="3"/>
  <c r="G427" i="3"/>
  <c r="BA427" i="3"/>
  <c r="BA433" i="3"/>
  <c r="BL433" i="3"/>
  <c r="BA436" i="3"/>
  <c r="G443" i="3"/>
  <c r="BA443" i="3"/>
  <c r="G455" i="3"/>
  <c r="BL455" i="3"/>
  <c r="BA457" i="3"/>
  <c r="BL457" i="3"/>
  <c r="BL316" i="3"/>
  <c r="AZ316" i="3" s="1"/>
  <c r="BA319" i="3"/>
  <c r="BA325" i="3"/>
  <c r="AZ325" i="3" s="1"/>
  <c r="BL332" i="3"/>
  <c r="AZ332" i="3" s="1"/>
  <c r="BA335" i="3"/>
  <c r="G352" i="3"/>
  <c r="BL368" i="3"/>
  <c r="BA371" i="3"/>
  <c r="BA205" i="3"/>
  <c r="BL206" i="3"/>
  <c r="BL214" i="3"/>
  <c r="BA219" i="3"/>
  <c r="BL230" i="3"/>
  <c r="BA232" i="3"/>
  <c r="BL232" i="3"/>
  <c r="BA237" i="3"/>
  <c r="BL239" i="3"/>
  <c r="AZ239" i="3" s="1"/>
  <c r="BL2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BL222" i="3"/>
  <c r="BL273" i="3"/>
  <c r="BL246" i="3"/>
  <c r="BA248" i="3"/>
  <c r="BL248" i="3"/>
  <c r="BA253" i="3"/>
  <c r="BL255" i="3"/>
  <c r="AZ255" i="3" s="1"/>
  <c r="BL258" i="3"/>
  <c r="BA265" i="3"/>
  <c r="BA268" i="3"/>
  <c r="AZ268" i="3" s="1"/>
  <c r="BL268" i="3"/>
  <c r="BL278" i="3"/>
  <c r="BA284" i="3"/>
  <c r="BL284" i="3"/>
  <c r="BL290" i="3"/>
  <c r="BA294" i="3"/>
  <c r="BA116" i="3"/>
  <c r="BL167" i="3"/>
  <c r="BL169" i="3"/>
  <c r="AZ169" i="3" s="1"/>
  <c r="BA170" i="3"/>
  <c r="AZ170" i="3" s="1"/>
  <c r="BL172" i="3"/>
  <c r="BA183" i="3"/>
  <c r="BA187" i="3"/>
  <c r="BA191" i="3"/>
  <c r="BA195" i="3"/>
  <c r="D55" i="59"/>
  <c r="C56" i="59"/>
  <c r="G209" i="3"/>
  <c r="BA211" i="3"/>
  <c r="BL215" i="3"/>
  <c r="G216" i="3"/>
  <c r="G217" i="3"/>
  <c r="G218" i="3"/>
  <c r="BL218" i="3"/>
  <c r="G228" i="3"/>
  <c r="G229" i="3"/>
  <c r="BA231" i="3"/>
  <c r="G235" i="3"/>
  <c r="G236" i="3"/>
  <c r="G238" i="3"/>
  <c r="BL238" i="3"/>
  <c r="BA240" i="3"/>
  <c r="AZ240" i="3" s="1"/>
  <c r="BL240" i="3"/>
  <c r="BA245" i="3"/>
  <c r="BL247" i="3"/>
  <c r="G248" i="3"/>
  <c r="G250" i="3"/>
  <c r="BL250" i="3"/>
  <c r="G255" i="3"/>
  <c r="BA257" i="3"/>
  <c r="BA260" i="3"/>
  <c r="AZ260" i="3" s="1"/>
  <c r="BL260" i="3"/>
  <c r="BA263" i="3"/>
  <c r="G267" i="3"/>
  <c r="G268" i="3"/>
  <c r="G274" i="3"/>
  <c r="BL274" i="3"/>
  <c r="BL280" i="3"/>
  <c r="G283" i="3"/>
  <c r="G284" i="3"/>
  <c r="G290" i="3"/>
  <c r="BA292" i="3"/>
  <c r="AZ292" i="3" s="1"/>
  <c r="BL296" i="3"/>
  <c r="BL114" i="3"/>
  <c r="AZ114" i="3" s="1"/>
  <c r="BA115" i="3"/>
  <c r="AZ115" i="3" s="1"/>
  <c r="BL117" i="3"/>
  <c r="G118" i="3"/>
  <c r="BA125" i="3"/>
  <c r="BA127" i="3"/>
  <c r="AZ127" i="3" s="1"/>
  <c r="G130" i="3"/>
  <c r="G133" i="3"/>
  <c r="BL133" i="3"/>
  <c r="BL136" i="3"/>
  <c r="BA140" i="3"/>
  <c r="G143" i="3"/>
  <c r="G149" i="3"/>
  <c r="BL149" i="3"/>
  <c r="BA159" i="3"/>
  <c r="AZ159" i="3" s="1"/>
  <c r="BA164" i="3"/>
  <c r="BA166" i="3"/>
  <c r="AZ166" i="3" s="1"/>
  <c r="G169" i="3"/>
  <c r="G172" i="3"/>
  <c r="BL175" i="3"/>
  <c r="G181" i="3"/>
  <c r="G185" i="3"/>
  <c r="BA186" i="3"/>
  <c r="G189" i="3"/>
  <c r="G193" i="3"/>
  <c r="BA194" i="3"/>
  <c r="BL25" i="3"/>
  <c r="G26" i="3"/>
  <c r="BA29" i="3"/>
  <c r="BL30" i="3"/>
  <c r="BL31" i="3"/>
  <c r="AZ31" i="3" s="1"/>
  <c r="BA55" i="3"/>
  <c r="T65" i="59"/>
  <c r="D65" i="59"/>
  <c r="C53" i="59"/>
  <c r="D52" i="59"/>
  <c r="BA129" i="3"/>
  <c r="BA133" i="3"/>
  <c r="BA135" i="3"/>
  <c r="AZ135" i="3" s="1"/>
  <c r="BA139" i="3"/>
  <c r="AZ139" i="3" s="1"/>
  <c r="BL141" i="3"/>
  <c r="BA145" i="3"/>
  <c r="BL155" i="3"/>
  <c r="BL159" i="3"/>
  <c r="BA221" i="3"/>
  <c r="BL223" i="3"/>
  <c r="G224" i="3"/>
  <c r="G225" i="3"/>
  <c r="G226" i="3"/>
  <c r="BA227" i="3"/>
  <c r="BL231" i="3"/>
  <c r="G232" i="3"/>
  <c r="G234" i="3"/>
  <c r="BL234" i="3"/>
  <c r="G239" i="3"/>
  <c r="BA241" i="3"/>
  <c r="BA244" i="3"/>
  <c r="BL244" i="3"/>
  <c r="BA247" i="3"/>
  <c r="AZ247" i="3" s="1"/>
  <c r="G251" i="3"/>
  <c r="G252" i="3"/>
  <c r="G254" i="3"/>
  <c r="BL254" i="3"/>
  <c r="BA256" i="3"/>
  <c r="BL256" i="3"/>
  <c r="BA261" i="3"/>
  <c r="BL263" i="3"/>
  <c r="G264" i="3"/>
  <c r="G266" i="3"/>
  <c r="BL266" i="3"/>
  <c r="BL272" i="3"/>
  <c r="G275" i="3"/>
  <c r="G276" i="3"/>
  <c r="G282" i="3"/>
  <c r="BL282" i="3"/>
  <c r="BL288" i="3"/>
  <c r="G291" i="3"/>
  <c r="G292" i="3"/>
  <c r="BA113" i="3"/>
  <c r="BA117" i="3"/>
  <c r="BA119" i="3"/>
  <c r="AZ119" i="3" s="1"/>
  <c r="G123" i="3"/>
  <c r="BA123" i="3"/>
  <c r="AZ123" i="3" s="1"/>
  <c r="BL125" i="3"/>
  <c r="G126" i="3"/>
  <c r="G131" i="3"/>
  <c r="BA132" i="3"/>
  <c r="G135" i="3"/>
  <c r="G141" i="3"/>
  <c r="G147" i="3"/>
  <c r="BA148" i="3"/>
  <c r="G151" i="3"/>
  <c r="G153" i="3"/>
  <c r="BL157" i="3"/>
  <c r="AZ157" i="3" s="1"/>
  <c r="G162" i="3"/>
  <c r="BA162" i="3"/>
  <c r="AZ162" i="3" s="1"/>
  <c r="BL164" i="3"/>
  <c r="G165" i="3"/>
  <c r="G170" i="3"/>
  <c r="BA171" i="3"/>
  <c r="G174" i="3"/>
  <c r="BA176" i="3"/>
  <c r="BL178" i="3"/>
  <c r="AZ178" i="3" s="1"/>
  <c r="G179" i="3"/>
  <c r="BA180" i="3"/>
  <c r="AZ180" i="3" s="1"/>
  <c r="G183" i="3"/>
  <c r="G184" i="3"/>
  <c r="G187" i="3"/>
  <c r="G191" i="3"/>
  <c r="G192" i="3"/>
  <c r="G195" i="3"/>
  <c r="G199" i="3"/>
  <c r="BL202" i="3"/>
  <c r="BL203" i="3"/>
  <c r="AZ203" i="3" s="1"/>
  <c r="BA204" i="3"/>
  <c r="G25" i="3"/>
  <c r="BL41" i="3"/>
  <c r="G23" i="3"/>
  <c r="BA24" i="3"/>
  <c r="BL28" i="3"/>
  <c r="BL32" i="3"/>
  <c r="G39" i="3"/>
  <c r="BA40" i="3"/>
  <c r="BL44" i="3"/>
  <c r="BL48" i="3"/>
  <c r="G55" i="3"/>
  <c r="BA56" i="3"/>
  <c r="G60" i="3"/>
  <c r="G67" i="3"/>
  <c r="BL79" i="3"/>
  <c r="G82" i="3"/>
  <c r="BA82" i="3"/>
  <c r="AZ82" i="3" s="1"/>
  <c r="G87" i="3"/>
  <c r="BA88" i="3"/>
  <c r="BA90" i="3"/>
  <c r="BL92" i="3"/>
  <c r="BL95" i="3"/>
  <c r="G99" i="3"/>
  <c r="BL104" i="3"/>
  <c r="G107" i="3"/>
  <c r="BA107" i="3"/>
  <c r="BL109" i="3"/>
  <c r="BL111" i="3"/>
  <c r="BA112" i="3"/>
  <c r="S21" i="21"/>
  <c r="D64" i="59"/>
  <c r="C75" i="59"/>
  <c r="D75" i="59" s="1"/>
  <c r="C67" i="59"/>
  <c r="D69" i="59"/>
  <c r="D51" i="59"/>
  <c r="AB27" i="59"/>
  <c r="AA3" i="59"/>
  <c r="AA30" i="59"/>
  <c r="Y31" i="59"/>
  <c r="Z31" i="59" s="1"/>
  <c r="Y32" i="59"/>
  <c r="Z32" i="59" s="1"/>
  <c r="Y33" i="59"/>
  <c r="Z33" i="59" s="1"/>
  <c r="Y38" i="59"/>
  <c r="Z38" i="59" s="1"/>
  <c r="S25" i="59"/>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S18" i="35"/>
  <c r="D72" i="59"/>
  <c r="O69" i="59"/>
  <c r="AB3" i="59"/>
  <c r="AA31" i="59"/>
  <c r="AA32" i="59"/>
  <c r="AA33" i="59"/>
  <c r="X34" i="59"/>
  <c r="AB34" i="59"/>
  <c r="AB35" i="59"/>
  <c r="AB36" i="59"/>
  <c r="AB37" i="59"/>
  <c r="AB38" i="59"/>
  <c r="AB39" i="59"/>
  <c r="B48" i="59"/>
  <c r="B49" i="59" s="1"/>
  <c r="S49" i="59" s="1"/>
  <c r="E60" i="59"/>
  <c r="E61" i="59" s="1"/>
  <c r="U61" i="59" s="1"/>
  <c r="BA33" i="3"/>
  <c r="BL34" i="3"/>
  <c r="BL35" i="3"/>
  <c r="AZ35" i="3" s="1"/>
  <c r="BA36" i="3"/>
  <c r="G42" i="3"/>
  <c r="BA45" i="3"/>
  <c r="BL46" i="3"/>
  <c r="BL47" i="3"/>
  <c r="AZ47" i="3" s="1"/>
  <c r="BA49" i="3"/>
  <c r="BL50" i="3"/>
  <c r="BL51" i="3"/>
  <c r="AZ51" i="3" s="1"/>
  <c r="BA52" i="3"/>
  <c r="BL60" i="3"/>
  <c r="G62" i="3"/>
  <c r="BA63" i="3"/>
  <c r="AZ63" i="3" s="1"/>
  <c r="BL68" i="3"/>
  <c r="G70" i="3"/>
  <c r="BA73" i="3"/>
  <c r="BA76" i="3"/>
  <c r="BL77" i="3"/>
  <c r="BL78" i="3"/>
  <c r="AZ78" i="3" s="1"/>
  <c r="G83" i="3"/>
  <c r="BA84" i="3"/>
  <c r="BL88" i="3"/>
  <c r="BL89" i="3"/>
  <c r="BA96" i="3"/>
  <c r="BL96" i="3"/>
  <c r="BL97" i="3"/>
  <c r="G100" i="3"/>
  <c r="G101" i="3"/>
  <c r="BA104" i="3"/>
  <c r="BA110" i="3"/>
  <c r="BL112" i="3"/>
  <c r="D77" i="59"/>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291"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AZ93" i="3" s="1"/>
  <c r="BL99" i="3"/>
  <c r="AZ108" i="3"/>
  <c r="BA109" i="3"/>
  <c r="AZ109" i="3" s="1"/>
  <c r="G112" i="3"/>
  <c r="AZ172" i="3"/>
  <c r="BL183" i="3"/>
  <c r="AZ183" i="3" s="1"/>
  <c r="BL191" i="3"/>
  <c r="AZ191" i="3" s="1"/>
  <c r="BL199" i="3"/>
  <c r="AZ199" i="3" s="1"/>
  <c r="BL204" i="3"/>
  <c r="AZ204" i="3" s="1"/>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L84" i="3"/>
  <c r="AZ84" i="3" s="1"/>
  <c r="AZ88"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O6" i="1"/>
  <c r="P6" i="1" s="1"/>
  <c r="O7" i="1"/>
  <c r="P7" i="1" s="1"/>
  <c r="O12" i="1"/>
  <c r="P12" i="1" s="1"/>
  <c r="O10" i="1"/>
  <c r="P10" i="1" s="1"/>
  <c r="O9" i="1"/>
  <c r="P9" i="1" s="1"/>
  <c r="O13" i="1"/>
  <c r="P13" i="1" s="1"/>
  <c r="G6" i="1"/>
  <c r="A25" i="51"/>
  <c r="B18" i="63" s="1"/>
  <c r="G13" i="1"/>
  <c r="C95" i="9"/>
  <c r="C92" i="9" s="1"/>
  <c r="C25" i="12"/>
  <c r="C15" i="43"/>
  <c r="C28" i="15"/>
  <c r="D23" i="15"/>
  <c r="L52" i="37"/>
  <c r="M52" i="37" s="1"/>
  <c r="N52" i="37" s="1"/>
  <c r="O52" i="37" s="1"/>
  <c r="F58" i="21"/>
  <c r="G58" i="21" s="1"/>
  <c r="H58" i="21" s="1"/>
  <c r="I58" i="21" s="1"/>
  <c r="J58" i="21" s="1"/>
  <c r="K58" i="21" s="1"/>
  <c r="L58" i="21" s="1"/>
  <c r="M58" i="21" s="1"/>
  <c r="N58" i="21" s="1"/>
  <c r="O58" i="21"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5" i="12"/>
  <c r="F15" i="44"/>
  <c r="C16" i="15"/>
  <c r="J17" i="44"/>
  <c r="M25" i="44"/>
  <c r="C18" i="44"/>
  <c r="E2" i="65"/>
  <c r="E3" i="65"/>
  <c r="AA11" i="21" l="1"/>
  <c r="U11" i="21"/>
  <c r="AB11" i="21"/>
  <c r="S23" i="39"/>
  <c r="U13" i="39"/>
  <c r="S34" i="39"/>
  <c r="AB34" i="39"/>
  <c r="W34" i="39"/>
  <c r="R7" i="54"/>
  <c r="B52" i="63" s="1"/>
  <c r="G10" i="1"/>
  <c r="AP10" i="1"/>
  <c r="AP16" i="1" s="1"/>
  <c r="F22" i="11" s="1"/>
  <c r="AZ244" i="3"/>
  <c r="AZ248" i="3"/>
  <c r="S34" i="36"/>
  <c r="AA34" i="36"/>
  <c r="U26" i="33"/>
  <c r="AB26" i="33"/>
  <c r="W12" i="35"/>
  <c r="AC12" i="35"/>
  <c r="C36" i="59"/>
  <c r="D35" i="59"/>
  <c r="O66" i="59"/>
  <c r="D67" i="59"/>
  <c r="AZ112" i="3"/>
  <c r="AZ256" i="3"/>
  <c r="AZ164" i="3"/>
  <c r="C57" i="59"/>
  <c r="D56" i="59"/>
  <c r="S25" i="37"/>
  <c r="AA25" i="37"/>
  <c r="U34" i="36"/>
  <c r="AB34" i="36"/>
  <c r="AC26" i="33"/>
  <c r="W26" i="33"/>
  <c r="W30" i="21"/>
  <c r="AC30" i="21"/>
  <c r="S13" i="37"/>
  <c r="AA13" i="37"/>
  <c r="AA24" i="35"/>
  <c r="S24" i="35"/>
  <c r="AB12" i="35"/>
  <c r="U12" i="35"/>
  <c r="U29" i="21"/>
  <c r="AB29" i="21"/>
  <c r="AC30" i="33"/>
  <c r="W30" i="33"/>
  <c r="W45" i="21"/>
  <c r="AC45" i="21"/>
  <c r="AA23" i="36"/>
  <c r="S23" i="36"/>
  <c r="AA9" i="35"/>
  <c r="S9" i="35"/>
  <c r="AA13" i="21"/>
  <c r="S13" i="21"/>
  <c r="W13" i="33"/>
  <c r="AC13" i="33"/>
  <c r="AB9" i="36"/>
  <c r="U9" i="36"/>
  <c r="AZ263" i="3"/>
  <c r="AZ231" i="3"/>
  <c r="AZ284" i="3"/>
  <c r="AZ232" i="3"/>
  <c r="U30" i="33"/>
  <c r="AB30" i="33"/>
  <c r="U12" i="36"/>
  <c r="AB12" i="36"/>
  <c r="AB9" i="35"/>
  <c r="U9" i="35"/>
  <c r="AC29" i="21"/>
  <c r="W29" i="21"/>
  <c r="AC9" i="36"/>
  <c r="W9" i="36"/>
  <c r="K17" i="4"/>
  <c r="A22" i="51" s="1"/>
  <c r="B16" i="63" s="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D26" i="46"/>
  <c r="C25" i="46" s="1"/>
  <c r="BA5" i="3"/>
  <c r="E12" i="6"/>
  <c r="E63" i="39"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K14" i="1" s="1"/>
  <c r="G5" i="3"/>
  <c r="B3" i="3" s="1"/>
  <c r="F21" i="43"/>
  <c r="E66" i="39"/>
  <c r="E61" i="40"/>
  <c r="H7" i="34"/>
  <c r="U7" i="34" s="1"/>
  <c r="F7" i="34"/>
  <c r="AA7" i="34" s="1"/>
  <c r="R49" i="34" s="1"/>
  <c r="J7" i="34"/>
  <c r="W7" i="34" s="1"/>
  <c r="G16" i="1"/>
  <c r="J12" i="40" s="1"/>
  <c r="F7" i="21"/>
  <c r="AA7" i="21" s="1"/>
  <c r="R48" i="21" s="1"/>
  <c r="H7" i="21"/>
  <c r="AB7" i="21" s="1"/>
  <c r="T48" i="21" s="1"/>
  <c r="G48" i="21" s="1"/>
  <c r="B12" i="59"/>
  <c r="F58" i="15"/>
  <c r="H7" i="35"/>
  <c r="U7" i="35" s="1"/>
  <c r="B40" i="1"/>
  <c r="L36" i="46" s="1"/>
  <c r="E64" i="40"/>
  <c r="D66" i="40"/>
  <c r="AC7" i="33"/>
  <c r="V48" i="33" s="1"/>
  <c r="I48" i="33" s="1"/>
  <c r="W7" i="33"/>
  <c r="J7" i="37"/>
  <c r="D71" i="39"/>
  <c r="E69" i="39"/>
  <c r="H7" i="33"/>
  <c r="F7" i="33"/>
  <c r="J46" i="36"/>
  <c r="J7" i="35"/>
  <c r="F7" i="35"/>
  <c r="H7" i="37"/>
  <c r="F7" i="37"/>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8" i="1"/>
  <c r="AE9" i="1"/>
  <c r="AE10" i="1"/>
  <c r="AE11" i="1"/>
  <c r="D21" i="12"/>
  <c r="F33" i="12"/>
  <c r="AE7" i="1"/>
  <c r="F41" i="15" s="1"/>
  <c r="F46" i="44"/>
  <c r="C34" i="12" l="1"/>
  <c r="D33" i="12" s="1"/>
  <c r="C21" i="12"/>
  <c r="E58" i="40"/>
  <c r="W7" i="21"/>
  <c r="D57" i="59"/>
  <c r="T57" i="59"/>
  <c r="C37" i="59"/>
  <c r="D36" i="59"/>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47" i="15" s="1"/>
  <c r="C10" i="15"/>
  <c r="C5" i="15" s="1"/>
  <c r="C38" i="15" s="1"/>
  <c r="C20" i="11"/>
  <c r="C21" i="11" s="1"/>
  <c r="C22" i="11" s="1"/>
  <c r="C23" i="11" s="1"/>
  <c r="B2" i="11" s="1"/>
  <c r="D16" i="12"/>
  <c r="M27" i="15"/>
  <c r="M29" i="44"/>
  <c r="D19" i="12" l="1"/>
  <c r="C19" i="12" s="1"/>
  <c r="T37" i="59"/>
  <c r="D37" i="59"/>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8" i="12" s="1"/>
  <c r="C10" i="12" s="1"/>
  <c r="C49" i="21"/>
  <c r="B3" i="21" s="1"/>
  <c r="B2" i="21" s="1"/>
  <c r="I46" i="37"/>
  <c r="J46" i="37" s="1"/>
  <c r="G52" i="33"/>
  <c r="H52" i="33" s="1"/>
  <c r="G53" i="33"/>
  <c r="H53" i="33" s="1"/>
  <c r="I42" i="35"/>
  <c r="J42" i="35" s="1"/>
  <c r="I43" i="35"/>
  <c r="J43" i="35" s="1"/>
  <c r="G46" i="37"/>
  <c r="H46" i="37" s="1"/>
  <c r="G47" i="37"/>
  <c r="H47" i="37" s="1"/>
  <c r="B3" i="11"/>
  <c r="D22" i="12"/>
  <c r="F7" i="67"/>
  <c r="C17" i="15"/>
  <c r="C22" i="12" l="1"/>
  <c r="C20" i="12" s="1"/>
  <c r="B5" i="11"/>
  <c r="K27" i="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D30" i="6" s="1"/>
  <c r="H23" i="6"/>
  <c r="C22" i="4"/>
  <c r="D24" i="6"/>
  <c r="D19" i="6"/>
  <c r="D9" i="6"/>
  <c r="D6" i="6"/>
  <c r="P14" i="1"/>
  <c r="P16" i="1"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3" i="12"/>
  <c r="B7" i="67"/>
  <c r="C19" i="44"/>
  <c r="E7" i="67"/>
  <c r="F40" i="39" l="1"/>
  <c r="H40" i="39"/>
  <c r="J40" i="39"/>
  <c r="H25" i="6"/>
  <c r="R25" i="6" s="1"/>
  <c r="R12" i="1" s="1"/>
  <c r="S16" i="1"/>
  <c r="T13" i="1" s="1"/>
  <c r="D16" i="59"/>
  <c r="C15" i="59"/>
  <c r="C31" i="46"/>
  <c r="C30" i="46"/>
  <c r="B2" i="46" s="1"/>
  <c r="D4" i="46" s="1"/>
  <c r="T10" i="1"/>
  <c r="T12" i="1"/>
  <c r="I27" i="6"/>
  <c r="S19" i="6"/>
  <c r="S27" i="6" s="1"/>
  <c r="H19" i="6"/>
  <c r="R19" i="6" s="1"/>
  <c r="R6" i="1" s="1"/>
  <c r="R24" i="6"/>
  <c r="R11" i="1" s="1"/>
  <c r="R26" i="6"/>
  <c r="F7" i="59"/>
  <c r="B8" i="59"/>
  <c r="E8" i="59"/>
  <c r="R21" i="6"/>
  <c r="R8" i="1" s="1"/>
  <c r="D27" i="6"/>
  <c r="D31" i="6" s="1"/>
  <c r="A20" i="64"/>
  <c r="A6" i="64"/>
  <c r="A20" i="51"/>
  <c r="B15" i="63" s="1"/>
  <c r="N5" i="54"/>
  <c r="B43" i="63" s="1"/>
  <c r="A6" i="51"/>
  <c r="B7" i="63" s="1"/>
  <c r="D8" i="66"/>
  <c r="D7" i="66"/>
  <c r="D16" i="6"/>
  <c r="R23" i="6"/>
  <c r="R10" i="1" s="1"/>
  <c r="R20" i="6"/>
  <c r="R7" i="1" s="1"/>
  <c r="C17" i="43"/>
  <c r="C14" i="43"/>
  <c r="C14" i="12"/>
  <c r="C17" i="12"/>
  <c r="I64" i="40"/>
  <c r="H66" i="40"/>
  <c r="H71" i="39"/>
  <c r="I69" i="39"/>
  <c r="N46" i="36"/>
  <c r="E3" i="67"/>
  <c r="B2" i="67"/>
  <c r="F37" i="44"/>
  <c r="F35" i="15"/>
  <c r="M23" i="44"/>
  <c r="M21" i="15"/>
  <c r="T8" i="1" l="1"/>
  <c r="T9" i="1"/>
  <c r="T6" i="1"/>
  <c r="T11" i="1"/>
  <c r="T7" i="1"/>
  <c r="AC40" i="39"/>
  <c r="W40" i="39"/>
  <c r="AB40" i="39"/>
  <c r="U40" i="39"/>
  <c r="AA40" i="39"/>
  <c r="S40" i="39"/>
  <c r="D15" i="59"/>
  <c r="C14" i="59"/>
  <c r="B3" i="46"/>
  <c r="B4" i="46"/>
  <c r="C36" i="44"/>
  <c r="J20" i="15"/>
  <c r="C34" i="15"/>
  <c r="R27" i="6"/>
  <c r="H27" i="6"/>
  <c r="T16" i="1"/>
  <c r="E7" i="59"/>
  <c r="B7" i="59"/>
  <c r="F6" i="59"/>
  <c r="I6" i="6"/>
  <c r="I5" i="6"/>
  <c r="J22" i="44"/>
  <c r="F62" i="15"/>
  <c r="C61" i="15" s="1"/>
  <c r="R16" i="1"/>
  <c r="C18" i="43"/>
  <c r="C18" i="12"/>
  <c r="C23" i="12" s="1"/>
  <c r="O46" i="36"/>
  <c r="J7" i="36" s="1"/>
  <c r="F7" i="36"/>
  <c r="H7" i="36"/>
  <c r="J64" i="40"/>
  <c r="I66" i="40"/>
  <c r="J69" i="39"/>
  <c r="I71" i="39"/>
  <c r="B3" i="67"/>
  <c r="B4" i="67"/>
  <c r="C16" i="44"/>
  <c r="C14" i="15"/>
  <c r="C15" i="15" l="1"/>
  <c r="C18" i="15"/>
  <c r="C17" i="44"/>
  <c r="C20" i="44"/>
  <c r="C13" i="59"/>
  <c r="D14" i="59"/>
  <c r="F5" i="59"/>
  <c r="V5" i="59" s="1"/>
  <c r="B6" i="59"/>
  <c r="E6" i="59"/>
  <c r="C19" i="43"/>
  <c r="K69" i="39"/>
  <c r="J71" i="39"/>
  <c r="U7" i="36"/>
  <c r="AB7" i="36"/>
  <c r="T36" i="36" s="1"/>
  <c r="G36" i="36" s="1"/>
  <c r="AC7" i="36"/>
  <c r="V36" i="36" s="1"/>
  <c r="I36" i="36" s="1"/>
  <c r="W7" i="36"/>
  <c r="J66" i="40"/>
  <c r="K64" i="40"/>
  <c r="S7" i="36"/>
  <c r="AA7" i="36"/>
  <c r="R36" i="36" s="1"/>
  <c r="C21" i="44" l="1"/>
  <c r="C22" i="44" s="1"/>
  <c r="C28" i="44" s="1"/>
  <c r="C19" i="15"/>
  <c r="C20" i="15" s="1"/>
  <c r="C26" i="15"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F67" i="39" s="1"/>
  <c r="B2" i="39" s="1"/>
  <c r="B60" i="39"/>
  <c r="F60" i="39" s="1"/>
  <c r="D19" i="9"/>
  <c r="L44" i="9" l="1"/>
  <c r="D5" i="59"/>
  <c r="T5" i="59"/>
  <c r="M24" i="46"/>
  <c r="B5" i="39"/>
  <c r="B4" i="39"/>
  <c r="B3" i="39"/>
  <c r="B5" i="40"/>
  <c r="B4" i="40"/>
  <c r="B3" i="40"/>
  <c r="D21" i="9"/>
  <c r="D20"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C43" i="44"/>
  <c r="J15" i="44"/>
  <c r="J25" i="44" s="1"/>
  <c r="J18" i="44" s="1"/>
  <c r="J27" i="44" s="1"/>
  <c r="J28" i="44" s="1"/>
  <c r="J31" i="44" s="1"/>
  <c r="Q70" i="15" l="1"/>
  <c r="Q69" i="15" s="1"/>
  <c r="G40" i="15"/>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D10" i="12"/>
  <c r="C6" i="12" s="1"/>
  <c r="C24" i="12" l="1"/>
  <c r="C29" i="12"/>
  <c r="C35" i="12" l="1"/>
  <c r="C33" i="12" s="1"/>
  <c r="C28" i="12"/>
  <c r="C26" i="12" s="1"/>
  <c r="C31" i="12" s="1"/>
  <c r="C30" i="12" s="1"/>
  <c r="C36" i="12" s="1"/>
  <c r="B2" i="12" s="1"/>
  <c r="B5" i="12" s="1"/>
  <c r="C19" i="9"/>
  <c r="B3" i="12" l="1"/>
  <c r="B4" i="12"/>
  <c r="G19" i="9"/>
  <c r="D14" i="66" s="1"/>
  <c r="G14" i="66" s="1"/>
  <c r="B6" i="66" s="1"/>
  <c r="D22" i="9"/>
  <c r="L43" i="9"/>
  <c r="C20" i="9"/>
  <c r="C21" i="9"/>
  <c r="G21" i="9" l="1"/>
  <c r="G20" i="9"/>
  <c r="C6" i="66"/>
  <c r="D6" i="66"/>
  <c r="B5" i="66"/>
  <c r="E14" i="66"/>
  <c r="F14" i="66"/>
  <c r="C32" i="9"/>
  <c r="N43" i="9"/>
  <c r="G22" i="9"/>
  <c r="D5" i="66" l="1"/>
  <c r="C5" i="66"/>
  <c r="O43" i="9"/>
  <c r="C42" i="9"/>
  <c r="O38" i="9"/>
  <c r="C33" i="9"/>
  <c r="C34" i="9"/>
  <c r="C35" i="9"/>
  <c r="F42" i="9" s="1"/>
  <c r="N38" i="9" l="1"/>
  <c r="K28" i="9" s="1"/>
  <c r="D42" i="9"/>
  <c r="Q5" i="54" s="1"/>
  <c r="B47" i="63" s="1"/>
  <c r="C44" i="9"/>
  <c r="R5" i="54"/>
  <c r="B48" i="63" s="1"/>
  <c r="D63" i="9"/>
  <c r="N68" i="9"/>
  <c r="K26" i="9"/>
  <c r="K25" i="9"/>
  <c r="E42" i="9"/>
  <c r="P5" i="54" s="1"/>
  <c r="B46" i="63" s="1"/>
  <c r="M38" i="9"/>
  <c r="K27" i="9" s="1"/>
  <c r="D44" i="9" l="1"/>
  <c r="N69" i="9"/>
  <c r="O39" i="9"/>
  <c r="F44" i="9"/>
  <c r="E44" i="9"/>
  <c r="C96" i="9"/>
  <c r="C91" i="9" s="1"/>
  <c r="C90" i="9"/>
  <c r="C82" i="9"/>
  <c r="C81" i="9" s="1"/>
  <c r="C85" i="9" s="1"/>
  <c r="C86" i="9" s="1"/>
  <c r="D72" i="9" s="1"/>
  <c r="D71" i="9"/>
  <c r="D66" i="9" s="1"/>
  <c r="N72" i="9" s="1"/>
  <c r="D73" i="9"/>
  <c r="N73" i="9" s="1"/>
  <c r="C103" i="9"/>
  <c r="C111" i="9"/>
  <c r="C104" i="9" s="1"/>
  <c r="D70" i="9"/>
  <c r="C97" i="9" l="1"/>
  <c r="C98" i="9"/>
  <c r="E98" i="9" s="1"/>
  <c r="E99" i="9" s="1"/>
  <c r="R6" i="54"/>
  <c r="B50" i="63" s="1"/>
  <c r="K29" i="9"/>
  <c r="K30" i="9" s="1"/>
  <c r="M83" i="9"/>
  <c r="N83" i="9" s="1"/>
  <c r="M84" i="9"/>
  <c r="N84" i="9" s="1"/>
  <c r="M88" i="9"/>
  <c r="N88" i="9" s="1"/>
  <c r="M86" i="9"/>
  <c r="N86" i="9" s="1"/>
  <c r="M87" i="9"/>
  <c r="N87" i="9" s="1"/>
  <c r="M85" i="9"/>
  <c r="N85" i="9" s="1"/>
  <c r="C113" i="9"/>
  <c r="N89" i="9" l="1"/>
  <c r="O89" i="9" s="1"/>
  <c r="C99" i="9"/>
  <c r="C114" i="9"/>
  <c r="E114" i="9" s="1"/>
  <c r="E115" i="9" s="1"/>
  <c r="C115" i="9"/>
  <c r="D76" i="9" s="1"/>
  <c r="D74" i="9" s="1"/>
  <c r="N74" i="9" s="1"/>
  <c r="O77" i="9" s="1"/>
  <c r="O78" i="9" l="1"/>
  <c r="Q77" i="9"/>
  <c r="O79" i="9"/>
  <c r="O81" i="9" l="1"/>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<sst xmlns="http://schemas.openxmlformats.org/spreadsheetml/2006/main" count="7838" uniqueCount="3549">
  <si>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</si>
  <si>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</si>
  <si>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</si>
  <si>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</si>
  <si>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</si>
  <si>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</si>
  <si>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</si>
  <si>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</si>
  <si>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</si>
  <si>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</si>
  <si>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</si>
  <si>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</si>
  <si>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</si>
  <si>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</si>
  <si>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</si>
  <si>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</si>
  <si>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</si>
  <si>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</si>
  <si>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</si>
  <si>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</si>
  <si>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</si>
  <si>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</si>
  <si>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</si>
  <si>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</si>
  <si>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</si>
  <si>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</si>
  <si>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</si>
  <si>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</si>
  <si>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</si>
  <si>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</si>
  <si>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</si>
  <si>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</si>
  <si>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</si>
  <si>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</si>
  <si>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</si>
  <si>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</si>
  <si>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</si>
  <si>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</si>
  <si>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</si>
  <si>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</si>
  <si>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</si>
  <si>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</si>
  <si>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</si>
  <si>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</si>
  <si>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</si>
  <si>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</si>
  <si>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</si>
  <si>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</si>
  <si>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</si>
  <si>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</si>
  <si>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</si>
  <si>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</si>
  <si>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</si>
  <si>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</si>
  <si>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</si>
  <si>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</si>
  <si>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</si>
  <si>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</si>
  <si>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</si>
  <si>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</si>
  <si>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</si>
  <si>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</si>
  <si>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</si>
  <si>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</si>
  <si>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</si>
  <si>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</si>
  <si>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</si>
  <si>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</si>
  <si>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</si>
  <si>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</si>
  <si>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</si>
  <si>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</si>
  <si>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</si>
  <si>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</si>
  <si>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</si>
  <si>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</si>
  <si>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</si>
  <si>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</si>
  <si>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</si>
  <si>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</si>
  <si>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</si>
  <si>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</si>
  <si>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</si>
  <si>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</si>
  <si>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</si>
  <si>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</si>
  <si>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</si>
  <si>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</si>
  <si>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</si>
  <si>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</si>
  <si>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</si>
  <si>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</si>
  <si>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</si>
  <si>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</si>
  <si>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</si>
  <si>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</si>
  <si>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</si>
  <si>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</si>
  <si>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</si>
  <si>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</si>
  <si>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</si>
  <si>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</si>
  <si>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</si>
  <si>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</si>
  <si>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</si>
  <si>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</si>
  <si>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</si>
  <si>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</si>
  <si>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</si>
  <si>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</si>
  <si>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</si>
  <si>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</si>
  <si>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</si>
  <si>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</si>
  <si>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</si>
  <si>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</si>
  <si>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</si>
  <si>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</si>
  <si>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</si>
  <si>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</si>
  <si>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</si>
  <si>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</si>
  <si>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</si>
  <si>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</si>
  <si>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</si>
  <si>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</si>
  <si>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</si>
  <si>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</si>
  <si>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</si>
  <si>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</si>
  <si>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</si>
  <si>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</si>
  <si>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</si>
  <si>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</si>
  <si>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</si>
  <si>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</si>
  <si>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</si>
  <si>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</si>
  <si>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</si>
  <si>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</si>
  <si>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</si>
  <si>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</si>
  <si>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</si>
  <si>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</si>
  <si>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</si>
  <si>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</si>
  <si>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</si>
  <si>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</si>
  <si>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</si>
  <si>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</si>
  <si>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</si>
  <si>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</si>
  <si>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</si>
  <si>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</si>
  <si>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</si>
  <si>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</si>
  <si>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</si>
  <si>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</si>
  <si>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</si>
  <si>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</si>
  <si>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</si>
  <si>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</si>
  <si>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</si>
  <si>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</si>
  <si>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</si>
  <si>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</si>
  <si>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</si>
  <si>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</si>
  <si>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</si>
  <si>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</si>
  <si>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</si>
  <si>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</si>
  <si>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</si>
  <si>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</si>
  <si>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</si>
  <si>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</si>
  <si>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</si>
  <si>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</si>
  <si>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</si>
  <si>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</si>
  <si>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</si>
  <si>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</si>
  <si>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</si>
  <si>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</si>
  <si>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</si>
  <si>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</si>
  <si>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</si>
  <si>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</si>
  <si>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</si>
  <si>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</si>
  <si>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</si>
  <si>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</si>
  <si>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</si>
  <si>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</si>
  <si>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</si>
  <si>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</si>
  <si>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</si>
  <si>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</si>
  <si>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</si>
  <si>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</si>
  <si>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</si>
  <si>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</si>
  <si>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</si>
  <si>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</si>
  <si>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</si>
  <si>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</si>
  <si>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</si>
  <si>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</si>
  <si>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</si>
  <si>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</si>
  <si>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</si>
  <si>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</si>
  <si>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</si>
  <si>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</si>
  <si>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</si>
  <si>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</si>
  <si>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</si>
  <si>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</si>
  <si>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</si>
  <si>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</si>
  <si>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</si>
  <si>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</si>
  <si>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</si>
  <si>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</si>
  <si>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</si>
  <si>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</si>
  <si>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</si>
  <si>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</si>
  <si>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</si>
  <si>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</si>
  <si>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</si>
  <si>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</si>
  <si>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</si>
  <si>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</si>
  <si>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</si>
  <si>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</si>
  <si>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</si>
  <si>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</si>
  <si>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</si>
  <si>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</si>
  <si>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</si>
  <si>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</si>
  <si>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</si>
  <si>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</si>
  <si>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</si>
  <si>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</si>
  <si>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</si>
  <si>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</si>
  <si>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</si>
  <si>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</si>
  <si>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</si>
  <si>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</si>
  <si>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</si>
  <si>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</si>
  <si>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</si>
  <si>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</si>
  <si>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</si>
  <si>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</si>
  <si>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</si>
  <si>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</si>
  <si>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</si>
  <si>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</si>
  <si>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</si>
  <si>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</si>
  <si>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</si>
  <si>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</si>
  <si>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</si>
  <si>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</si>
  <si>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</si>
  <si>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</si>
  <si>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</si>
  <si>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</si>
  <si>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</si>
  <si>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</si>
  <si>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</si>
  <si>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</si>
  <si>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</si>
  <si>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</si>
  <si>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</si>
  <si>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</si>
  <si>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</si>
  <si>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</si>
  <si>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</si>
  <si>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</si>
  <si>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</si>
  <si>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</si>
  <si>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</si>
  <si>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</si>
  <si>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</si>
  <si>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</si>
  <si>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</si>
  <si>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</si>
  <si>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</si>
  <si>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</si>
  <si>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</si>
  <si>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</si>
  <si>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</si>
  <si>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</si>
  <si>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</si>
  <si>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</si>
  <si>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</si>
  <si>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</si>
  <si>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</si>
  <si>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</si>
  <si>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</si>
  <si>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</si>
  <si>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</si>
  <si>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</si>
  <si>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</si>
  <si>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</si>
  <si>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</si>
  <si>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</si>
  <si>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</si>
  <si>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</si>
  <si>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</si>
  <si>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</si>
  <si>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</si>
  <si>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</si>
  <si>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</si>
  <si>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</si>
  <si>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</si>
  <si>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</si>
  <si>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</si>
  <si>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</si>
  <si>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</si>
  <si>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</si>
  <si>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</si>
  <si>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</si>
  <si>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</si>
  <si>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</si>
  <si>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</si>
  <si>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</si>
  <si>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</si>
  <si>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</si>
  <si>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</si>
  <si>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</si>
  <si>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</si>
  <si>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</si>
  <si>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</si>
  <si>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</si>
  <si>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</si>
  <si>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</si>
  <si>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</si>
  <si>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</si>
  <si>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</si>
  <si>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</si>
  <si>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</si>
  <si>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</si>
  <si>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</si>
  <si>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</si>
  <si>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</si>
  <si>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</si>
  <si>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</si>
  <si>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</si>
  <si>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</si>
  <si>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</si>
  <si>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</si>
  <si>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</si>
  <si>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</si>
  <si>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</si>
  <si>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</si>
  <si>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</si>
  <si>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</si>
  <si>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</si>
  <si>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</si>
  <si>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</si>
  <si>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</si>
  <si>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</si>
  <si>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</si>
  <si>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</si>
  <si>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</si>
  <si>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</si>
  <si>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</si>
  <si>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</si>
  <si>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</si>
  <si>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</si>
  <si>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</si>
  <si>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</si>
  <si>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</si>
  <si>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</si>
  <si>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</si>
  <si>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</si>
  <si>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</si>
  <si>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</si>
  <si>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</si>
  <si>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</si>
  <si>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</si>
  <si>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</si>
  <si>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</si>
  <si>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</si>
  <si>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</si>
  <si>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</si>
  <si>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</si>
  <si>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</si>
  <si>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</si>
  <si>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</si>
  <si>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</si>
  <si>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</si>
  <si>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</si>
  <si>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</si>
  <si>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</si>
  <si>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</si>
  <si>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</si>
  <si>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</si>
  <si>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</si>
  <si>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</si>
  <si>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</si>
  <si>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</si>
  <si>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</si>
  <si>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</si>
  <si>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</si>
  <si>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</si>
  <si>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</si>
  <si>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</si>
  <si>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</si>
  <si>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</si>
  <si>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</si>
  <si>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</si>
  <si>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</si>
  <si>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</si>
  <si>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</si>
  <si>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</si>
  <si>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</si>
  <si>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</si>
  <si>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</si>
  <si>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</si>
  <si>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</si>
  <si>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</si>
  <si>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</si>
  <si>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</si>
  <si>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</si>
  <si>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</si>
  <si>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</si>
  <si>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</si>
  <si>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</si>
  <si>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</si>
  <si>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</si>
  <si>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</si>
  <si>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</si>
  <si>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</si>
  <si>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</si>
  <si>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</si>
  <si>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</si>
  <si>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</si>
  <si>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</si>
  <si>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</si>
  <si>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</si>
  <si>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</si>
  <si>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</si>
  <si>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</si>
  <si>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</si>
  <si>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</si>
  <si>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</si>
  <si>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</si>
  <si>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</si>
  <si>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</si>
  <si>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</si>
  <si>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</si>
  <si>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</si>
  <si>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</si>
  <si>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</si>
  <si>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</si>
  <si>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</si>
  <si>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</si>
  <si>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</si>
  <si>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</si>
  <si>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</si>
  <si>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</si>
  <si>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</si>
  <si>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</si>
  <si>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</si>
  <si>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</si>
  <si>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</si>
  <si>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</si>
  <si>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</si>
  <si>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</si>
  <si>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</si>
  <si>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</si>
  <si>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</si>
  <si>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</si>
  <si>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</si>
  <si>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</si>
  <si>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</si>
  <si>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</si>
  <si>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</si>
  <si>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</si>
  <si>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</si>
  <si>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</si>
  <si>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</si>
  <si>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</si>
  <si>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</si>
  <si>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</si>
  <si>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</si>
  <si>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</si>
  <si>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</si>
  <si>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</si>
  <si>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</si>
  <si>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</si>
  <si>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</si>
  <si>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</si>
  <si>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</si>
  <si>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</si>
  <si>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</si>
  <si>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</si>
  <si>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</si>
  <si>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</si>
  <si>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</si>
  <si>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</si>
  <si>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</si>
  <si>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</si>
  <si>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</si>
  <si>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</si>
  <si>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</si>
  <si>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</si>
  <si>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</si>
  <si>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</si>
  <si>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</si>
  <si>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</si>
  <si>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</si>
  <si>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</si>
  <si>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</si>
  <si>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</si>
  <si>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</si>
  <si>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</si>
  <si>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</si>
  <si>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</si>
  <si>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</si>
  <si>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</si>
  <si>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</si>
  <si>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</si>
  <si>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</si>
  <si>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</si>
  <si>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</si>
  <si>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</si>
  <si>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</si>
  <si>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</si>
  <si>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</si>
  <si>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</si>
  <si>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</si>
  <si>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</si>
  <si>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</si>
  <si>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</si>
  <si>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</si>
  <si>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</si>
  <si>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</si>
  <si>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</si>
  <si>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</si>
  <si>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</si>
  <si>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</si>
  <si>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</si>
  <si>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</si>
  <si>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</si>
  <si>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</si>
  <si>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</si>
  <si>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</si>
  <si>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</si>
  <si>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</si>
  <si>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</si>
  <si>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</si>
  <si>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</si>
  <si>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</si>
  <si>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</si>
  <si>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</si>
  <si>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</si>
  <si>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</si>
  <si>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</si>
  <si>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</si>
  <si>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</si>
  <si>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</si>
  <si>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</si>
  <si>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</si>
  <si>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</si>
  <si>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</si>
  <si>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</si>
  <si>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</si>
  <si>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</si>
  <si>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</si>
  <si>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</si>
  <si>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</si>
  <si>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</si>
  <si>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</si>
  <si>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</si>
  <si>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</si>
  <si>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</si>
  <si>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</si>
  <si>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</si>
  <si>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</si>
  <si>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</si>
  <si>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</si>
  <si>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</si>
  <si>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</si>
  <si>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</si>
  <si>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</si>
  <si>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</si>
  <si>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</si>
  <si>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</si>
  <si>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</si>
  <si>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</si>
  <si>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</si>
  <si>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</si>
  <si>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</si>
  <si>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</si>
  <si>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</si>
  <si>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</si>
  <si>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</si>
  <si>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</si>
  <si>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</si>
  <si>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</si>
  <si>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</si>
  <si>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</si>
  <si>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</si>
  <si>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</si>
  <si>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</si>
  <si>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</si>
  <si>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</si>
  <si>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</si>
  <si>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</si>
  <si>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</si>
  <si>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</si>
  <si>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</si>
  <si>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</si>
  <si>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</si>
  <si>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</si>
  <si>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</si>
  <si>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</si>
  <si>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</si>
  <si>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</si>
  <si>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</si>
  <si>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</si>
  <si>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</si>
  <si>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</si>
  <si>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</si>
  <si>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</si>
  <si>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</si>
  <si>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</si>
  <si>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</si>
  <si>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</si>
  <si>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</si>
  <si>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</si>
  <si>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</si>
  <si>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</si>
  <si>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</si>
  <si>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</si>
  <si>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</si>
  <si>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</si>
  <si>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</si>
  <si>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</si>
  <si>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</si>
  <si>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</si>
  <si>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</si>
  <si>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</si>
  <si>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</si>
  <si>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</si>
  <si>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</si>
  <si>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</si>
  <si>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</si>
  <si>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</si>
  <si>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</si>
  <si>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</si>
  <si>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</si>
  <si>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</si>
  <si>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</si>
  <si>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</si>
  <si>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</si>
  <si>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</si>
  <si>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</si>
  <si>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</si>
  <si>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</si>
  <si>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</si>
  <si>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</si>
  <si>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</si>
  <si>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</si>
  <si>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</si>
  <si>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</si>
  <si>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</si>
  <si>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</si>
  <si>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</si>
  <si>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</si>
  <si>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</si>
  <si>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</si>
  <si>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</si>
  <si>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</si>
  <si>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</si>
  <si>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</si>
  <si>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</si>
  <si>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</si>
  <si>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</si>
  <si>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</si>
  <si>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</si>
  <si>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</si>
  <si>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</si>
  <si>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</si>
  <si>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</si>
  <si>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</si>
  <si>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</si>
  <si>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</si>
  <si>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</si>
  <si>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</si>
  <si>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</si>
  <si>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</si>
  <si>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</si>
  <si>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</si>
  <si>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</si>
  <si>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</si>
  <si>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</si>
  <si>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</si>
  <si>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</si>
  <si>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</si>
  <si>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</si>
  <si>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</si>
  <si>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</si>
  <si>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</si>
  <si>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</si>
  <si>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</si>
  <si>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</si>
  <si>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</si>
  <si>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</si>
  <si>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</si>
  <si>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</si>
  <si>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</si>
  <si>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</si>
  <si>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</si>
  <si>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</si>
  <si>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</si>
  <si>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</si>
  <si>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</si>
  <si>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</si>
  <si>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</si>
  <si>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</si>
  <si>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</si>
  <si>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</si>
  <si>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</si>
  <si>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</si>
  <si>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</si>
  <si>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</si>
  <si>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</si>
  <si>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</si>
  <si>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</si>
  <si>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</si>
  <si>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</si>
  <si>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</si>
  <si>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</si>
  <si>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</si>
  <si>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</si>
  <si>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</si>
  <si>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</si>
  <si>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</si>
  <si>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</si>
  <si>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</si>
  <si>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</si>
  <si>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</si>
  <si>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</si>
  <si>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</si>
  <si>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</si>
  <si>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</si>
  <si>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</si>
  <si>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</si>
  <si>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</si>
  <si>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</si>
  <si>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</si>
  <si>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</si>
  <si>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</si>
  <si>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</si>
  <si>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</si>
  <si>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</si>
  <si>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</si>
  <si>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</si>
  <si>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</si>
  <si>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</si>
  <si>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</si>
  <si>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</si>
  <si>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</si>
  <si>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</si>
  <si>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</si>
  <si>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</si>
  <si>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</si>
  <si>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</si>
  <si>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</si>
  <si>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</si>
  <si>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</si>
  <si>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</si>
  <si>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</si>
  <si>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</si>
  <si>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</si>
  <si>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</si>
  <si>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</si>
  <si>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</si>
  <si>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</si>
  <si>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</si>
  <si>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</si>
  <si>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</si>
  <si>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</si>
  <si>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</si>
  <si>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</si>
  <si>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</si>
  <si>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</si>
  <si>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</si>
  <si>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</si>
  <si>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</si>
  <si>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</si>
  <si>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</si>
  <si>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</si>
  <si>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</si>
  <si>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</si>
  <si>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</si>
  <si>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</si>
  <si>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</si>
  <si>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</si>
  <si>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</si>
  <si>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</si>
  <si>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</si>
  <si>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</si>
  <si>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</si>
  <si>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</si>
  <si>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</si>
  <si>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</si>
  <si>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</si>
  <si>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</si>
  <si>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</si>
  <si>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</si>
  <si>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</si>
  <si>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</si>
  <si>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</si>
  <si>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</si>
  <si>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</si>
  <si>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</si>
  <si>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</si>
  <si>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</si>
  <si>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</si>
  <si>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</si>
  <si>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</si>
  <si>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</si>
  <si>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</si>
  <si>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</si>
  <si>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</si>
  <si>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</si>
  <si>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</si>
  <si>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</si>
  <si>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</si>
  <si>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</si>
  <si>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</si>
  <si>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</si>
  <si>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</si>
  <si>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</si>
  <si>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</si>
  <si>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</si>
  <si>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</si>
  <si>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</si>
  <si>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</si>
  <si>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</si>
  <si>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</si>
  <si>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</si>
  <si>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</si>
  <si>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</si>
  <si>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</si>
  <si>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</si>
  <si>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</si>
  <si>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</si>
  <si>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</si>
  <si>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</si>
  <si>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</si>
  <si>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</si>
  <si>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</si>
  <si>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</si>
  <si>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</si>
  <si>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</si>
  <si>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</si>
  <si>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</si>
  <si>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</si>
  <si>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</si>
  <si>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</si>
  <si>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</si>
  <si>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</si>
  <si>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</si>
  <si>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</si>
  <si>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</si>
  <si>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</si>
  <si>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</si>
  <si>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</si>
  <si>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</si>
  <si>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</si>
  <si>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</si>
  <si>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</si>
  <si>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</si>
  <si>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</si>
  <si>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</si>
  <si>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</si>
  <si>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</si>
  <si>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</si>
  <si>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</si>
  <si>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</si>
  <si>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</si>
  <si>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</si>
  <si>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</si>
  <si>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</si>
  <si>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</si>
  <si>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</si>
  <si>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</si>
  <si>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</si>
  <si>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</si>
  <si>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</si>
  <si>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</si>
  <si>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</si>
  <si>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</si>
  <si>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</si>
  <si>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</si>
  <si>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</si>
  <si>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</si>
  <si>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</si>
  <si>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</si>
  <si>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</si>
  <si>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</si>
  <si>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</si>
  <si>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</si>
  <si>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</si>
  <si>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</si>
  <si>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</si>
  <si>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</si>
  <si>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</si>
  <si>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</si>
  <si>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</si>
  <si>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</si>
  <si>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</si>
  <si>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</si>
  <si>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</si>
  <si>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</si>
  <si>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</si>
  <si>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</si>
  <si>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</si>
  <si>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</si>
  <si>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</si>
  <si>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</si>
  <si>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</si>
  <si>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</si>
  <si>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</si>
  <si>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</si>
  <si>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</si>
  <si>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</si>
  <si>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</si>
  <si>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</si>
  <si>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</si>
  <si>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</si>
  <si>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</si>
  <si>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</si>
  <si>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</si>
  <si>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</si>
  <si>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</si>
  <si>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</si>
  <si>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</si>
  <si>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</si>
  <si>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</si>
  <si>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</si>
  <si>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</si>
  <si>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</si>
  <si>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</si>
  <si>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</si>
  <si>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</si>
  <si>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</si>
  <si>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</si>
  <si>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</si>
  <si>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</si>
  <si>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</si>
  <si>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</si>
  <si>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</si>
  <si>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</si>
  <si>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</si>
  <si>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</si>
  <si>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</si>
  <si>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</si>
  <si>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</si>
  <si>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</si>
  <si>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</si>
  <si>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</si>
  <si>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</si>
  <si>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</si>
  <si>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</si>
  <si>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</si>
  <si>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</si>
  <si>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</si>
  <si>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</si>
  <si>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</si>
  <si>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</si>
  <si>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</si>
  <si>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</si>
  <si>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</si>
  <si>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</si>
  <si>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</si>
  <si>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</si>
  <si>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</si>
  <si>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</si>
  <si>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</si>
  <si>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</si>
  <si>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</si>
  <si>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</si>
  <si>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</si>
  <si>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</si>
  <si>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</si>
  <si>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</si>
  <si>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</si>
  <si>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</si>
  <si>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</si>
  <si>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</si>
  <si>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</si>
  <si>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</si>
  <si>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</si>
  <si>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</si>
  <si>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</si>
  <si>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</si>
  <si>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</si>
  <si>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</si>
  <si>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</si>
  <si>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</si>
  <si>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</si>
  <si>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</si>
  <si>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</si>
  <si>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</si>
  <si>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</si>
  <si>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</si>
  <si>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</si>
  <si>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</si>
  <si>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</si>
  <si>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</si>
  <si>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</si>
  <si>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</si>
  <si>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</si>
  <si>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</si>
  <si>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</si>
  <si>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</si>
  <si>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</si>
  <si>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</si>
  <si>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</si>
  <si>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</si>
  <si>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</si>
  <si>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</si>
  <si>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</si>
  <si>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</si>
  <si>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</si>
  <si>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</si>
  <si>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</si>
  <si>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</si>
  <si>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</si>
  <si>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</si>
  <si>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</si>
  <si>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</si>
  <si>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</si>
  <si>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</si>
  <si>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</si>
  <si>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</si>
  <si>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</si>
  <si>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</si>
  <si>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</si>
  <si>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</si>
  <si>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</si>
  <si>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</si>
  <si>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</si>
  <si>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</si>
  <si>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</si>
  <si>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</si>
  <si>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</si>
  <si>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</si>
  <si>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</si>
  <si>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</si>
  <si>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</si>
  <si>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</si>
  <si>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</si>
  <si>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</si>
  <si>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</si>
  <si>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</si>
  <si>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</si>
  <si>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</si>
  <si>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</si>
  <si>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</si>
  <si>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</si>
  <si>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</si>
  <si>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</si>
  <si>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</si>
  <si>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</si>
  <si>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</si>
  <si>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</si>
  <si>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</si>
  <si>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</si>
  <si>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</si>
  <si>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</si>
  <si>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</si>
  <si>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</si>
  <si>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</si>
  <si>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</si>
  <si>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</si>
  <si>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</si>
  <si>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</si>
  <si>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</si>
  <si>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</si>
  <si>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</si>
  <si>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</si>
  <si>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</si>
  <si>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</si>
  <si>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</si>
  <si>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</si>
  <si>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</si>
  <si>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</si>
  <si>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</si>
  <si>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</si>
  <si>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</si>
  <si>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</si>
  <si>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</si>
  <si>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</si>
  <si>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</si>
  <si>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</si>
  <si>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</si>
  <si>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</si>
  <si>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</si>
  <si>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</si>
  <si>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</si>
  <si>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</si>
  <si>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</si>
  <si>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</si>
  <si>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</si>
  <si>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</si>
  <si>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</si>
  <si>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</si>
  <si>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</si>
  <si>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</si>
  <si>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</si>
  <si>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</si>
  <si>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</si>
  <si>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</si>
  <si>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</si>
  <si>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</si>
  <si>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</si>
  <si>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</si>
  <si>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</si>
  <si>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</si>
  <si>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</si>
  <si>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</si>
  <si>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</si>
  <si>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</si>
  <si>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</si>
  <si>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</si>
  <si>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</si>
  <si>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</si>
  <si>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</si>
  <si>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</si>
  <si>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</si>
  <si>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</si>
  <si>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</si>
  <si>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</si>
  <si>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</si>
  <si>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</si>
  <si>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</si>
  <si>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</si>
  <si>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</si>
  <si>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</si>
  <si>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</si>
  <si>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</si>
  <si>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</si>
  <si>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</si>
  <si>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</si>
  <si>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</si>
  <si>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</si>
  <si>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</si>
  <si>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</si>
  <si>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</si>
  <si>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</si>
  <si>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</si>
  <si>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</si>
  <si>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</si>
  <si>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</si>
  <si>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</si>
  <si>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</si>
  <si>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</si>
  <si>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</si>
  <si>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</si>
  <si>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</si>
  <si>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</si>
  <si>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</si>
  <si>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</si>
  <si>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</si>
  <si>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</si>
  <si>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</si>
  <si>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</si>
  <si>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</si>
  <si>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</si>
  <si>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</si>
  <si>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</si>
  <si>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</si>
  <si>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</si>
  <si>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</si>
  <si>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</si>
  <si>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</si>
  <si>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</si>
  <si>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</si>
  <si>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</si>
  <si>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</si>
  <si>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</si>
  <si>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</si>
  <si>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</si>
  <si>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</si>
  <si>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</si>
  <si>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</si>
  <si>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</si>
  <si>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</si>
  <si>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</si>
  <si>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</si>
  <si>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</si>
  <si>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</si>
  <si>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</si>
  <si>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</si>
  <si>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</si>
  <si>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</si>
  <si>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</si>
  <si>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</si>
  <si>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</si>
  <si>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</si>
  <si>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</si>
  <si>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</si>
  <si>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</si>
  <si>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</si>
  <si>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</si>
  <si>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</si>
  <si>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</si>
  <si>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</si>
  <si>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</si>
  <si>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</si>
  <si>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</si>
  <si>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</si>
  <si>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</si>
  <si>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</si>
  <si>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</si>
  <si>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</si>
  <si>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</si>
  <si>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</si>
  <si>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</si>
  <si>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</si>
  <si>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</si>
  <si>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</si>
  <si>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</si>
  <si>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</si>
  <si>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</si>
  <si>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</si>
  <si>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</si>
  <si>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</si>
  <si>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</si>
  <si>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</si>
  <si>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</si>
  <si>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</si>
  <si>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</si>
  <si>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</si>
  <si>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</si>
  <si>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</si>
  <si>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</si>
  <si>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</si>
  <si>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</si>
  <si>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</si>
  <si>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</si>
  <si>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</si>
  <si>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</si>
  <si>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</si>
  <si>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</si>
  <si>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</si>
  <si>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</si>
  <si>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</si>
  <si>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</si>
  <si>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</si>
  <si>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</si>
  <si>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</si>
  <si>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</si>
  <si>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</si>
  <si>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</si>
  <si>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</si>
  <si>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</si>
  <si>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</si>
  <si>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</si>
  <si>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</si>
  <si>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</si>
  <si>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</si>
  <si>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</si>
  <si>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</si>
  <si>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</si>
  <si>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</si>
  <si>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</si>
  <si>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</si>
  <si>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</si>
  <si>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</si>
  <si>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</si>
  <si>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</si>
  <si>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</si>
  <si>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</si>
  <si>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</si>
  <si>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</si>
  <si>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</si>
  <si>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</si>
  <si>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</si>
  <si>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</si>
  <si>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</si>
  <si>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</si>
  <si>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</si>
  <si>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</si>
  <si>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</si>
  <si>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</si>
  <si>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</si>
  <si>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</si>
  <si>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</si>
  <si>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</si>
  <si>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</si>
  <si>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</si>
  <si>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</si>
  <si>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</si>
  <si>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</si>
  <si>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</si>
  <si>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</si>
  <si>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</si>
  <si>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</si>
  <si>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</si>
  <si>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</si>
  <si>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</si>
  <si>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</si>
  <si>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</si>
  <si>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</si>
  <si>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</si>
  <si>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</si>
  <si>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</si>
  <si>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</si>
  <si>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</si>
  <si>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</si>
  <si>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</si>
  <si>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</si>
  <si>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</si>
  <si>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</si>
  <si>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</si>
  <si>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</si>
  <si>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</si>
  <si>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</si>
  <si>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</si>
  <si>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</si>
  <si>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</si>
  <si>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</si>
  <si>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</si>
  <si>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</si>
  <si>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</si>
  <si>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</si>
  <si>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</si>
  <si>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</si>
  <si>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</si>
  <si>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</si>
  <si>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</si>
  <si>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</si>
  <si>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</si>
  <si>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</si>
  <si>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</si>
  <si>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</si>
  <si>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</si>
  <si>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</si>
  <si>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</si>
  <si>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</si>
  <si>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</si>
  <si>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</si>
  <si>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</si>
  <si>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</si>
  <si>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</si>
  <si>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</si>
  <si>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</si>
  <si>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</si>
  <si>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</si>
  <si>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</si>
  <si>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</si>
  <si>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</si>
  <si>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</si>
  <si>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</si>
  <si>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</si>
  <si>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</si>
  <si>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</si>
  <si>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</si>
  <si>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</si>
  <si>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</si>
  <si>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</si>
  <si>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</si>
  <si>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</si>
  <si>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</si>
  <si>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</si>
  <si>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</si>
  <si>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</si>
  <si>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</si>
  <si>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</si>
  <si>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</si>
  <si>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</si>
  <si>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</si>
  <si>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</si>
  <si>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</si>
  <si>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</si>
  <si>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</si>
  <si>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</si>
  <si>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</si>
  <si>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</si>
  <si>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</si>
  <si>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</si>
  <si>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</si>
  <si>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</si>
  <si>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</si>
  <si>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</si>
  <si>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</si>
  <si>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</si>
  <si>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</si>
  <si>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</si>
  <si>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</si>
  <si>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</si>
  <si>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</si>
  <si>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</si>
  <si>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</si>
  <si>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</si>
  <si>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</si>
  <si>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</si>
  <si>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</si>
  <si>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</si>
  <si>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</si>
  <si>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</si>
  <si>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</si>
  <si>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</si>
  <si>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</si>
  <si>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</si>
  <si>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</si>
  <si>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</si>
  <si>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</si>
  <si>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</si>
  <si>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</si>
  <si>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</si>
  <si>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</si>
  <si>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</si>
  <si>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</si>
  <si>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</si>
  <si>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</si>
  <si>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</si>
  <si>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</si>
  <si>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</si>
  <si>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</si>
  <si>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</si>
  <si>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</si>
  <si>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</si>
  <si>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</si>
  <si>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</si>
  <si>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</si>
  <si>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</si>
  <si>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</si>
  <si>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</si>
  <si>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</si>
  <si>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</si>
  <si>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</si>
  <si>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</si>
  <si>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</si>
  <si>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</si>
  <si>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</si>
  <si>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</si>
  <si>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</si>
  <si>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</si>
  <si>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</si>
  <si>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</si>
  <si>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</si>
  <si>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</si>
  <si>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</si>
  <si>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</si>
  <si>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</si>
  <si>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</si>
  <si>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</si>
  <si>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</si>
  <si>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</si>
  <si>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</si>
  <si>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</si>
  <si>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</si>
  <si>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</si>
  <si>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</si>
  <si>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</si>
  <si>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</si>
  <si>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</si>
  <si>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</si>
  <si>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</si>
  <si>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</si>
  <si>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</si>
  <si>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</si>
  <si>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</si>
  <si>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</si>
  <si>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</si>
  <si>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</si>
  <si>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</si>
  <si>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</si>
  <si>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</si>
  <si>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</si>
  <si>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</si>
  <si>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</si>
  <si>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</si>
  <si>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</si>
  <si>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</si>
  <si>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</si>
  <si>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</si>
  <si>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</si>
  <si>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</si>
  <si>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</si>
  <si>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</si>
  <si>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</si>
  <si>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</si>
  <si>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</si>
  <si>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</si>
  <si>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</si>
  <si>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</si>
  <si>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</si>
  <si>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</si>
  <si>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</si>
  <si>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</si>
  <si>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</si>
  <si>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</si>
  <si>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</si>
  <si>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</si>
  <si>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</si>
  <si>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</si>
  <si>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</si>
  <si>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</si>
  <si>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</si>
  <si>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</si>
  <si>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</si>
  <si>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</si>
  <si>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</si>
  <si>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</si>
  <si>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</si>
  <si>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</si>
  <si>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</si>
  <si>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</si>
  <si>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</si>
  <si>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</si>
  <si>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</si>
  <si>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</si>
  <si>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</si>
  <si>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</si>
  <si>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</si>
  <si>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</si>
  <si>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</si>
  <si>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</si>
  <si>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</si>
  <si>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</si>
  <si>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</si>
  <si>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</si>
  <si>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</si>
  <si>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</si>
  <si>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</si>
  <si>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</si>
  <si>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</si>
  <si>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</si>
  <si>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</si>
  <si>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</si>
  <si>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</si>
  <si>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</si>
  <si>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</si>
  <si>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</si>
  <si>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</si>
  <si>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</si>
  <si>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</si>
  <si>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</si>
  <si>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</si>
  <si>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</si>
  <si>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</si>
  <si>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</si>
  <si>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</si>
  <si>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</si>
  <si>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</si>
  <si>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</si>
  <si>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</si>
  <si>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</si>
  <si>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</si>
  <si>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</si>
  <si>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</si>
  <si>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</si>
  <si>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</si>
  <si>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</si>
  <si>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</si>
  <si>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</si>
  <si>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</si>
  <si>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</si>
  <si>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</si>
  <si>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</si>
  <si>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</si>
  <si>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</si>
  <si>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</si>
  <si>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</si>
  <si>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</si>
  <si>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</si>
  <si>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</si>
  <si>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</si>
  <si>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</si>
  <si>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</si>
  <si>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</si>
  <si>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</si>
  <si>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</si>
  <si>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</si>
  <si>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</si>
  <si>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</si>
  <si>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</si>
  <si>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</si>
  <si>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</si>
  <si>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</si>
  <si>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</si>
  <si>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</si>
  <si>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</si>
  <si>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</si>
  <si>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</si>
  <si>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</si>
  <si>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</si>
  <si>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</si>
  <si>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</si>
  <si>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</si>
  <si>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</si>
  <si>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</si>
  <si>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</si>
  <si>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</si>
  <si>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</si>
  <si>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</si>
  <si>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</si>
  <si>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</si>
  <si>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</si>
  <si>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</si>
  <si>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</si>
  <si>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</si>
  <si>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</si>
  <si>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</si>
  <si>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</si>
  <si>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</si>
  <si>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</si>
  <si>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</si>
  <si>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</si>
  <si>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</si>
  <si>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</si>
  <si>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</si>
  <si>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</si>
  <si>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</si>
  <si>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</si>
  <si>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</si>
  <si>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</si>
  <si>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</si>
  <si>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</si>
  <si>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</si>
  <si>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</si>
  <si>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</si>
  <si>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</si>
  <si>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</si>
  <si>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</si>
  <si>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</si>
  <si>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</si>
  <si>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</si>
  <si>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</si>
  <si>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</si>
  <si>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</si>
  <si>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</si>
  <si>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</si>
  <si>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</si>
  <si>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</si>
  <si>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</si>
  <si>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</si>
  <si>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</si>
  <si>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</si>
  <si>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</si>
  <si>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</si>
  <si>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</si>
  <si>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</si>
  <si>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</si>
  <si>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</si>
  <si>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</si>
  <si>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</si>
  <si>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</si>
  <si>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</si>
  <si>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</si>
  <si>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</si>
  <si>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</si>
  <si>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</si>
  <si>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</si>
  <si>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</si>
  <si>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</si>
  <si>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</si>
  <si>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</si>
  <si>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</si>
  <si>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</si>
  <si>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</si>
  <si>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</si>
  <si>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</si>
  <si>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</si>
  <si>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</si>
  <si>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</si>
  <si>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</si>
  <si>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</si>
  <si>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</si>
  <si>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</si>
  <si>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</si>
  <si>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</si>
  <si>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</si>
  <si>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</si>
  <si>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</si>
  <si>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</si>
  <si>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</si>
  <si>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</si>
  <si>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</si>
  <si>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</si>
  <si>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</si>
  <si>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</si>
  <si>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</si>
  <si>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</si>
  <si>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</si>
  <si>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</si>
  <si>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</si>
  <si>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</si>
  <si>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</si>
  <si>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</si>
  <si>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</si>
  <si>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</si>
  <si>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</si>
  <si>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</si>
  <si>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</si>
  <si>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</si>
  <si>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</si>
  <si>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</si>
  <si>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</si>
  <si>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</si>
  <si>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</si>
  <si>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</si>
  <si>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</si>
  <si>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</si>
  <si>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</si>
  <si>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</si>
  <si>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</si>
  <si>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</si>
  <si>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</si>
  <si>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</si>
  <si>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</si>
  <si>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</si>
  <si>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</si>
  <si>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</si>
  <si>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</si>
  <si>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</si>
  <si>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</si>
  <si>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</si>
  <si>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</si>
  <si>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</si>
  <si>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</si>
  <si>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</si>
  <si>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</si>
  <si>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</si>
  <si>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</si>
  <si>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</si>
  <si>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</si>
  <si>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</si>
  <si>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</si>
  <si>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</si>
  <si>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</si>
  <si>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</si>
  <si>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</si>
  <si>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</si>
  <si>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</si>
  <si>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</si>
  <si>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</si>
  <si>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</si>
  <si>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</si>
  <si>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</si>
  <si>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</si>
  <si>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</si>
  <si>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</si>
  <si>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</si>
  <si>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</si>
  <si>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</si>
  <si>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</si>
  <si>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</si>
  <si>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</si>
  <si>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</si>
  <si>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</si>
  <si>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</si>
  <si>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</si>
  <si>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</si>
  <si>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</si>
  <si>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</si>
  <si>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</si>
  <si>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</si>
  <si>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</si>
  <si>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</si>
  <si>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</si>
  <si>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</si>
  <si>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</si>
  <si>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</si>
  <si>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</si>
  <si>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</si>
  <si>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</si>
  <si>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</si>
  <si>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</si>
  <si>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</si>
  <si>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</si>
  <si>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</si>
  <si>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</si>
  <si>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</si>
  <si>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</si>
  <si>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</si>
  <si>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</si>
  <si>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</si>
  <si>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</si>
  <si>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</si>
  <si>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</si>
  <si>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</si>
  <si>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</si>
  <si>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</si>
  <si>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</si>
  <si>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</si>
  <si>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</si>
  <si>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</si>
  <si>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</si>
  <si>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</si>
  <si>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</si>
  <si>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</si>
  <si>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</si>
  <si>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</si>
  <si>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</si>
  <si>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</si>
  <si>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</si>
  <si>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</si>
  <si>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</si>
  <si>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</si>
  <si>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</si>
  <si>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</si>
  <si>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</si>
  <si>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</si>
  <si>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</si>
  <si>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</si>
  <si>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</si>
  <si>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</si>
  <si>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</si>
  <si>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</si>
  <si>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</si>
  <si>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</si>
  <si>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</si>
  <si>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</si>
  <si>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</si>
  <si>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</si>
  <si>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</si>
  <si>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</si>
  <si>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</si>
  <si>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</si>
  <si>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</si>
  <si>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</si>
  <si>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</si>
  <si>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</si>
  <si>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</si>
  <si>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</si>
  <si>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</si>
  <si>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</si>
  <si>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</si>
  <si>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</si>
  <si>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</si>
  <si>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</si>
  <si>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</si>
  <si>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</si>
  <si>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</si>
  <si>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</si>
  <si>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</si>
  <si>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</si>
  <si>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</si>
  <si>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</si>
  <si>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</si>
  <si>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</si>
  <si>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</si>
  <si>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</si>
  <si>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</si>
  <si>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</si>
  <si>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</si>
  <si>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</si>
  <si>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</si>
  <si>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</si>
  <si>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</si>
  <si>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</si>
  <si>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</si>
  <si>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</si>
  <si>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</si>
  <si>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</si>
  <si>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</si>
  <si>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</si>
  <si>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</si>
  <si>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</si>
  <si>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</si>
  <si>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</si>
  <si>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</si>
  <si>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</si>
  <si>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</si>
  <si>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</si>
  <si>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</si>
  <si>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</si>
  <si>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</si>
  <si>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</si>
  <si>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</si>
  <si>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</si>
  <si>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</si>
  <si>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</si>
  <si>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</si>
  <si>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</si>
  <si>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</si>
  <si>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</si>
  <si>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</si>
  <si>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</si>
  <si>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</si>
  <si>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</si>
  <si>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</si>
  <si>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</si>
  <si>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</si>
  <si>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</si>
  <si>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</si>
  <si>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</si>
  <si>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</si>
  <si>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</si>
  <si>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</si>
  <si>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</si>
  <si>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</si>
  <si>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</si>
  <si>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</si>
  <si>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</si>
  <si>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</si>
  <si>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</si>
  <si>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</si>
  <si>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</si>
  <si>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</si>
  <si>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</si>
  <si>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</si>
  <si>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</si>
  <si>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</si>
  <si>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</si>
  <si>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</si>
  <si>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</si>
  <si>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</si>
  <si>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</si>
  <si>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</si>
  <si>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</si>
  <si>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</si>
  <si>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</si>
  <si>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</si>
  <si>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</si>
  <si>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</si>
  <si>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</si>
  <si>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</si>
  <si>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</si>
  <si>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</si>
  <si>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</si>
  <si>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</si>
  <si>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</si>
  <si>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</si>
  <si>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</si>
  <si>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</si>
  <si>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</si>
  <si>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</si>
  <si>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</si>
  <si>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</si>
  <si>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</si>
  <si>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</si>
  <si>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</si>
  <si>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</si>
  <si>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</si>
  <si>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</si>
  <si>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</si>
  <si>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</si>
  <si>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</si>
  <si>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</si>
  <si>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</si>
  <si>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</si>
  <si>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</si>
  <si>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</si>
  <si>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</si>
  <si>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</si>
  <si>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</si>
  <si>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</si>
  <si>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</si>
  <si>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</si>
  <si>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</si>
  <si>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</si>
  <si>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</si>
  <si>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</si>
  <si>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</si>
  <si>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</si>
  <si>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</si>
  <si>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</si>
  <si>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</si>
  <si>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</si>
  <si>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</si>
  <si>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</si>
  <si>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</si>
  <si>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</si>
  <si>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</si>
  <si>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</si>
  <si>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</si>
  <si>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</si>
  <si>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</si>
  <si>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</si>
  <si>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</si>
  <si>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</si>
  <si>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</si>
  <si>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</si>
  <si>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</si>
  <si>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</si>
  <si>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</si>
  <si>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</si>
  <si>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</si>
  <si>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</si>
  <si>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</si>
  <si>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</si>
  <si>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</si>
  <si>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</si>
  <si>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</si>
  <si>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</si>
  <si>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</si>
  <si>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</si>
  <si>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</si>
  <si>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</si>
  <si>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</si>
  <si>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</si>
  <si>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</si>
  <si>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</si>
  <si>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</si>
  <si>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</si>
  <si>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</si>
  <si>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</si>
  <si>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</si>
  <si>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</si>
  <si>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</si>
  <si>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</si>
  <si>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</si>
  <si>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</si>
  <si>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</si>
  <si>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</si>
  <si>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</si>
  <si>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</si>
  <si>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</si>
  <si>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</si>
  <si>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</si>
  <si>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</si>
  <si>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</si>
  <si>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</si>
  <si>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</si>
  <si>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</si>
  <si>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</si>
  <si>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</si>
  <si>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</si>
  <si>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</si>
  <si>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</si>
  <si>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</si>
  <si>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</si>
  <si>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</si>
  <si>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</si>
  <si>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</si>
  <si>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</si>
  <si>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</si>
  <si>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</si>
  <si>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</si>
  <si>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</si>
  <si>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</si>
  <si>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</si>
  <si>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</si>
  <si>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</si>
  <si>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</si>
  <si>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</si>
  <si>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</si>
  <si>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</si>
  <si>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</si>
  <si>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</si>
  <si>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</si>
  <si>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</si>
  <si>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</si>
  <si>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</si>
  <si>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</si>
  <si>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</si>
  <si>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</si>
  <si>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</si>
  <si>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</si>
  <si>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</si>
  <si>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</si>
  <si>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</si>
  <si>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</si>
  <si>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</si>
  <si>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</si>
  <si>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</si>
  <si>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</si>
  <si>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</si>
  <si>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</si>
  <si>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</si>
  <si>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</si>
  <si>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</si>
  <si>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</si>
  <si>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</si>
  <si>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</si>
  <si>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</si>
  <si>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</si>
  <si>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</si>
  <si>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</si>
  <si>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</si>
  <si>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</si>
  <si>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</si>
  <si>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</si>
  <si>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</si>
  <si>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</si>
  <si>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</si>
  <si>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</si>
  <si>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</si>
  <si>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</si>
  <si>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</si>
  <si>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</si>
  <si>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</si>
  <si>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</si>
  <si>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</si>
  <si>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</si>
  <si>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</si>
  <si>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</si>
  <si>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</si>
  <si>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</si>
  <si>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</si>
  <si>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</si>
  <si>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</si>
  <si>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</si>
  <si>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</si>
  <si>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</si>
  <si>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</si>
  <si>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</si>
  <si>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</si>
  <si>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</si>
  <si>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</si>
  <si>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</si>
  <si>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</si>
  <si>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</si>
  <si>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</si>
  <si>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</si>
  <si>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</si>
  <si>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</si>
  <si>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</si>
  <si>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</si>
  <si>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</si>
  <si>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</si>
  <si>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</si>
  <si>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</si>
  <si>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</si>
  <si>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</si>
  <si>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</si>
  <si>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</si>
  <si>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</si>
  <si>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</si>
  <si>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</si>
  <si>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</si>
  <si>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</si>
  <si>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</si>
  <si>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</si>
  <si>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</si>
  <si>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</si>
  <si>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</si>
  <si>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</si>
  <si>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</si>
  <si>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</si>
  <si>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</si>
  <si>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</si>
  <si>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</si>
  <si>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</si>
  <si>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</si>
  <si>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</si>
  <si>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</si>
  <si>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</si>
  <si>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</si>
  <si>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</si>
  <si>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</si>
  <si>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</si>
  <si>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</si>
  <si>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</si>
  <si>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</si>
  <si>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</si>
  <si>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</si>
  <si>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</si>
  <si>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</si>
  <si>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</si>
  <si>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</si>
  <si>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</si>
  <si>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</si>
  <si>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</si>
  <si>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</si>
  <si>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</si>
  <si>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</si>
  <si>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</si>
  <si>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</si>
  <si>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</si>
  <si>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</si>
  <si>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</si>
  <si>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</si>
  <si>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</si>
  <si>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</si>
  <si>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</si>
  <si>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</si>
  <si>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</si>
  <si>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</si>
  <si>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</si>
  <si>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</si>
  <si>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</si>
  <si>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</si>
  <si>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</si>
  <si>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</si>
  <si>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</si>
  <si>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</si>
  <si>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</si>
  <si>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</si>
  <si>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</si>
  <si>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</si>
  <si>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</si>
  <si>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</si>
  <si>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</si>
  <si>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</si>
  <si>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</si>
  <si>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</si>
  <si>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</si>
  <si>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</si>
  <si>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</si>
  <si>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</si>
  <si>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</si>
  <si>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</si>
  <si>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</si>
  <si>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</si>
  <si>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</si>
  <si>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</si>
  <si>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</si>
  <si>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</si>
  <si>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</si>
  <si>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</si>
  <si>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</si>
  <si>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</si>
  <si>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</si>
  <si>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</si>
  <si>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</si>
  <si>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</si>
  <si>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</si>
  <si>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</si>
  <si>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</si>
  <si>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</si>
  <si>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</si>
  <si>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</si>
  <si>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</si>
  <si>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</si>
  <si>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</si>
  <si>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</si>
  <si>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</si>
  <si>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</si>
  <si>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</si>
  <si>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</si>
  <si>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</si>
  <si>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</si>
  <si>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</si>
  <si>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</si>
  <si>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</si>
  <si>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</si>
  <si>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</si>
  <si>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</si>
  <si>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</si>
  <si>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</si>
  <si>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</si>
  <si>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</si>
  <si>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</si>
  <si>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</si>
  <si>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</si>
  <si>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</si>
  <si>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</si>
  <si>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</si>
  <si>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</si>
  <si>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</si>
  <si>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</si>
  <si>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</si>
  <si>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</si>
  <si>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</si>
  <si>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</si>
  <si>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</si>
  <si>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</si>
  <si>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</si>
  <si>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</si>
  <si>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</si>
  <si>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</si>
  <si>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</si>
  <si>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</si>
  <si>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</si>
  <si>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</si>
  <si>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</si>
  <si>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</si>
  <si>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</si>
  <si>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</si>
  <si>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</si>
  <si>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</si>
  <si>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</si>
  <si>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</si>
  <si>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</si>
  <si>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</si>
  <si>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</si>
  <si>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</si>
  <si>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</si>
  <si>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</si>
  <si>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</si>
  <si>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</si>
  <si>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</si>
  <si>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</si>
  <si>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</si>
  <si>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</si>
  <si>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</si>
  <si>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</si>
  <si>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</si>
  <si>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</si>
  <si>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</si>
  <si>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</si>
  <si>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</si>
  <si>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</si>
  <si>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</si>
  <si>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</si>
  <si>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</si>
  <si>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</si>
  <si>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</si>
  <si>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</si>
  <si>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</si>
  <si>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</si>
  <si>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</si>
  <si>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</si>
  <si>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</si>
  <si>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</si>
  <si>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</si>
  <si>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</si>
  <si>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</si>
  <si>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</si>
  <si>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</si>
  <si>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</si>
  <si>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</si>
  <si>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</si>
  <si>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</si>
  <si>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</si>
  <si>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</si>
  <si>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</si>
  <si>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</si>
  <si>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</si>
  <si>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</si>
  <si>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</si>
  <si>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</si>
  <si>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</si>
  <si>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</si>
  <si>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</si>
  <si>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</si>
  <si>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</si>
  <si>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</si>
  <si>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</si>
  <si>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</si>
  <si>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</si>
  <si>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</si>
  <si>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</si>
  <si>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</si>
  <si>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</si>
  <si>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</si>
  <si>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</si>
  <si>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</si>
  <si>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</si>
  <si>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</si>
  <si>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</si>
  <si>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</si>
  <si>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</si>
  <si>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</si>
  <si>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</si>
  <si>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</si>
  <si>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</si>
  <si>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</si>
  <si>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</si>
  <si>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</si>
  <si>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</si>
  <si>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</si>
  <si>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</si>
  <si>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</si>
  <si>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</si>
  <si>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</si>
  <si>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</si>
  <si>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</si>
  <si>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</si>
  <si>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</si>
  <si>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</si>
  <si>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</si>
  <si>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</si>
  <si>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</si>
  <si>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</si>
  <si>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</si>
  <si>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</si>
  <si>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</si>
  <si>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</si>
  <si>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</si>
  <si>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</si>
  <si>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</si>
  <si>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</si>
  <si>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</si>
  <si>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</si>
  <si>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</si>
  <si>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</si>
  <si>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</si>
  <si>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</si>
  <si>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</si>
  <si>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</si>
  <si>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</si>
  <si>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</si>
  <si>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</si>
  <si>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</si>
  <si>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</si>
  <si>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</si>
  <si>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</si>
  <si>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</si>
  <si>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</si>
  <si>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</si>
  <si>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</si>
  <si>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</si>
  <si>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</si>
  <si>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</si>
  <si>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</si>
  <si>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</si>
  <si>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</si>
  <si>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</si>
  <si>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</si>
  <si>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</si>
  <si>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</si>
  <si>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</si>
  <si>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</si>
  <si>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</si>
  <si>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</si>
  <si>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</si>
  <si>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</si>
  <si>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</si>
  <si>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</si>
  <si>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</si>
  <si>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</si>
  <si>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</si>
  <si>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</si>
  <si>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</si>
  <si>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</si>
  <si>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</si>
  <si>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</si>
  <si>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</si>
  <si>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</si>
  <si>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</si>
  <si>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</si>
  <si>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</si>
  <si>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</si>
  <si>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</si>
  <si>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</si>
  <si>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</si>
  <si>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</si>
  <si>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</si>
  <si>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</si>
  <si>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</si>
  <si>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</si>
  <si>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</si>
  <si>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</si>
  <si>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</si>
  <si>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</si>
  <si>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</si>
  <si>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</si>
  <si>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</si>
  <si>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</si>
  <si>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</si>
  <si>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</si>
  <si>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</si>
  <si>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</si>
  <si>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</si>
  <si>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</si>
  <si>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</si>
  <si>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</si>
  <si>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</si>
  <si>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</si>
  <si>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</si>
  <si>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</si>
  <si>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</si>
  <si>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</si>
  <si>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</si>
  <si>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</si>
  <si>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</si>
  <si>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</si>
  <si>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</si>
  <si>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</si>
  <si>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</si>
  <si>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</si>
  <si>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</si>
  <si>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</si>
  <si>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</si>
  <si>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</si>
  <si>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</si>
  <si>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</si>
  <si>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</si>
  <si>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</si>
  <si>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</si>
  <si>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</si>
  <si>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</si>
  <si>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</si>
  <si>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</si>
  <si>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</si>
  <si>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</si>
  <si>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</si>
  <si>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</si>
  <si>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</si>
  <si>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</si>
  <si>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</si>
  <si>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</si>
  <si>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</si>
  <si>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</si>
  <si>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</si>
  <si>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</si>
  <si>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</si>
  <si>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</si>
  <si>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</si>
  <si>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</si>
  <si>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</si>
  <si>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</si>
  <si>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</si>
  <si>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</si>
  <si>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</si>
  <si>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</si>
  <si>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</si>
  <si>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</si>
  <si>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</si>
  <si>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</si>
  <si>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</si>
  <si>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</si>
  <si>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</si>
  <si>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</si>
  <si>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</si>
  <si>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</si>
  <si>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</si>
  <si>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</si>
  <si>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</si>
  <si>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</si>
  <si>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</si>
  <si>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</si>
  <si>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</si>
  <si>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</si>
  <si>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</si>
  <si>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</si>
  <si>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</si>
  <si>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</si>
  <si>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</si>
  <si>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</si>
  <si>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</si>
  <si>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</si>
  <si>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</si>
  <si>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</si>
  <si>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</si>
  <si>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</si>
  <si>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</si>
  <si>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</si>
  <si>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</si>
  <si>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</si>
  <si>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</si>
  <si>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</si>
  <si>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</si>
  <si>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</si>
  <si>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</si>
  <si>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</si>
  <si>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</si>
  <si>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</si>
  <si>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</si>
  <si>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</si>
  <si>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</si>
  <si>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</si>
  <si>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</si>
  <si>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</si>
  <si>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</si>
  <si>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</si>
  <si>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</si>
  <si>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</si>
  <si>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</si>
  <si>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</si>
  <si>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</si>
  <si>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</si>
  <si>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</si>
  <si>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</si>
  <si>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</si>
  <si>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</si>
  <si>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</si>
  <si>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</si>
  <si>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</si>
  <si>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</si>
  <si>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</si>
  <si>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</si>
  <si>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</si>
  <si>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</si>
  <si>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</si>
  <si>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</si>
  <si>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</si>
  <si>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</si>
  <si>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</si>
  <si>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</si>
  <si>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</si>
  <si>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</si>
  <si>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</si>
  <si>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</si>
  <si>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</si>
  <si>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</si>
  <si>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</si>
  <si>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</si>
  <si>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</si>
  <si>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</si>
  <si>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</si>
  <si>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</si>
  <si>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</si>
  <si>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</si>
  <si>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</si>
  <si>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</si>
  <si>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</si>
  <si>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</si>
  <si>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</si>
  <si>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</si>
  <si>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</si>
  <si>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</si>
  <si>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</si>
  <si>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</si>
  <si>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</si>
  <si>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</si>
  <si>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</si>
  <si>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</si>
  <si>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</si>
  <si>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</si>
  <si>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</si>
  <si>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</si>
  <si>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</si>
  <si>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</si>
  <si>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</si>
  <si>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</si>
  <si>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</si>
  <si>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</si>
  <si>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</si>
  <si>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</si>
  <si>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</si>
  <si>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</si>
  <si>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</si>
  <si>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</si>
  <si>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</si>
  <si>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</si>
  <si>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</si>
  <si>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</si>
  <si>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</si>
  <si>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</si>
  <si>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</si>
  <si>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</si>
  <si>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</si>
  <si>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</si>
  <si>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</si>
  <si>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</si>
  <si>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</si>
  <si>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</si>
  <si>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</si>
  <si>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</si>
  <si>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</si>
  <si>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</si>
  <si>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</si>
  <si>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</si>
  <si>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</si>
  <si>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</si>
  <si>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</si>
  <si>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</si>
  <si>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</si>
  <si>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</si>
  <si>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</si>
  <si>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</si>
  <si>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</si>
  <si>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</si>
  <si>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</si>
  <si>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</si>
  <si>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</si>
  <si>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</si>
  <si>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</si>
  <si>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</si>
  <si>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</si>
  <si>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</si>
  <si>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</si>
  <si>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</si>
  <si>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</si>
  <si>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</si>
  <si>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</si>
  <si>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</si>
  <si>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</si>
  <si>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</si>
  <si>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</si>
  <si>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</si>
  <si>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</si>
  <si>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</si>
  <si>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</si>
  <si>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</si>
  <si>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</si>
  <si>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</si>
  <si>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</si>
  <si>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</si>
  <si>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</si>
  <si>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</si>
  <si>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</si>
  <si>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</si>
  <si>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</si>
  <si>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</si>
  <si>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</si>
  <si>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</si>
  <si>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</si>
  <si>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</si>
  <si>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</si>
  <si>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</si>
  <si>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</si>
  <si>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</si>
  <si>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</si>
  <si>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</si>
  <si>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</si>
  <si>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</si>
  <si>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</si>
  <si>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</si>
  <si>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</si>
  <si>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</si>
  <si>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</si>
  <si>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</si>
  <si>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</si>
  <si>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</si>
  <si>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</si>
  <si>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</si>
  <si>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</si>
  <si>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</si>
  <si>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</si>
  <si>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</si>
  <si>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</si>
  <si>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</si>
  <si>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</si>
  <si>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</si>
  <si>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</si>
  <si>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</si>
  <si>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</si>
  <si>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</si>
  <si>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</si>
  <si>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</si>
  <si>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</si>
  <si>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</si>
  <si>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</si>
  <si>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</si>
  <si>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</si>
  <si>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</si>
  <si>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</si>
  <si>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</si>
  <si>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</si>
  <si>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</si>
  <si>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</si>
  <si>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</si>
  <si>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</si>
  <si>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</si>
  <si>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</si>
  <si>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</si>
  <si>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</si>
  <si>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</si>
  <si>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</si>
  <si>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</si>
  <si>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</si>
  <si>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</si>
  <si>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</si>
  <si>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</si>
  <si>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</si>
  <si>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</si>
  <si>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</si>
  <si>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</si>
  <si>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</si>
  <si>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</si>
  <si>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</si>
  <si>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</si>
  <si>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</si>
  <si>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</si>
  <si>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</si>
  <si>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</si>
  <si>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</si>
  <si>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</si>
  <si>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</si>
  <si>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</si>
  <si>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</si>
  <si>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</si>
  <si>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</si>
  <si>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</si>
  <si>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</si>
  <si>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</si>
  <si>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</si>
  <si>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</si>
  <si>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</si>
  <si>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</si>
  <si>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</si>
  <si>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</si>
  <si>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</si>
  <si>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</si>
  <si>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</si>
  <si>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</si>
  <si>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</si>
  <si>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</si>
  <si>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</si>
  <si>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</si>
  <si>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</si>
  <si>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</si>
  <si>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</si>
  <si>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</si>
  <si>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</si>
  <si>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</si>
  <si>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</si>
  <si>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</si>
  <si>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</si>
  <si>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</si>
  <si>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</si>
  <si>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</si>
  <si>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</si>
  <si>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</si>
  <si>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</si>
  <si>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</si>
  <si>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</si>
  <si>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</si>
  <si>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</si>
  <si>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</si>
  <si>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</si>
  <si>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</si>
  <si>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</si>
  <si>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</si>
  <si>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</si>
  <si>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</si>
  <si>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</si>
  <si>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</si>
  <si>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</si>
  <si>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</si>
  <si>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</si>
  <si>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</si>
  <si>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</si>
  <si>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</si>
  <si>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</si>
  <si>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</si>
  <si>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</si>
  <si>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</si>
  <si>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</si>
  <si>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</si>
  <si>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</si>
  <si>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</si>
  <si>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</si>
  <si>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</si>
  <si>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</si>
  <si>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</si>
  <si>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</si>
  <si>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</si>
  <si>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</si>
  <si>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</si>
  <si>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</si>
  <si>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</si>
  <si>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</si>
  <si>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</si>
  <si>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</si>
  <si>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</si>
  <si>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</si>
  <si>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</si>
  <si>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</si>
  <si>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</si>
  <si>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</si>
  <si>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</si>
  <si>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</si>
  <si>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</si>
  <si>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</si>
  <si>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</si>
  <si>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</si>
  <si>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</si>
  <si>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</si>
  <si>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</si>
  <si>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</si>
  <si>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</si>
  <si>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</si>
  <si>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</si>
  <si>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</si>
  <si>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</si>
  <si>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</si>
  <si>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</si>
  <si>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</si>
  <si>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</si>
  <si>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</si>
  <si>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</si>
  <si>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</si>
  <si>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</si>
  <si>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</si>
  <si>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</si>
  <si>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</si>
  <si>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</si>
  <si>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</si>
  <si>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</si>
  <si>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</si>
  <si>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</si>
  <si>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</si>
  <si>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</si>
  <si>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</si>
  <si>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</si>
  <si>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</si>
  <si>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</si>
  <si>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</si>
  <si>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</si>
  <si>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</si>
  <si>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</si>
  <si>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</si>
  <si>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</si>
  <si>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</si>
  <si>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</si>
  <si>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</si>
  <si>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</si>
  <si>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</si>
  <si>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</si>
  <si>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</si>
  <si>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</si>
  <si>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</si>
  <si>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</si>
  <si>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</si>
  <si>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</si>
  <si>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</si>
  <si>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</si>
  <si>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</si>
  <si>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</si>
  <si>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</si>
  <si>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</si>
  <si>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</si>
  <si>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</si>
  <si>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</si>
  <si>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</si>
  <si>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</si>
  <si>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</si>
  <si>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</si>
  <si>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</si>
  <si>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</si>
  <si>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</si>
  <si>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</si>
  <si>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</si>
  <si>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</si>
  <si>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</si>
  <si>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</si>
  <si>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</si>
  <si>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</si>
  <si>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</si>
  <si>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</si>
  <si>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</si>
  <si>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</si>
  <si>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</si>
  <si>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</si>
  <si>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</si>
  <si>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</si>
  <si>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</si>
  <si>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</si>
  <si>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</si>
  <si>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</si>
  <si>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</si>
  <si>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</si>
  <si>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</si>
  <si>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</si>
  <si>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</si>
  <si>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</si>
  <si>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</si>
  <si>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</si>
  <si>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</si>
  <si>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</si>
  <si>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</si>
  <si>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</si>
  <si>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</si>
  <si>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</si>
  <si>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</si>
  <si>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</si>
  <si>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</si>
  <si>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</si>
  <si>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</si>
  <si>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</si>
  <si>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</si>
  <si>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</si>
  <si>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</si>
  <si>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</si>
  <si>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</si>
  <si>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</si>
  <si>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</si>
  <si>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</si>
  <si>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</si>
  <si>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</si>
  <si>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</si>
  <si>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</si>
  <si>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</si>
  <si>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</si>
  <si>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</si>
  <si>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</si>
  <si>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</si>
  <si>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</si>
  <si>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</si>
  <si>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</si>
  <si>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</si>
  <si>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</si>
  <si>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</si>
  <si>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</si>
  <si>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</si>
  <si>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</si>
  <si>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</si>
  <si>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</si>
  <si>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</si>
  <si>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</si>
  <si>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</si>
  <si>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</si>
  <si>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</si>
  <si>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</si>
  <si>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</si>
  <si>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</si>
  <si>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</si>
  <si>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</si>
  <si>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</si>
  <si>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</si>
  <si>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</si>
  <si>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</si>
  <si>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</si>
  <si>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</si>
  <si>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</si>
  <si>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</si>
  <si>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</si>
  <si>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</si>
  <si>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</si>
  <si>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</si>
  <si>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</si>
  <si>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</si>
  <si>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</si>
  <si>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</si>
  <si>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</si>
  <si>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</si>
  <si>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</si>
  <si>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</si>
  <si>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</si>
  <si>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</si>
  <si>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</si>
  <si>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</si>
  <si>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</si>
  <si>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</si>
  <si>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</si>
  <si>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</si>
  <si>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</si>
  <si>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</si>
  <si>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</si>
  <si>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</si>
  <si>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</si>
  <si>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</si>
  <si>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</si>
  <si>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</si>
  <si>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</si>
  <si>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</si>
  <si>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</si>
  <si>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</si>
  <si>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</si>
  <si>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</si>
  <si>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</si>
  <si>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</si>
  <si>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</si>
  <si>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</si>
  <si>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</si>
  <si>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</si>
  <si>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</si>
  <si>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</si>
  <si>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</si>
  <si>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</si>
  <si>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</si>
  <si>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</si>
  <si>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</si>
  <si>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</si>
  <si>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</si>
  <si>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</si>
  <si>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</si>
  <si>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</si>
  <si>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</si>
  <si>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</si>
  <si>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</si>
  <si>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</si>
  <si>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</si>
  <si>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</si>
  <si>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</si>
  <si>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</si>
  <si>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</si>
  <si>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</si>
  <si>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</si>
  <si>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</si>
  <si>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</si>
  <si>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</si>
  <si>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</si>
  <si>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</si>
  <si>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</si>
  <si>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</si>
  <si>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</si>
  <si>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</si>
  <si>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</si>
  <si>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</si>
  <si>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</si>
  <si>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</si>
  <si>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</si>
  <si>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</si>
  <si>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</si>
  <si>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</si>
  <si>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</si>
  <si>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</si>
  <si>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</si>
  <si>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</si>
  <si>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</si>
  <si>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</si>
  <si>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</si>
  <si>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</si>
  <si>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</si>
  <si>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</si>
  <si>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</si>
  <si>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</si>
  <si>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</si>
  <si>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</si>
  <si>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</si>
  <si>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</si>
  <si>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</si>
  <si>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</si>
  <si>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</si>
  <si>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</si>
  <si>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</si>
  <si>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</si>
  <si>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</si>
  <si>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</si>
  <si>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</si>
  <si>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</si>
  <si>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</si>
  <si>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</si>
  <si>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</si>
  <si>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</si>
  <si>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</si>
  <si>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</si>
  <si>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</si>
  <si>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</si>
  <si>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</si>
  <si>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</si>
  <si>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</si>
  <si>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</si>
  <si>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</si>
  <si>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</si>
  <si>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</si>
  <si>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</si>
  <si>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</si>
  <si>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</si>
  <si>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</si>
  <si>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</si>
  <si>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</si>
  <si>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</si>
  <si>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</si>
  <si>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</si>
  <si>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</si>
  <si>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</si>
  <si>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</si>
  <si>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</si>
  <si>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</si>
  <si>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</si>
  <si>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</si>
  <si>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</si>
  <si>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</si>
  <si>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</si>
  <si>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</si>
  <si>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</si>
  <si>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</si>
  <si>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</si>
  <si>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</si>
  <si>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</si>
  <si>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</si>
  <si>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</si>
  <si>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</si>
  <si>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</si>
  <si>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</si>
  <si>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</si>
  <si>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</si>
  <si>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</si>
  <si>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</si>
  <si>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</si>
  <si>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</si>
  <si>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</si>
  <si>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</si>
  <si>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</si>
  <si>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</si>
  <si>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</si>
  <si>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</si>
  <si>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</si>
  <si>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</si>
  <si>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</si>
  <si>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</si>
  <si>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</si>
  <si>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</si>
  <si>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</si>
  <si>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</si>
  <si>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</si>
  <si>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</si>
  <si>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</si>
  <si>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</si>
  <si>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</si>
  <si>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</si>
  <si>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</si>
  <si>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</si>
  <si>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</si>
  <si>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</si>
  <si>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</si>
  <si>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</si>
  <si>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</si>
  <si>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</si>
  <si>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</si>
  <si>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</si>
  <si>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</si>
  <si>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</si>
  <si>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</si>
  <si>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</si>
  <si>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</si>
  <si>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</si>
  <si>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</si>
  <si>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</si>
  <si>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</si>
  <si>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</si>
  <si>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</si>
  <si>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</si>
  <si>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</si>
  <si>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</si>
  <si>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</si>
  <si>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</si>
  <si>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</si>
  <si>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</si>
  <si>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</si>
  <si>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</si>
  <si>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</si>
  <si>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</si>
  <si>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</si>
  <si>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</si>
  <si>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</si>
  <si>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</si>
  <si>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</si>
  <si>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</si>
  <si>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</si>
  <si>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</si>
  <si>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</si>
  <si>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</si>
  <si>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</si>
  <si>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</si>
  <si>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</si>
  <si>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</si>
  <si>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</si>
  <si>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</si>
  <si>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</si>
  <si>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</si>
  <si>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</si>
  <si>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</si>
  <si>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</si>
  <si>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</si>
  <si>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</si>
  <si>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</si>
  <si>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</si>
  <si>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</si>
  <si>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</si>
  <si>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</si>
  <si>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</si>
  <si>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</si>
  <si>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</si>
  <si>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</si>
  <si>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</si>
  <si>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</si>
  <si>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</si>
  <si>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</si>
  <si>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</si>
  <si>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</si>
  <si>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</si>
  <si>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</si>
  <si>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</si>
  <si>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</si>
  <si>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</si>
  <si>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</si>
  <si>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</si>
  <si>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</si>
  <si>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</si>
  <si>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</si>
  <si>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</si>
  <si>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</si>
  <si>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</si>
  <si>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</si>
  <si>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</si>
  <si>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</si>
  <si>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</si>
  <si>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</si>
  <si>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</si>
  <si>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</si>
  <si>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</si>
  <si>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</si>
  <si>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</si>
  <si>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</si>
  <si>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</si>
  <si>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</si>
  <si>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</si>
  <si>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</si>
  <si>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</si>
  <si>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</si>
  <si>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</si>
  <si>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</si>
  <si>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</si>
  <si>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</si>
  <si>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</si>
  <si>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</si>
  <si>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</si>
  <si>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</si>
  <si>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</si>
  <si>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</si>
  <si>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</si>
  <si>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</si>
  <si>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</si>
  <si>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</si>
  <si>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</si>
  <si>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</si>
  <si>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</si>
  <si>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</si>
  <si>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</si>
  <si>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</si>
  <si>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</si>
  <si>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</si>
  <si>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</si>
  <si>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</si>
  <si>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</si>
  <si>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</si>
  <si>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</si>
  <si>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</si>
  <si>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</si>
  <si>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</si>
  <si>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</si>
  <si>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</si>
  <si>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</si>
  <si>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</si>
  <si>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</si>
  <si>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</si>
  <si>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</si>
  <si>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</si>
  <si>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</si>
  <si>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</si>
  <si>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</si>
  <si>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</si>
  <si>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</si>
  <si>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</si>
  <si>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</si>
  <si>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</si>
  <si>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</si>
  <si>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</si>
  <si>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</si>
  <si>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</si>
  <si>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</si>
  <si>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</si>
  <si>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</si>
  <si>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抵押</t>
  </si>
  <si>
    <t>抵押价格</t>
  </si>
  <si>
    <t>其他：</t>
  </si>
  <si>
    <t>企业</t>
  </si>
  <si>
    <t>江苏省淮安市淮安区</t>
    <phoneticPr fontId="3" type="noConversion"/>
  </si>
  <si>
    <t>淮安高新置业有限公司</t>
    <phoneticPr fontId="3" type="noConversion"/>
  </si>
  <si>
    <t>淮安生态文旅区站前路西侧、淮启路南侧</t>
    <phoneticPr fontId="3" type="noConversion"/>
  </si>
  <si>
    <t>商业、住宅</t>
    <phoneticPr fontId="6" type="noConversion"/>
  </si>
  <si>
    <t>否</t>
  </si>
  <si>
    <t>居住项目</t>
  </si>
  <si>
    <t>是</t>
  </si>
  <si>
    <t>地上</t>
  </si>
  <si>
    <t>住宅</t>
    <phoneticPr fontId="7" type="noConversion"/>
  </si>
  <si>
    <t>商业</t>
    <phoneticPr fontId="7" type="noConversion"/>
  </si>
  <si>
    <t>不动产收益法</t>
  </si>
  <si>
    <t>http://www.huaian.gov.cn/col/4122_231438/art/16277472/1629872222294xbf7PuIu.html</t>
  </si>
  <si>
    <r>
      <rPr>
        <sz val="11"/>
        <color indexed="8"/>
        <rFont val="宋体"/>
        <family val="3"/>
        <charset val="134"/>
      </rPr>
      <t>市政府关于印发淮安市本级城市基础设施配套费征收管理办法的通知
淮政规〔</t>
    </r>
    <r>
      <rPr>
        <sz val="11"/>
        <color indexed="8"/>
        <rFont val="Arial"/>
        <family val="2"/>
      </rPr>
      <t>2021</t>
    </r>
    <r>
      <rPr>
        <sz val="11"/>
        <color indexed="8"/>
        <rFont val="宋体"/>
        <family val="3"/>
        <charset val="134"/>
      </rPr>
      <t>〕</t>
    </r>
    <r>
      <rPr>
        <sz val="11"/>
        <color indexed="8"/>
        <rFont val="Arial"/>
        <family val="2"/>
      </rPr>
      <t>3</t>
    </r>
    <r>
      <rPr>
        <sz val="11"/>
        <color indexed="8"/>
        <rFont val="宋体"/>
        <family val="3"/>
        <charset val="134"/>
      </rPr>
      <t>号</t>
    </r>
    <phoneticPr fontId="3" type="noConversion"/>
  </si>
  <si>
    <t>https://jiangsu.chinatax.gov.cn/art/2019/3/15/art_9566_246651.html</t>
  </si>
  <si>
    <r>
      <rPr>
        <sz val="11"/>
        <color indexed="8"/>
        <rFont val="宋体"/>
        <family val="3"/>
        <charset val="134"/>
      </rPr>
      <t>市政府关于调整城镇土地使用税税额标准的通告</t>
    </r>
    <r>
      <rPr>
        <sz val="11"/>
        <color indexed="8"/>
        <rFont val="Arial"/>
        <family val="2"/>
      </rPr>
      <t xml:space="preserve">  </t>
    </r>
    <r>
      <rPr>
        <sz val="11"/>
        <color indexed="8"/>
        <rFont val="宋体"/>
        <family val="3"/>
        <charset val="134"/>
      </rPr>
      <t>淮政发〔</t>
    </r>
    <r>
      <rPr>
        <sz val="11"/>
        <color indexed="8"/>
        <rFont val="Arial"/>
        <family val="2"/>
      </rPr>
      <t>2019</t>
    </r>
    <r>
      <rPr>
        <sz val="11"/>
        <color indexed="8"/>
        <rFont val="宋体"/>
        <family val="3"/>
        <charset val="134"/>
      </rPr>
      <t>〕</t>
    </r>
    <r>
      <rPr>
        <sz val="11"/>
        <color indexed="8"/>
        <rFont val="Arial"/>
        <family val="2"/>
      </rPr>
      <t>13</t>
    </r>
    <r>
      <rPr>
        <sz val="11"/>
        <color indexed="8"/>
        <rFont val="宋体"/>
        <family val="3"/>
        <charset val="134"/>
      </rPr>
      <t>号</t>
    </r>
    <phoneticPr fontId="3" type="noConversion"/>
  </si>
  <si>
    <t>容积率</t>
    <phoneticPr fontId="224" type="noConversion"/>
  </si>
  <si>
    <t>建筑面积</t>
    <phoneticPr fontId="224" type="noConversion"/>
  </si>
  <si>
    <t>商业比例</t>
    <phoneticPr fontId="224" type="noConversion"/>
  </si>
  <si>
    <t>商业建筑面积</t>
    <phoneticPr fontId="224" type="noConversion"/>
  </si>
  <si>
    <t>建安</t>
    <phoneticPr fontId="224" type="noConversion"/>
  </si>
  <si>
    <t>可售商品住宅规划建筑面积</t>
    <phoneticPr fontId="224" type="noConversion"/>
  </si>
  <si>
    <t>配套养老施设规划建筑面积</t>
    <phoneticPr fontId="224" type="noConversion"/>
  </si>
  <si>
    <t>配套其他施设规划建筑面积</t>
    <phoneticPr fontId="224" type="noConversion"/>
  </si>
  <si>
    <t>地块名称</t>
  </si>
  <si>
    <t>省份</t>
  </si>
  <si>
    <t>城市</t>
  </si>
  <si>
    <t>区县</t>
  </si>
  <si>
    <t>板块</t>
  </si>
  <si>
    <t>公告编号</t>
  </si>
  <si>
    <t>地块编号</t>
  </si>
  <si>
    <t>土地位置</t>
  </si>
  <si>
    <t>建设用地面积(㎡)</t>
  </si>
  <si>
    <t>规划建筑面积(㎡)</t>
  </si>
  <si>
    <t>容积率上限</t>
  </si>
  <si>
    <t>推出保障房面积(㎡)</t>
  </si>
  <si>
    <t>成交保障房面积(㎡)</t>
  </si>
  <si>
    <t>推出自住房面积(㎡)</t>
  </si>
  <si>
    <t>成交自住房面积(㎡)</t>
  </si>
  <si>
    <t>用地性质</t>
  </si>
  <si>
    <t>详细规划</t>
  </si>
  <si>
    <t>建设用地分类</t>
  </si>
  <si>
    <t>出让年限(年)</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</si>
  <si>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</si>
  <si>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</si>
  <si>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</si>
  <si>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</si>
  <si>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</si>
  <si>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</si>
  <si>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</si>
  <si>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</si>
  <si>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</si>
  <si>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</si>
  <si>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</si>
  <si>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</si>
  <si>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</si>
  <si>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</si>
  <si>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</si>
  <si>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</si>
  <si>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</si>
  <si>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</si>
  <si>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</si>
  <si>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</si>
  <si>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</si>
  <si>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</si>
  <si>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</si>
  <si>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</si>
  <si>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</si>
  <si>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</si>
  <si>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</si>
  <si>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</si>
  <si>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</si>
  <si>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</si>
  <si>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</si>
  <si>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</si>
  <si>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</si>
  <si>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</si>
  <si>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</si>
  <si>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</si>
  <si>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</si>
  <si>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</si>
  <si>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</si>
  <si>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</si>
  <si>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项目名称</t>
  </si>
  <si>
    <t>关联拟出让土地</t>
  </si>
  <si>
    <t>拟出让土地名称</t>
  </si>
  <si>
    <t>最早约定支付日期</t>
  </si>
  <si>
    <t>最早约定支付金额(万元)</t>
  </si>
  <si>
    <t>生态文旅区G15地块</t>
  </si>
  <si>
    <t>江苏省</t>
  </si>
  <si>
    <t>淮安市</t>
  </si>
  <si>
    <t>淮安区</t>
  </si>
  <si>
    <t>高铁新城</t>
  </si>
  <si>
    <t>淮自然资公告[2024]11号</t>
  </si>
  <si>
    <t>淮自然(新)挂2024第1号</t>
    <phoneticPr fontId="224" type="noConversion"/>
  </si>
  <si>
    <t>生态文旅区站前路东侧、淮兴路南侧</t>
  </si>
  <si>
    <t>住宅用地</t>
  </si>
  <si>
    <t>普通商品住房用地</t>
  </si>
  <si>
    <t>R居住用地</t>
  </si>
  <si>
    <t>70年</t>
  </si>
  <si>
    <t>≥1,≤2.9</t>
  </si>
  <si>
    <t>≤22%</t>
  </si>
  <si>
    <t>≤75</t>
  </si>
  <si>
    <t>挂牌</t>
  </si>
  <si>
    <t/>
  </si>
  <si>
    <t>2024-09-09</t>
  </si>
  <si>
    <t>2024-09-29</t>
  </si>
  <si>
    <t>2024-10-12</t>
  </si>
  <si>
    <t>已成交</t>
  </si>
  <si>
    <t>已开工</t>
  </si>
  <si>
    <t>淮安高新置业有限公司</t>
  </si>
  <si>
    <t>淮安高新控股</t>
  </si>
  <si>
    <t>地方国有企业</t>
  </si>
  <si>
    <t>城投企业</t>
  </si>
  <si>
    <t>2024-10-10 17:00</t>
  </si>
  <si>
    <t>淮安区国际商城东侧地块</t>
  </si>
  <si>
    <t>淮安区新城区</t>
  </si>
  <si>
    <t>淮自然资公告[2024]5号</t>
  </si>
  <si>
    <t>淮自然(安)挂2024第3号</t>
    <phoneticPr fontId="224" type="noConversion"/>
  </si>
  <si>
    <t>淮安区翔宇大道南侧、城西北路西侧</t>
    <phoneticPr fontId="224" type="noConversion"/>
  </si>
  <si>
    <t>综合用地(含住宅)</t>
  </si>
  <si>
    <t>≥1,≤2.5</t>
  </si>
  <si>
    <t>≤30%</t>
  </si>
  <si>
    <t>≤100</t>
  </si>
  <si>
    <t>2024-07-22</t>
  </si>
  <si>
    <t>2024-08-12</t>
  </si>
  <si>
    <t>2024-08-21</t>
  </si>
  <si>
    <t>淮安市淮安区经济适用房开发有限公司</t>
  </si>
  <si>
    <t>淮安宏信国资管理</t>
  </si>
  <si>
    <t>2024-08-19 17:00</t>
  </si>
  <si>
    <t>生态文旅区龙江路北侧地块</t>
  </si>
  <si>
    <t>生态新城河西</t>
  </si>
  <si>
    <t>淮自然资公告[2023]40号</t>
  </si>
  <si>
    <t>淮自然(新)挂2023第1号</t>
    <phoneticPr fontId="224" type="noConversion"/>
  </si>
  <si>
    <t>生态文旅区万瑞路西侧、龙江路北侧</t>
  </si>
  <si>
    <t>商住用地20%≤商业建筑面积≤25%</t>
  </si>
  <si>
    <t>70年、40年</t>
  </si>
  <si>
    <t>≥1,≤2.2</t>
  </si>
  <si>
    <t>≤40%</t>
  </si>
  <si>
    <t>≤110</t>
  </si>
  <si>
    <t>2023-10-27</t>
  </si>
  <si>
    <t>2023-11-16</t>
  </si>
  <si>
    <t>2023-11-25</t>
  </si>
  <si>
    <t>淮安生态新城置业有限公司</t>
  </si>
  <si>
    <t>淮安新城</t>
  </si>
  <si>
    <t>2023-11-23 17:00</t>
  </si>
  <si>
    <t>正常</t>
  </si>
  <si>
    <t>70</t>
    <phoneticPr fontId="26" type="noConversion"/>
  </si>
  <si>
    <r>
      <t>20</t>
    </r>
    <r>
      <rPr>
        <sz val="11"/>
        <color indexed="8"/>
        <rFont val="宋体"/>
        <family val="3"/>
        <charset val="134"/>
      </rPr>
      <t>（含）</t>
    </r>
    <r>
      <rPr>
        <sz val="11"/>
        <color indexed="8"/>
        <rFont val="Arial"/>
        <family val="2"/>
      </rPr>
      <t>-30%</t>
    </r>
    <phoneticPr fontId="26" type="noConversion"/>
  </si>
  <si>
    <t>0（含）-10%</t>
    <phoneticPr fontId="26" type="noConversion"/>
  </si>
  <si>
    <t>一般</t>
  </si>
  <si>
    <t>好</t>
  </si>
  <si>
    <t>较好</t>
  </si>
  <si>
    <t>淮盛路</t>
    <phoneticPr fontId="26" type="noConversion"/>
  </si>
  <si>
    <t>东站高架</t>
    <phoneticPr fontId="3" type="noConversion"/>
  </si>
  <si>
    <t>翔宇大道</t>
    <phoneticPr fontId="3" type="noConversion"/>
  </si>
  <si>
    <t>枚皋路</t>
    <phoneticPr fontId="3" type="noConversion"/>
  </si>
  <si>
    <t>住宅综合</t>
    <phoneticPr fontId="3" type="noConversion"/>
  </si>
  <si>
    <r>
      <t>0</t>
    </r>
    <r>
      <rPr>
        <sz val="11"/>
        <color indexed="8"/>
        <rFont val="宋体"/>
        <family val="3"/>
        <charset val="134"/>
      </rPr>
      <t>（含）</t>
    </r>
    <r>
      <rPr>
        <sz val="11"/>
        <color indexed="8"/>
        <rFont val="Arial"/>
        <family val="2"/>
      </rPr>
      <t>-10%</t>
    </r>
    <phoneticPr fontId="3" type="noConversion"/>
  </si>
  <si>
    <r>
      <t>10</t>
    </r>
    <r>
      <rPr>
        <sz val="11"/>
        <color indexed="8"/>
        <rFont val="宋体"/>
        <family val="3"/>
        <charset val="134"/>
      </rPr>
      <t>（含）</t>
    </r>
    <r>
      <rPr>
        <sz val="11"/>
        <color indexed="8"/>
        <rFont val="Arial"/>
        <family val="2"/>
      </rPr>
      <t>-20%</t>
    </r>
    <phoneticPr fontId="3" type="noConversion"/>
  </si>
  <si>
    <r>
      <t>20</t>
    </r>
    <r>
      <rPr>
        <sz val="11"/>
        <color indexed="8"/>
        <rFont val="宋体"/>
        <family val="3"/>
        <charset val="134"/>
      </rPr>
      <t>（含）</t>
    </r>
    <r>
      <rPr>
        <sz val="11"/>
        <color indexed="8"/>
        <rFont val="Arial"/>
        <family val="2"/>
      </rPr>
      <t>-30%</t>
    </r>
    <phoneticPr fontId="3" type="noConversion"/>
  </si>
  <si>
    <r>
      <t>30</t>
    </r>
    <r>
      <rPr>
        <sz val="11"/>
        <color indexed="8"/>
        <rFont val="宋体"/>
        <family val="3"/>
        <charset val="134"/>
      </rPr>
      <t>（含）</t>
    </r>
    <r>
      <rPr>
        <sz val="11"/>
        <color indexed="8"/>
        <rFont val="Arial"/>
        <family val="2"/>
      </rPr>
      <t>-40%</t>
    </r>
    <phoneticPr fontId="3"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</si>
  <si>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</si>
  <si>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</si>
  <si>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</si>
  <si>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</si>
  <si>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</si>
  <si>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</si>
  <si>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</si>
  <si>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</si>
  <si>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七通</t>
  </si>
  <si>
    <t>六通</t>
  </si>
  <si>
    <t>五通</t>
  </si>
  <si>
    <t>四通</t>
  </si>
  <si>
    <t>三通</t>
  </si>
  <si>
    <t>较好</t>
    <phoneticPr fontId="3" type="noConversion"/>
  </si>
  <si>
    <t>支路</t>
  </si>
  <si>
    <t>主干道</t>
  </si>
  <si>
    <t>按比例划分面积</t>
    <phoneticPr fontId="224" type="noConversion"/>
  </si>
  <si>
    <t>住宅</t>
    <phoneticPr fontId="224" type="noConversion"/>
  </si>
  <si>
    <t>商业</t>
    <phoneticPr fontId="224" type="noConversion"/>
  </si>
  <si>
    <t>建安</t>
    <phoneticPr fontId="224" type="noConversion"/>
  </si>
  <si>
    <t>建安均值</t>
    <phoneticPr fontId="224" type="noConversion"/>
  </si>
  <si>
    <t>楼面地价</t>
  </si>
  <si>
    <t>仅有登记簿，其余信息根据中指查询得知</t>
    <phoneticPr fontId="224" type="noConversion"/>
  </si>
  <si>
    <t>售价</t>
  </si>
  <si>
    <t>中奥天樾府</t>
    <phoneticPr fontId="3" type="noConversion"/>
  </si>
  <si>
    <t>港龙·东望府</t>
    <phoneticPr fontId="3" type="noConversion"/>
  </si>
  <si>
    <t>文锦城·翰林府</t>
    <phoneticPr fontId="3" type="noConversion"/>
  </si>
  <si>
    <t>住宅</t>
    <phoneticPr fontId="21" type="noConversion"/>
  </si>
  <si>
    <t>押一</t>
  </si>
  <si>
    <t>钢混</t>
  </si>
  <si>
    <t>项目全部</t>
  </si>
  <si>
    <t>土地</t>
  </si>
  <si>
    <t>剩余法-待开发</t>
  </si>
  <si>
    <t>比较法-住宅、综合</t>
  </si>
  <si>
    <t>九里微澜</t>
    <phoneticPr fontId="224" type="noConversion"/>
  </si>
  <si>
    <t>卢浮宫馆</t>
    <phoneticPr fontId="224" type="noConversion"/>
  </si>
  <si>
    <t>林语美墅</t>
    <phoneticPr fontId="224" type="noConversion"/>
  </si>
  <si>
    <t>建筑类型</t>
    <phoneticPr fontId="21" type="noConversion"/>
  </si>
  <si>
    <t>高层</t>
    <phoneticPr fontId="21" type="noConversion"/>
  </si>
  <si>
    <t>多层</t>
    <phoneticPr fontId="21" type="noConversion"/>
  </si>
  <si>
    <t>生态文旅区站前路西侧地块-2</t>
  </si>
  <si>
    <t>清江浦区</t>
  </si>
  <si>
    <t>礼宇坝</t>
  </si>
  <si>
    <t>淮安市本级挂[2022]24号</t>
  </si>
  <si>
    <t>淮自然(新)挂2022第3-2号</t>
  </si>
  <si>
    <t>生态文旅区站前路西侧、淮盛路南侧</t>
  </si>
  <si>
    <t>城镇住宅-普通商品住房</t>
  </si>
  <si>
    <t>≥1,≤1.3</t>
  </si>
  <si>
    <t>≤32%</t>
  </si>
  <si>
    <t>≤27</t>
  </si>
  <si>
    <t>2022-10-25</t>
  </si>
  <si>
    <t>已竣工</t>
  </si>
  <si>
    <t>未触达</t>
  </si>
  <si>
    <t>估价对象</t>
    <phoneticPr fontId="224" type="noConversion"/>
  </si>
  <si>
    <t>中指成交价9000-13700</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</si>
</sst>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sz val="11"/>
      <color indexed="8"/>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54">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0" fontId="48"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1"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55"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32" xfId="0" applyFont="1" applyFill="1" applyBorder="1" applyAlignment="1">
      <alignment horizontal="left" vertical="center" wrapText="1"/>
    </xf>
    <xf numFmtId="0" fontId="160" fillId="5" borderId="68" xfId="0" applyFont="1" applyFill="1" applyBorder="1" applyAlignment="1">
      <alignment horizontal="left" vertical="center"/>
    </xf>
    <xf numFmtId="0" fontId="160" fillId="5" borderId="67" xfId="0" applyFont="1" applyFill="1" applyBorder="1" applyAlignment="1">
      <alignment horizontal="left" vertical="center"/>
    </xf>
    <xf numFmtId="0" fontId="160" fillId="5" borderId="69"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302" fillId="12" borderId="0" xfId="0" applyFont="1" applyFill="1" applyAlignment="1" applyProtection="1">
      <alignment horizontal="center" vertical="center"/>
      <protection locked="0"/>
    </xf>
    <xf numFmtId="0" fontId="302" fillId="12" borderId="0" xfId="0" applyFont="1" applyFill="1" applyProtection="1">
      <alignment vertical="center"/>
      <protection locked="0"/>
    </xf>
    <xf numFmtId="0" fontId="0" fillId="6" borderId="0" xfId="0" applyFill="1" applyAlignment="1"/>
    <xf numFmtId="0" fontId="141" fillId="6" borderId="0" xfId="0" applyFont="1" applyFill="1" applyAlignment="1"/>
    <xf numFmtId="14" fontId="0" fillId="6" borderId="0" xfId="0" applyNumberFormat="1" applyFill="1" applyAlignment="1"/>
    <xf numFmtId="49" fontId="140" fillId="0" borderId="18" xfId="0" applyNumberFormat="1" applyFont="1" applyBorder="1" applyAlignment="1" applyProtection="1">
      <alignment horizontal="center" vertical="center" wrapText="1"/>
      <protection locked="0"/>
    </xf>
    <xf numFmtId="49" fontId="140" fillId="0" borderId="24" xfId="0" applyNumberFormat="1"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302"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9" fontId="80" fillId="0" borderId="8" xfId="0" applyNumberFormat="1" applyFont="1" applyBorder="1" applyAlignment="1" applyProtection="1">
      <alignment horizontal="center" vertical="center" wrapText="1"/>
      <protection locked="0"/>
    </xf>
    <xf numFmtId="9" fontId="80" fillId="0" borderId="2" xfId="0" applyNumberFormat="1" applyFont="1" applyBorder="1" applyAlignment="1" applyProtection="1">
      <alignment horizontal="center" vertical="center" wrapText="1"/>
      <protection locked="0"/>
    </xf>
    <xf numFmtId="9" fontId="80" fillId="0" borderId="11" xfId="0" applyNumberFormat="1" applyFont="1" applyBorder="1" applyAlignment="1" applyProtection="1">
      <alignment horizontal="center" vertical="center" wrapText="1"/>
      <protection locked="0"/>
    </xf>
    <xf numFmtId="0" fontId="141" fillId="6" borderId="0" xfId="0" applyFont="1" applyFill="1">
      <alignment vertical="center"/>
    </xf>
    <xf numFmtId="9" fontId="0" fillId="6" borderId="0" xfId="0" applyNumberFormat="1" applyFill="1">
      <alignment vertical="center"/>
    </xf>
    <xf numFmtId="0" fontId="143" fillId="0" borderId="0" xfId="0" applyFont="1">
      <alignment vertical="center"/>
    </xf>
    <xf numFmtId="0" fontId="77" fillId="0" borderId="59" xfId="0" applyFont="1" applyBorder="1" applyAlignment="1" applyProtection="1">
      <alignment horizontal="center" vertical="center" wrapText="1"/>
      <protection locked="0"/>
    </xf>
    <xf numFmtId="0" fontId="0" fillId="9" borderId="0" xfId="0" applyFill="1" applyAlignment="1"/>
    <xf numFmtId="14" fontId="0" fillId="9" borderId="0" xfId="0" applyNumberFormat="1" applyFill="1" applyAlignment="1"/>
    <xf numFmtId="0" fontId="0" fillId="9" borderId="0" xfId="0" applyFill="1">
      <alignment vertical="center"/>
    </xf>
    <xf numFmtId="178" fontId="72" fillId="9" borderId="2" xfId="2" applyNumberFormat="1" applyFont="1" applyFill="1" applyBorder="1" applyAlignment="1" applyProtection="1">
      <alignment horizontal="center" vertical="center"/>
      <protection locked="0"/>
    </xf>
    <xf numFmtId="0" fontId="77" fillId="9" borderId="5" xfId="0" applyFont="1" applyFill="1" applyBorder="1" applyAlignment="1" applyProtection="1">
      <alignment horizontal="center" vertical="center" wrapText="1"/>
      <protection locked="0"/>
    </xf>
    <xf numFmtId="0" fontId="77" fillId="9" borderId="64" xfId="0" applyFont="1" applyFill="1" applyBorder="1" applyAlignment="1" applyProtection="1">
      <alignment horizontal="center" vertical="center" wrapText="1"/>
      <protection locked="0"/>
    </xf>
    <xf numFmtId="0" fontId="67" fillId="9" borderId="12" xfId="0" applyFont="1" applyFill="1" applyBorder="1" applyAlignment="1">
      <alignment horizontal="center" vertical="center" wrapText="1"/>
    </xf>
    <xf numFmtId="0" fontId="67" fillId="9" borderId="5" xfId="0" applyFont="1" applyFill="1" applyBorder="1" applyAlignment="1">
      <alignment horizontal="center" vertical="center" wrapText="1"/>
    </xf>
    <xf numFmtId="0" fontId="67" fillId="9" borderId="11" xfId="0" applyFont="1" applyFill="1" applyBorder="1" applyAlignment="1" applyProtection="1">
      <alignment horizontal="center" vertical="center" wrapText="1"/>
      <protection locked="0"/>
    </xf>
    <xf numFmtId="0" fontId="67" fillId="9" borderId="9" xfId="0" applyFont="1" applyFill="1" applyBorder="1" applyAlignment="1" applyProtection="1">
      <alignment horizontal="center" vertical="center" wrapText="1"/>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6" xfId="0" applyFont="1" applyFill="1" applyBorder="1" applyAlignment="1">
      <alignment horizontal="left" vertical="center"/>
    </xf>
    <xf numFmtId="0" fontId="160" fillId="5" borderId="44"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746760</xdr:colOff>
      <xdr:row>19</xdr:row>
      <xdr:rowOff>76200</xdr:rowOff>
    </xdr:from>
    <xdr:to>
      <xdr:col>32</xdr:col>
      <xdr:colOff>185107</xdr:colOff>
      <xdr:row>48</xdr:row>
      <xdr:rowOff>183965</xdr:rowOff>
    </xdr:to>
    <xdr:pic>
      <xdr:nvPicPr>
        <xdr:cNvPr id="2" name="图片 1">
          <a:extLst>
            <a:ext uri="{FF2B5EF4-FFF2-40B4-BE49-F238E27FC236}">
              <a16:creationId xmlns:a16="http://schemas.microsoft.com/office/drawing/2014/main" id="{BB08EC6E-CF14-43A3-81E1-4319A72B2205}"/>
            </a:ext>
          </a:extLst>
        </xdr:cNvPr>
        <xdr:cNvPicPr>
          <a:picLocks noChangeAspect="1"/>
        </xdr:cNvPicPr>
      </xdr:nvPicPr>
      <xdr:blipFill>
        <a:blip xmlns:r="http://schemas.openxmlformats.org/officeDocument/2006/relationships" r:embed="rId1"/>
        <a:stretch>
          <a:fillRect/>
        </a:stretch>
      </xdr:blipFill>
      <xdr:spPr>
        <a:xfrm>
          <a:off x="8526780" y="4343400"/>
          <a:ext cx="12697147" cy="6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60960</xdr:rowOff>
    </xdr:from>
    <xdr:to>
      <xdr:col>14</xdr:col>
      <xdr:colOff>603178</xdr:colOff>
      <xdr:row>35</xdr:row>
      <xdr:rowOff>88720</xdr:rowOff>
    </xdr:to>
    <xdr:pic>
      <xdr:nvPicPr>
        <xdr:cNvPr id="2" name="图片 1">
          <a:extLst>
            <a:ext uri="{FF2B5EF4-FFF2-40B4-BE49-F238E27FC236}">
              <a16:creationId xmlns:a16="http://schemas.microsoft.com/office/drawing/2014/main" id="{BDF83FA4-409B-9FE0-05B5-DE35FE0B18FE}"/>
            </a:ext>
          </a:extLst>
        </xdr:cNvPr>
        <xdr:cNvPicPr>
          <a:picLocks noChangeAspect="1"/>
        </xdr:cNvPicPr>
      </xdr:nvPicPr>
      <xdr:blipFill>
        <a:blip xmlns:r="http://schemas.openxmlformats.org/officeDocument/2006/relationships" r:embed="rId1"/>
        <a:stretch>
          <a:fillRect/>
        </a:stretch>
      </xdr:blipFill>
      <xdr:spPr>
        <a:xfrm>
          <a:off x="0" y="975360"/>
          <a:ext cx="10394878" cy="55141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119743</xdr:colOff>
      <xdr:row>14</xdr:row>
      <xdr:rowOff>16328</xdr:rowOff>
    </xdr:from>
    <xdr:to>
      <xdr:col>17</xdr:col>
      <xdr:colOff>32733</xdr:colOff>
      <xdr:row>47</xdr:row>
      <xdr:rowOff>336</xdr:rowOff>
    </xdr:to>
    <xdr:pic>
      <xdr:nvPicPr>
        <xdr:cNvPr id="2" name="图片 1">
          <a:extLst>
            <a:ext uri="{FF2B5EF4-FFF2-40B4-BE49-F238E27FC236}">
              <a16:creationId xmlns:a16="http://schemas.microsoft.com/office/drawing/2014/main" id="{3206E4FB-4434-6E80-9A44-5CA1CCFD5868}"/>
            </a:ext>
          </a:extLst>
        </xdr:cNvPr>
        <xdr:cNvPicPr>
          <a:picLocks noChangeAspect="1"/>
        </xdr:cNvPicPr>
      </xdr:nvPicPr>
      <xdr:blipFill>
        <a:blip xmlns:r="http://schemas.openxmlformats.org/officeDocument/2006/relationships" r:embed="rId1"/>
        <a:stretch>
          <a:fillRect/>
        </a:stretch>
      </xdr:blipFill>
      <xdr:spPr>
        <a:xfrm>
          <a:off x="119743" y="2607128"/>
          <a:ext cx="10276190" cy="60908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28940</xdr:colOff>
      <xdr:row>0</xdr:row>
      <xdr:rowOff>0</xdr:rowOff>
    </xdr:from>
    <xdr:to>
      <xdr:col>15</xdr:col>
      <xdr:colOff>257269</xdr:colOff>
      <xdr:row>26</xdr:row>
      <xdr:rowOff>128597</xdr:rowOff>
    </xdr:to>
    <xdr:pic>
      <xdr:nvPicPr>
        <xdr:cNvPr id="2" name="图片 1">
          <a:extLst>
            <a:ext uri="{FF2B5EF4-FFF2-40B4-BE49-F238E27FC236}">
              <a16:creationId xmlns:a16="http://schemas.microsoft.com/office/drawing/2014/main" id="{8949D4A9-CBCA-4305-9F80-4CADA06F1F03}"/>
            </a:ext>
          </a:extLst>
        </xdr:cNvPr>
        <xdr:cNvPicPr>
          <a:picLocks noChangeAspect="1"/>
        </xdr:cNvPicPr>
      </xdr:nvPicPr>
      <xdr:blipFill>
        <a:blip xmlns:r="http://schemas.openxmlformats.org/officeDocument/2006/relationships" r:embed="rId1"/>
        <a:stretch>
          <a:fillRect/>
        </a:stretch>
      </xdr:blipFill>
      <xdr:spPr>
        <a:xfrm>
          <a:off x="28940" y="0"/>
          <a:ext cx="9372329" cy="4883477"/>
        </a:xfrm>
        <a:prstGeom prst="rect">
          <a:avLst/>
        </a:prstGeom>
      </xdr:spPr>
    </xdr:pic>
    <xdr:clientData/>
  </xdr:twoCellAnchor>
  <xdr:twoCellAnchor editAs="oneCell">
    <xdr:from>
      <xdr:col>0</xdr:col>
      <xdr:colOff>7568</xdr:colOff>
      <xdr:row>27</xdr:row>
      <xdr:rowOff>53340</xdr:rowOff>
    </xdr:from>
    <xdr:to>
      <xdr:col>19</xdr:col>
      <xdr:colOff>520096</xdr:colOff>
      <xdr:row>64</xdr:row>
      <xdr:rowOff>2769</xdr:rowOff>
    </xdr:to>
    <xdr:pic>
      <xdr:nvPicPr>
        <xdr:cNvPr id="3" name="图片 2">
          <a:extLst>
            <a:ext uri="{FF2B5EF4-FFF2-40B4-BE49-F238E27FC236}">
              <a16:creationId xmlns:a16="http://schemas.microsoft.com/office/drawing/2014/main" id="{492D5356-430F-4E65-BCC7-DEB2800B9717}"/>
            </a:ext>
          </a:extLst>
        </xdr:cNvPr>
        <xdr:cNvPicPr>
          <a:picLocks noChangeAspect="1"/>
        </xdr:cNvPicPr>
      </xdr:nvPicPr>
      <xdr:blipFill>
        <a:blip xmlns:r="http://schemas.openxmlformats.org/officeDocument/2006/relationships" r:embed="rId2"/>
        <a:stretch>
          <a:fillRect/>
        </a:stretch>
      </xdr:blipFill>
      <xdr:spPr>
        <a:xfrm>
          <a:off x="7568" y="4991100"/>
          <a:ext cx="12094928" cy="6715989"/>
        </a:xfrm>
        <a:prstGeom prst="rect">
          <a:avLst/>
        </a:prstGeom>
      </xdr:spPr>
    </xdr:pic>
    <xdr:clientData/>
  </xdr:twoCellAnchor>
  <xdr:twoCellAnchor editAs="oneCell">
    <xdr:from>
      <xdr:col>0</xdr:col>
      <xdr:colOff>0</xdr:colOff>
      <xdr:row>64</xdr:row>
      <xdr:rowOff>0</xdr:rowOff>
    </xdr:from>
    <xdr:to>
      <xdr:col>24</xdr:col>
      <xdr:colOff>245790</xdr:colOff>
      <xdr:row>106</xdr:row>
      <xdr:rowOff>80945</xdr:rowOff>
    </xdr:to>
    <xdr:pic>
      <xdr:nvPicPr>
        <xdr:cNvPr id="4" name="图片 3">
          <a:extLst>
            <a:ext uri="{FF2B5EF4-FFF2-40B4-BE49-F238E27FC236}">
              <a16:creationId xmlns:a16="http://schemas.microsoft.com/office/drawing/2014/main" id="{5283FC4C-827B-45E1-BA48-C306B000D259}"/>
            </a:ext>
          </a:extLst>
        </xdr:cNvPr>
        <xdr:cNvPicPr>
          <a:picLocks noChangeAspect="1"/>
        </xdr:cNvPicPr>
      </xdr:nvPicPr>
      <xdr:blipFill>
        <a:blip xmlns:r="http://schemas.openxmlformats.org/officeDocument/2006/relationships" r:embed="rId3"/>
        <a:stretch>
          <a:fillRect/>
        </a:stretch>
      </xdr:blipFill>
      <xdr:spPr>
        <a:xfrm>
          <a:off x="0" y="11704320"/>
          <a:ext cx="14876190" cy="7761905"/>
        </a:xfrm>
        <a:prstGeom prst="rect">
          <a:avLst/>
        </a:prstGeom>
      </xdr:spPr>
    </xdr:pic>
    <xdr:clientData/>
  </xdr:twoCellAnchor>
  <xdr:twoCellAnchor editAs="oneCell">
    <xdr:from>
      <xdr:col>9</xdr:col>
      <xdr:colOff>571500</xdr:colOff>
      <xdr:row>28</xdr:row>
      <xdr:rowOff>171954</xdr:rowOff>
    </xdr:from>
    <xdr:to>
      <xdr:col>19</xdr:col>
      <xdr:colOff>221059</xdr:colOff>
      <xdr:row>44</xdr:row>
      <xdr:rowOff>155311</xdr:rowOff>
    </xdr:to>
    <xdr:pic>
      <xdr:nvPicPr>
        <xdr:cNvPr id="5" name="图片 4">
          <a:extLst>
            <a:ext uri="{FF2B5EF4-FFF2-40B4-BE49-F238E27FC236}">
              <a16:creationId xmlns:a16="http://schemas.microsoft.com/office/drawing/2014/main" id="{472B23BA-C20D-47AC-A1EC-9985FD78A585}"/>
            </a:ext>
          </a:extLst>
        </xdr:cNvPr>
        <xdr:cNvPicPr>
          <a:picLocks noChangeAspect="1"/>
        </xdr:cNvPicPr>
      </xdr:nvPicPr>
      <xdr:blipFill>
        <a:blip xmlns:r="http://schemas.openxmlformats.org/officeDocument/2006/relationships" r:embed="rId4"/>
        <a:stretch>
          <a:fillRect/>
        </a:stretch>
      </xdr:blipFill>
      <xdr:spPr>
        <a:xfrm>
          <a:off x="6057900" y="5292594"/>
          <a:ext cx="5745559" cy="2909437"/>
        </a:xfrm>
        <a:prstGeom prst="rect">
          <a:avLst/>
        </a:prstGeom>
      </xdr:spPr>
    </xdr:pic>
    <xdr:clientData/>
  </xdr:twoCellAnchor>
  <xdr:twoCellAnchor editAs="oneCell">
    <xdr:from>
      <xdr:col>9</xdr:col>
      <xdr:colOff>457960</xdr:colOff>
      <xdr:row>1</xdr:row>
      <xdr:rowOff>30480</xdr:rowOff>
    </xdr:from>
    <xdr:to>
      <xdr:col>21</xdr:col>
      <xdr:colOff>490166</xdr:colOff>
      <xdr:row>23</xdr:row>
      <xdr:rowOff>56219</xdr:rowOff>
    </xdr:to>
    <xdr:pic>
      <xdr:nvPicPr>
        <xdr:cNvPr id="6" name="图片 5">
          <a:extLst>
            <a:ext uri="{FF2B5EF4-FFF2-40B4-BE49-F238E27FC236}">
              <a16:creationId xmlns:a16="http://schemas.microsoft.com/office/drawing/2014/main" id="{A2AFCCB4-DF93-4F1E-8650-DEBBA7FC8231}"/>
            </a:ext>
          </a:extLst>
        </xdr:cNvPr>
        <xdr:cNvPicPr>
          <a:picLocks noChangeAspect="1"/>
        </xdr:cNvPicPr>
      </xdr:nvPicPr>
      <xdr:blipFill>
        <a:blip xmlns:r="http://schemas.openxmlformats.org/officeDocument/2006/relationships" r:embed="rId5"/>
        <a:stretch>
          <a:fillRect/>
        </a:stretch>
      </xdr:blipFill>
      <xdr:spPr>
        <a:xfrm>
          <a:off x="5944360" y="213360"/>
          <a:ext cx="7347406" cy="4049099"/>
        </a:xfrm>
        <a:prstGeom prst="rect">
          <a:avLst/>
        </a:prstGeom>
      </xdr:spPr>
    </xdr:pic>
    <xdr:clientData/>
  </xdr:twoCellAnchor>
  <xdr:twoCellAnchor editAs="oneCell">
    <xdr:from>
      <xdr:col>11</xdr:col>
      <xdr:colOff>470614</xdr:colOff>
      <xdr:row>69</xdr:row>
      <xdr:rowOff>60960</xdr:rowOff>
    </xdr:from>
    <xdr:to>
      <xdr:col>21</xdr:col>
      <xdr:colOff>32511</xdr:colOff>
      <xdr:row>85</xdr:row>
      <xdr:rowOff>122886</xdr:rowOff>
    </xdr:to>
    <xdr:pic>
      <xdr:nvPicPr>
        <xdr:cNvPr id="7" name="图片 6">
          <a:extLst>
            <a:ext uri="{FF2B5EF4-FFF2-40B4-BE49-F238E27FC236}">
              <a16:creationId xmlns:a16="http://schemas.microsoft.com/office/drawing/2014/main" id="{DB20C4DF-AD2A-4047-A6EB-0D42C8458061}"/>
            </a:ext>
          </a:extLst>
        </xdr:cNvPr>
        <xdr:cNvPicPr>
          <a:picLocks noChangeAspect="1"/>
        </xdr:cNvPicPr>
      </xdr:nvPicPr>
      <xdr:blipFill>
        <a:blip xmlns:r="http://schemas.openxmlformats.org/officeDocument/2006/relationships" r:embed="rId6"/>
        <a:stretch>
          <a:fillRect/>
        </a:stretch>
      </xdr:blipFill>
      <xdr:spPr>
        <a:xfrm>
          <a:off x="7176214" y="12679680"/>
          <a:ext cx="5657897" cy="29880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579352</xdr:colOff>
      <xdr:row>41</xdr:row>
      <xdr:rowOff>25729</xdr:rowOff>
    </xdr:to>
    <xdr:pic>
      <xdr:nvPicPr>
        <xdr:cNvPr id="2" name="图片 1">
          <a:extLst>
            <a:ext uri="{FF2B5EF4-FFF2-40B4-BE49-F238E27FC236}">
              <a16:creationId xmlns:a16="http://schemas.microsoft.com/office/drawing/2014/main" id="{6B30BFF2-573B-4E74-8279-69FE4C823816}"/>
            </a:ext>
          </a:extLst>
        </xdr:cNvPr>
        <xdr:cNvPicPr>
          <a:picLocks noChangeAspect="1"/>
        </xdr:cNvPicPr>
      </xdr:nvPicPr>
      <xdr:blipFill>
        <a:blip xmlns:r="http://schemas.openxmlformats.org/officeDocument/2006/relationships" r:embed="rId1"/>
        <a:stretch>
          <a:fillRect/>
        </a:stretch>
      </xdr:blipFill>
      <xdr:spPr>
        <a:xfrm>
          <a:off x="0" y="0"/>
          <a:ext cx="13380952" cy="7523809"/>
        </a:xfrm>
        <a:prstGeom prst="rect">
          <a:avLst/>
        </a:prstGeom>
      </xdr:spPr>
    </xdr:pic>
    <xdr:clientData/>
  </xdr:twoCellAnchor>
  <xdr:twoCellAnchor editAs="oneCell">
    <xdr:from>
      <xdr:col>0</xdr:col>
      <xdr:colOff>0</xdr:colOff>
      <xdr:row>42</xdr:row>
      <xdr:rowOff>0</xdr:rowOff>
    </xdr:from>
    <xdr:to>
      <xdr:col>21</xdr:col>
      <xdr:colOff>160305</xdr:colOff>
      <xdr:row>85</xdr:row>
      <xdr:rowOff>2827</xdr:rowOff>
    </xdr:to>
    <xdr:pic>
      <xdr:nvPicPr>
        <xdr:cNvPr id="3" name="图片 2">
          <a:extLst>
            <a:ext uri="{FF2B5EF4-FFF2-40B4-BE49-F238E27FC236}">
              <a16:creationId xmlns:a16="http://schemas.microsoft.com/office/drawing/2014/main" id="{506BD2D2-50D7-4AB2-A556-D75F04CBAB26}"/>
            </a:ext>
          </a:extLst>
        </xdr:cNvPr>
        <xdr:cNvPicPr>
          <a:picLocks noChangeAspect="1"/>
        </xdr:cNvPicPr>
      </xdr:nvPicPr>
      <xdr:blipFill>
        <a:blip xmlns:r="http://schemas.openxmlformats.org/officeDocument/2006/relationships" r:embed="rId2"/>
        <a:stretch>
          <a:fillRect/>
        </a:stretch>
      </xdr:blipFill>
      <xdr:spPr>
        <a:xfrm>
          <a:off x="0" y="7680960"/>
          <a:ext cx="12961905" cy="7866667"/>
        </a:xfrm>
        <a:prstGeom prst="rect">
          <a:avLst/>
        </a:prstGeom>
      </xdr:spPr>
    </xdr:pic>
    <xdr:clientData/>
  </xdr:twoCellAnchor>
  <xdr:twoCellAnchor editAs="oneCell">
    <xdr:from>
      <xdr:col>0</xdr:col>
      <xdr:colOff>0</xdr:colOff>
      <xdr:row>85</xdr:row>
      <xdr:rowOff>0</xdr:rowOff>
    </xdr:from>
    <xdr:to>
      <xdr:col>18</xdr:col>
      <xdr:colOff>408152</xdr:colOff>
      <xdr:row>129</xdr:row>
      <xdr:rowOff>96137</xdr:rowOff>
    </xdr:to>
    <xdr:pic>
      <xdr:nvPicPr>
        <xdr:cNvPr id="4" name="图片 3">
          <a:extLst>
            <a:ext uri="{FF2B5EF4-FFF2-40B4-BE49-F238E27FC236}">
              <a16:creationId xmlns:a16="http://schemas.microsoft.com/office/drawing/2014/main" id="{0188F5AA-91C4-45DA-B355-D1F613D86565}"/>
            </a:ext>
          </a:extLst>
        </xdr:cNvPr>
        <xdr:cNvPicPr>
          <a:picLocks noChangeAspect="1"/>
        </xdr:cNvPicPr>
      </xdr:nvPicPr>
      <xdr:blipFill>
        <a:blip xmlns:r="http://schemas.openxmlformats.org/officeDocument/2006/relationships" r:embed="rId3"/>
        <a:stretch>
          <a:fillRect/>
        </a:stretch>
      </xdr:blipFill>
      <xdr:spPr>
        <a:xfrm>
          <a:off x="0" y="15544800"/>
          <a:ext cx="11380952" cy="8142857"/>
        </a:xfrm>
        <a:prstGeom prst="rect">
          <a:avLst/>
        </a:prstGeom>
      </xdr:spPr>
    </xdr:pic>
    <xdr:clientData/>
  </xdr:twoCellAnchor>
  <xdr:twoCellAnchor editAs="oneCell">
    <xdr:from>
      <xdr:col>0</xdr:col>
      <xdr:colOff>0</xdr:colOff>
      <xdr:row>130</xdr:row>
      <xdr:rowOff>0</xdr:rowOff>
    </xdr:from>
    <xdr:to>
      <xdr:col>18</xdr:col>
      <xdr:colOff>284343</xdr:colOff>
      <xdr:row>173</xdr:row>
      <xdr:rowOff>136160</xdr:rowOff>
    </xdr:to>
    <xdr:pic>
      <xdr:nvPicPr>
        <xdr:cNvPr id="5" name="图片 4">
          <a:extLst>
            <a:ext uri="{FF2B5EF4-FFF2-40B4-BE49-F238E27FC236}">
              <a16:creationId xmlns:a16="http://schemas.microsoft.com/office/drawing/2014/main" id="{9EC42B7F-7730-4E70-BFC6-27896F4D90BF}"/>
            </a:ext>
          </a:extLst>
        </xdr:cNvPr>
        <xdr:cNvPicPr>
          <a:picLocks noChangeAspect="1"/>
        </xdr:cNvPicPr>
      </xdr:nvPicPr>
      <xdr:blipFill>
        <a:blip xmlns:r="http://schemas.openxmlformats.org/officeDocument/2006/relationships" r:embed="rId4"/>
        <a:stretch>
          <a:fillRect/>
        </a:stretch>
      </xdr:blipFill>
      <xdr:spPr>
        <a:xfrm>
          <a:off x="0" y="23774400"/>
          <a:ext cx="11257143" cy="8000000"/>
        </a:xfrm>
        <a:prstGeom prst="rect">
          <a:avLst/>
        </a:prstGeom>
      </xdr:spPr>
    </xdr:pic>
    <xdr:clientData/>
  </xdr:twoCellAnchor>
  <xdr:twoCellAnchor editAs="oneCell">
    <xdr:from>
      <xdr:col>0</xdr:col>
      <xdr:colOff>0</xdr:colOff>
      <xdr:row>174</xdr:row>
      <xdr:rowOff>0</xdr:rowOff>
    </xdr:from>
    <xdr:to>
      <xdr:col>19</xdr:col>
      <xdr:colOff>55695</xdr:colOff>
      <xdr:row>218</xdr:row>
      <xdr:rowOff>162804</xdr:rowOff>
    </xdr:to>
    <xdr:pic>
      <xdr:nvPicPr>
        <xdr:cNvPr id="6" name="图片 5">
          <a:extLst>
            <a:ext uri="{FF2B5EF4-FFF2-40B4-BE49-F238E27FC236}">
              <a16:creationId xmlns:a16="http://schemas.microsoft.com/office/drawing/2014/main" id="{08B7E150-D3EF-4206-B59A-5DF1FDC41F04}"/>
            </a:ext>
          </a:extLst>
        </xdr:cNvPr>
        <xdr:cNvPicPr>
          <a:picLocks noChangeAspect="1"/>
        </xdr:cNvPicPr>
      </xdr:nvPicPr>
      <xdr:blipFill>
        <a:blip xmlns:r="http://schemas.openxmlformats.org/officeDocument/2006/relationships" r:embed="rId5"/>
        <a:stretch>
          <a:fillRect/>
        </a:stretch>
      </xdr:blipFill>
      <xdr:spPr>
        <a:xfrm>
          <a:off x="0" y="31821120"/>
          <a:ext cx="11638095" cy="8209524"/>
        </a:xfrm>
        <a:prstGeom prst="rect">
          <a:avLst/>
        </a:prstGeom>
      </xdr:spPr>
    </xdr:pic>
    <xdr:clientData/>
  </xdr:twoCellAnchor>
  <xdr:twoCellAnchor editAs="oneCell">
    <xdr:from>
      <xdr:col>0</xdr:col>
      <xdr:colOff>0</xdr:colOff>
      <xdr:row>219</xdr:row>
      <xdr:rowOff>0</xdr:rowOff>
    </xdr:from>
    <xdr:to>
      <xdr:col>20</xdr:col>
      <xdr:colOff>446095</xdr:colOff>
      <xdr:row>264</xdr:row>
      <xdr:rowOff>18019</xdr:rowOff>
    </xdr:to>
    <xdr:pic>
      <xdr:nvPicPr>
        <xdr:cNvPr id="7" name="图片 6">
          <a:extLst>
            <a:ext uri="{FF2B5EF4-FFF2-40B4-BE49-F238E27FC236}">
              <a16:creationId xmlns:a16="http://schemas.microsoft.com/office/drawing/2014/main" id="{57A45B59-A6A0-4DC2-B50E-37A7AABFDA28}"/>
            </a:ext>
          </a:extLst>
        </xdr:cNvPr>
        <xdr:cNvPicPr>
          <a:picLocks noChangeAspect="1"/>
        </xdr:cNvPicPr>
      </xdr:nvPicPr>
      <xdr:blipFill>
        <a:blip xmlns:r="http://schemas.openxmlformats.org/officeDocument/2006/relationships" r:embed="rId6"/>
        <a:stretch>
          <a:fillRect/>
        </a:stretch>
      </xdr:blipFill>
      <xdr:spPr>
        <a:xfrm>
          <a:off x="0" y="40050720"/>
          <a:ext cx="12638095" cy="8247619"/>
        </a:xfrm>
        <a:prstGeom prst="rect">
          <a:avLst/>
        </a:prstGeom>
      </xdr:spPr>
    </xdr:pic>
    <xdr:clientData/>
  </xdr:twoCellAnchor>
  <xdr:twoCellAnchor editAs="oneCell">
    <xdr:from>
      <xdr:col>0</xdr:col>
      <xdr:colOff>45720</xdr:colOff>
      <xdr:row>264</xdr:row>
      <xdr:rowOff>152400</xdr:rowOff>
    </xdr:from>
    <xdr:to>
      <xdr:col>18</xdr:col>
      <xdr:colOff>215777</xdr:colOff>
      <xdr:row>310</xdr:row>
      <xdr:rowOff>25634</xdr:rowOff>
    </xdr:to>
    <xdr:pic>
      <xdr:nvPicPr>
        <xdr:cNvPr id="8" name="图片 7">
          <a:extLst>
            <a:ext uri="{FF2B5EF4-FFF2-40B4-BE49-F238E27FC236}">
              <a16:creationId xmlns:a16="http://schemas.microsoft.com/office/drawing/2014/main" id="{B2C34749-129C-45ED-8AA4-30E3421FCF1D}"/>
            </a:ext>
          </a:extLst>
        </xdr:cNvPr>
        <xdr:cNvPicPr>
          <a:picLocks noChangeAspect="1"/>
        </xdr:cNvPicPr>
      </xdr:nvPicPr>
      <xdr:blipFill>
        <a:blip xmlns:r="http://schemas.openxmlformats.org/officeDocument/2006/relationships" r:embed="rId7"/>
        <a:stretch>
          <a:fillRect/>
        </a:stretch>
      </xdr:blipFill>
      <xdr:spPr>
        <a:xfrm>
          <a:off x="45720" y="48432720"/>
          <a:ext cx="11142857" cy="8285714"/>
        </a:xfrm>
        <a:prstGeom prst="rect">
          <a:avLst/>
        </a:prstGeom>
      </xdr:spPr>
    </xdr:pic>
    <xdr:clientData/>
  </xdr:twoCellAnchor>
  <xdr:twoCellAnchor editAs="oneCell">
    <xdr:from>
      <xdr:col>0</xdr:col>
      <xdr:colOff>0</xdr:colOff>
      <xdr:row>310</xdr:row>
      <xdr:rowOff>0</xdr:rowOff>
    </xdr:from>
    <xdr:to>
      <xdr:col>17</xdr:col>
      <xdr:colOff>493943</xdr:colOff>
      <xdr:row>354</xdr:row>
      <xdr:rowOff>67566</xdr:rowOff>
    </xdr:to>
    <xdr:pic>
      <xdr:nvPicPr>
        <xdr:cNvPr id="9" name="图片 8">
          <a:extLst>
            <a:ext uri="{FF2B5EF4-FFF2-40B4-BE49-F238E27FC236}">
              <a16:creationId xmlns:a16="http://schemas.microsoft.com/office/drawing/2014/main" id="{7BE42EA3-AC09-4910-956A-8E190D650A82}"/>
            </a:ext>
          </a:extLst>
        </xdr:cNvPr>
        <xdr:cNvPicPr>
          <a:picLocks noChangeAspect="1"/>
        </xdr:cNvPicPr>
      </xdr:nvPicPr>
      <xdr:blipFill>
        <a:blip xmlns:r="http://schemas.openxmlformats.org/officeDocument/2006/relationships" r:embed="rId8"/>
        <a:stretch>
          <a:fillRect/>
        </a:stretch>
      </xdr:blipFill>
      <xdr:spPr>
        <a:xfrm>
          <a:off x="0" y="56692800"/>
          <a:ext cx="10857143" cy="8114286"/>
        </a:xfrm>
        <a:prstGeom prst="rect">
          <a:avLst/>
        </a:prstGeom>
      </xdr:spPr>
    </xdr:pic>
    <xdr:clientData/>
  </xdr:twoCellAnchor>
  <xdr:twoCellAnchor editAs="oneCell">
    <xdr:from>
      <xdr:col>1</xdr:col>
      <xdr:colOff>0</xdr:colOff>
      <xdr:row>356</xdr:row>
      <xdr:rowOff>0</xdr:rowOff>
    </xdr:from>
    <xdr:to>
      <xdr:col>15</xdr:col>
      <xdr:colOff>608457</xdr:colOff>
      <xdr:row>385</xdr:row>
      <xdr:rowOff>96480</xdr:rowOff>
    </xdr:to>
    <xdr:pic>
      <xdr:nvPicPr>
        <xdr:cNvPr id="10" name="图片 9">
          <a:extLst>
            <a:ext uri="{FF2B5EF4-FFF2-40B4-BE49-F238E27FC236}">
              <a16:creationId xmlns:a16="http://schemas.microsoft.com/office/drawing/2014/main" id="{E8FB859B-06A3-4800-A42C-745B280347D5}"/>
            </a:ext>
          </a:extLst>
        </xdr:cNvPr>
        <xdr:cNvPicPr>
          <a:picLocks noChangeAspect="1"/>
        </xdr:cNvPicPr>
      </xdr:nvPicPr>
      <xdr:blipFill>
        <a:blip xmlns:r="http://schemas.openxmlformats.org/officeDocument/2006/relationships" r:embed="rId9"/>
        <a:stretch>
          <a:fillRect/>
        </a:stretch>
      </xdr:blipFill>
      <xdr:spPr>
        <a:xfrm>
          <a:off x="609600" y="65105280"/>
          <a:ext cx="9142857" cy="5400000"/>
        </a:xfrm>
        <a:prstGeom prst="rect">
          <a:avLst/>
        </a:prstGeom>
      </xdr:spPr>
    </xdr:pic>
    <xdr:clientData/>
  </xdr:twoCellAnchor>
  <xdr:twoCellAnchor editAs="oneCell">
    <xdr:from>
      <xdr:col>1</xdr:col>
      <xdr:colOff>228600</xdr:colOff>
      <xdr:row>382</xdr:row>
      <xdr:rowOff>114300</xdr:rowOff>
    </xdr:from>
    <xdr:to>
      <xdr:col>16</xdr:col>
      <xdr:colOff>427457</xdr:colOff>
      <xdr:row>413</xdr:row>
      <xdr:rowOff>159306</xdr:rowOff>
    </xdr:to>
    <xdr:pic>
      <xdr:nvPicPr>
        <xdr:cNvPr id="11" name="图片 10">
          <a:extLst>
            <a:ext uri="{FF2B5EF4-FFF2-40B4-BE49-F238E27FC236}">
              <a16:creationId xmlns:a16="http://schemas.microsoft.com/office/drawing/2014/main" id="{82BF2286-9A64-44EB-9188-FD6A765A986D}"/>
            </a:ext>
          </a:extLst>
        </xdr:cNvPr>
        <xdr:cNvPicPr>
          <a:picLocks noChangeAspect="1"/>
        </xdr:cNvPicPr>
      </xdr:nvPicPr>
      <xdr:blipFill>
        <a:blip xmlns:r="http://schemas.openxmlformats.org/officeDocument/2006/relationships" r:embed="rId10"/>
        <a:stretch>
          <a:fillRect/>
        </a:stretch>
      </xdr:blipFill>
      <xdr:spPr>
        <a:xfrm>
          <a:off x="838200" y="69974460"/>
          <a:ext cx="9342857" cy="5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226175</xdr:colOff>
      <xdr:row>31</xdr:row>
      <xdr:rowOff>18000</xdr:rowOff>
    </xdr:to>
    <xdr:pic>
      <xdr:nvPicPr>
        <xdr:cNvPr id="2" name="图片 1">
          <a:extLst>
            <a:ext uri="{FF2B5EF4-FFF2-40B4-BE49-F238E27FC236}">
              <a16:creationId xmlns:a16="http://schemas.microsoft.com/office/drawing/2014/main" id="{78A6A5B5-BEF0-0ADD-A878-EF6CAB7CC1F9}"/>
            </a:ext>
          </a:extLst>
        </xdr:cNvPr>
        <xdr:cNvPicPr>
          <a:picLocks noChangeAspect="1"/>
        </xdr:cNvPicPr>
      </xdr:nvPicPr>
      <xdr:blipFill>
        <a:blip xmlns:r="http://schemas.openxmlformats.org/officeDocument/2006/relationships" r:embed="rId1"/>
        <a:stretch>
          <a:fillRect/>
        </a:stretch>
      </xdr:blipFill>
      <xdr:spPr>
        <a:xfrm>
          <a:off x="0" y="0"/>
          <a:ext cx="6931775" cy="5687280"/>
        </a:xfrm>
        <a:prstGeom prst="rect">
          <a:avLst/>
        </a:prstGeom>
      </xdr:spPr>
    </xdr:pic>
    <xdr:clientData/>
  </xdr:twoCellAnchor>
  <xdr:twoCellAnchor editAs="oneCell">
    <xdr:from>
      <xdr:col>0</xdr:col>
      <xdr:colOff>0</xdr:colOff>
      <xdr:row>31</xdr:row>
      <xdr:rowOff>0</xdr:rowOff>
    </xdr:from>
    <xdr:to>
      <xdr:col>12</xdr:col>
      <xdr:colOff>133388</xdr:colOff>
      <xdr:row>65</xdr:row>
      <xdr:rowOff>61835</xdr:rowOff>
    </xdr:to>
    <xdr:pic>
      <xdr:nvPicPr>
        <xdr:cNvPr id="3" name="图片 2">
          <a:extLst>
            <a:ext uri="{FF2B5EF4-FFF2-40B4-BE49-F238E27FC236}">
              <a16:creationId xmlns:a16="http://schemas.microsoft.com/office/drawing/2014/main" id="{C807840E-7F86-871C-09FD-4AA1240AF4B3}"/>
            </a:ext>
          </a:extLst>
        </xdr:cNvPr>
        <xdr:cNvPicPr>
          <a:picLocks noChangeAspect="1"/>
        </xdr:cNvPicPr>
      </xdr:nvPicPr>
      <xdr:blipFill>
        <a:blip xmlns:r="http://schemas.openxmlformats.org/officeDocument/2006/relationships" r:embed="rId2"/>
        <a:stretch>
          <a:fillRect/>
        </a:stretch>
      </xdr:blipFill>
      <xdr:spPr>
        <a:xfrm>
          <a:off x="0" y="5669280"/>
          <a:ext cx="7448588" cy="6279755"/>
        </a:xfrm>
        <a:prstGeom prst="rect">
          <a:avLst/>
        </a:prstGeom>
      </xdr:spPr>
    </xdr:pic>
    <xdr:clientData/>
  </xdr:twoCellAnchor>
  <xdr:twoCellAnchor editAs="oneCell">
    <xdr:from>
      <xdr:col>0</xdr:col>
      <xdr:colOff>0</xdr:colOff>
      <xdr:row>66</xdr:row>
      <xdr:rowOff>0</xdr:rowOff>
    </xdr:from>
    <xdr:to>
      <xdr:col>16</xdr:col>
      <xdr:colOff>27352</xdr:colOff>
      <xdr:row>111</xdr:row>
      <xdr:rowOff>65638</xdr:rowOff>
    </xdr:to>
    <xdr:pic>
      <xdr:nvPicPr>
        <xdr:cNvPr id="4" name="图片 3">
          <a:extLst>
            <a:ext uri="{FF2B5EF4-FFF2-40B4-BE49-F238E27FC236}">
              <a16:creationId xmlns:a16="http://schemas.microsoft.com/office/drawing/2014/main" id="{AC77CB65-DD26-B4A9-A621-6CE3665D74E7}"/>
            </a:ext>
          </a:extLst>
        </xdr:cNvPr>
        <xdr:cNvPicPr>
          <a:picLocks noChangeAspect="1"/>
        </xdr:cNvPicPr>
      </xdr:nvPicPr>
      <xdr:blipFill>
        <a:blip xmlns:r="http://schemas.openxmlformats.org/officeDocument/2006/relationships" r:embed="rId3"/>
        <a:stretch>
          <a:fillRect/>
        </a:stretch>
      </xdr:blipFill>
      <xdr:spPr>
        <a:xfrm>
          <a:off x="0" y="12070080"/>
          <a:ext cx="9780952" cy="82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186" customWidth="1"/>
    <col min="2" max="2" width="78.21875" style="2187" customWidth="1"/>
    <col min="3" max="18" width="9" style="2180"/>
    <col min="19" max="19" width="17.88671875" style="2180" customWidth="1"/>
    <col min="20" max="51" width="9" style="2180"/>
    <col min="52" max="52" width="13.21875" style="2180" customWidth="1"/>
    <col min="53" max="53" width="13.44140625" style="2180" bestFit="1" customWidth="1"/>
    <col min="54" max="54" width="11.6640625" style="2180" bestFit="1" customWidth="1"/>
    <col min="55" max="55" width="13.44140625" style="2180" bestFit="1" customWidth="1"/>
    <col min="56" max="16384" width="9" style="2180"/>
  </cols>
  <sheetData>
    <row r="1" spans="1:55" s="2192" customFormat="1" ht="16.2" thickBot="1">
      <c r="A1" s="2190" t="s">
        <v>1938</v>
      </c>
      <c r="B1" s="2191" t="s">
        <v>2035</v>
      </c>
    </row>
    <row r="2" spans="1:55" s="2195" customFormat="1" ht="16.2" thickTop="1">
      <c r="A2" s="2193" t="s">
        <v>1942</v>
      </c>
      <c r="B2" s="2194" t="str">
        <f>'预评函-封皮'!B37</f>
        <v>江苏省淮安市淮安区淮安生态文旅区站前路西侧、淮启路南侧出让国有建设用地使用权抵押价格预评估</v>
      </c>
      <c r="AX2" s="2196"/>
      <c r="AZ2" s="2196"/>
      <c r="BA2" s="2197"/>
      <c r="BC2" s="2197"/>
    </row>
    <row r="3" spans="1:55">
      <c r="A3" s="2181" t="s">
        <v>1943</v>
      </c>
      <c r="B3" s="2182">
        <f>'预评函-封皮'!B40</f>
        <v>0</v>
      </c>
    </row>
    <row r="4" spans="1:55" s="2183" customFormat="1">
      <c r="A4" s="2181" t="s">
        <v>1944</v>
      </c>
      <c r="B4" s="2182" t="str">
        <f>'预评函-封皮'!B46</f>
        <v>土地估价师、土地估价师</v>
      </c>
      <c r="N4" s="2183" t="str">
        <f>'预评函-1'!A28</f>
        <v/>
      </c>
    </row>
    <row r="5" spans="1:55" s="2192" customFormat="1" ht="16.2" thickBot="1">
      <c r="A5" s="2198" t="s">
        <v>1945</v>
      </c>
      <c r="B5" s="2199" t="str">
        <f>'预评函-封皮'!B49</f>
        <v>康正预评字号</v>
      </c>
    </row>
    <row r="6" spans="1:55" s="2200" customFormat="1" ht="16.2" thickTop="1">
      <c r="A6" s="2193" t="s">
        <v>1987</v>
      </c>
      <c r="B6" s="2194" t="str">
        <f>'预评函-1'!A4</f>
        <v>受贵公司委托，我公司对江苏省淮安市淮安区淮安生态文旅区站前路西侧、淮启路南侧出让国有建设用地使用权抵押价格进行了预评估。</v>
      </c>
      <c r="AM6" s="2201"/>
    </row>
    <row r="7" spans="1:55">
      <c r="A7" s="2181" t="s">
        <v>1939</v>
      </c>
      <c r="B7" s="2182" t="str">
        <f>'预评函-1'!A6</f>
        <v>估价对象为淮安高新置业有限公司使用的、位于江苏省淮安市淮安区淮安生态文旅区站前路西侧、淮启路南侧出让国有建设用地使用权。根据《国有土地使用证》[]，估价对象（分摊）出让国有建设用地使用权面积为21555平方米。根据《建设工程规划许可证》[]、《出让合同》[]，估价对象规划建筑面积为28022平方米。</v>
      </c>
    </row>
    <row r="8" spans="1:55">
      <c r="A8" s="2181" t="s">
        <v>1940</v>
      </c>
      <c r="B8" s="218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1" t="s">
        <v>1990</v>
      </c>
      <c r="B9" s="2182" t="str">
        <f>'预评函-1'!A9</f>
        <v>拟使用江苏省淮安市淮安区淮安生态文旅区站前路西侧、淮启路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1" t="s">
        <v>1941</v>
      </c>
      <c r="B10" s="2182" t="str">
        <f>'预评函-1'!A11</f>
        <v>2025年7月11日</v>
      </c>
    </row>
    <row r="11" spans="1:55">
      <c r="A11" s="2181" t="s">
        <v>1947</v>
      </c>
      <c r="B11" s="2182" t="str">
        <f>'预评函-1'!A14</f>
        <v>根据《国有土地使用证》[]，本次评估估价对象证载（地类）用途为商业、住宅。</v>
      </c>
    </row>
    <row r="12" spans="1:55">
      <c r="A12" s="2181" t="s">
        <v>1948</v>
      </c>
      <c r="B12" s="2182" t="str">
        <f>'预评函-1'!A15</f>
        <v>本次评估设定用途即为证载用途。</v>
      </c>
    </row>
    <row r="13" spans="1:55">
      <c r="A13" s="2181" t="s">
        <v>1949</v>
      </c>
      <c r="B13" s="2182" t="str">
        <f>'预评函-1'!A17</f>
        <v>根据委托估价方介绍及评估专业人员现场勘查，本次评估估价对象实际土地开发程度为红线外市政基础设施达“七通”（即、、、、、、）、宗地红线内场地平整。</v>
      </c>
    </row>
    <row r="14" spans="1:55">
      <c r="A14" s="2181" t="s">
        <v>1950</v>
      </c>
      <c r="B14" s="2182" t="str">
        <f>'预评函-1'!A18</f>
        <v>。本次评估设定土地开发程度为红线外市政基础设施达“七通”、宗地红线内场地平整。</v>
      </c>
    </row>
    <row r="15" spans="1:55">
      <c r="A15" s="2181" t="s">
        <v>1946</v>
      </c>
      <c r="B15" s="2182" t="str">
        <f>'预评函-1'!A20</f>
        <v>根据《国有土地使用证》[]，估价对象（分摊）出让国有建设用地使用权面积为21555平方米。根据《建设工程规划许可证》[]、《出让合同》[]，估价对象规划建筑面积为28022平方米。</v>
      </c>
    </row>
    <row r="16" spans="1:55">
      <c r="A16" s="2181" t="s">
        <v>1951</v>
      </c>
      <c r="B16" s="218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2月26日。截至估价期日，出让国有建设用地使用权剩余土地使用年限为。</v>
      </c>
    </row>
    <row r="17" spans="1:48">
      <c r="A17" s="2181" t="s">
        <v>1952</v>
      </c>
      <c r="B17" s="2182" t="str">
        <f>'预评函-1'!A23</f>
        <v>本次评估设定估价对象剩余土地使用年限为。</v>
      </c>
    </row>
    <row r="18" spans="1:48">
      <c r="A18" s="2181" t="s">
        <v>1953</v>
      </c>
      <c r="B18" s="2182" t="str">
        <f>'预评函-1'!A25</f>
        <v>本次估价的“出让国有建设用地使用权价格”是指在估价对象土地所有权为国家所有，使用权性质为出让，在公开市场条件下、于估价期日2025年7月11日，在规划利用条件下、设定土地开发程度为红线外“七通”、宗地内场地，设定用途为，剩余土地使用年限为的出让国有建设用地使用权价格。</v>
      </c>
    </row>
    <row r="19" spans="1:48">
      <c r="A19" s="2181" t="s">
        <v>1954</v>
      </c>
      <c r="B19" s="2182" t="str">
        <f>'预评函-1'!A26</f>
        <v>本次估价的“抵押价格”是指估价对象在估价期日的“出让国有建设用地使用权价格”扣减估价师于估价期日所知悉的法定优先受偿款后的余额。</v>
      </c>
    </row>
    <row r="20" spans="1:48">
      <c r="A20" s="2181" t="s">
        <v>1955</v>
      </c>
      <c r="B20" s="218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2" customFormat="1" ht="16.2" thickBot="1">
      <c r="A21" s="2198" t="s">
        <v>1956</v>
      </c>
      <c r="B21" s="2199" t="str">
        <f>'预评函-1'!A28</f>
        <v/>
      </c>
    </row>
    <row r="22" spans="1:48" ht="16.2" thickTop="1">
      <c r="A22" s="2188" t="s">
        <v>1957</v>
      </c>
      <c r="B22" s="2189"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181" t="s">
        <v>1958</v>
      </c>
      <c r="B23" s="2182" t="str">
        <f>'预评函-2'!K2</f>
        <v>估价期日：2025年7月11日</v>
      </c>
    </row>
    <row r="24" spans="1:48">
      <c r="A24" s="2181" t="s">
        <v>1959</v>
      </c>
      <c r="B24" s="2182" t="str">
        <f>'预评函-2'!R2</f>
        <v>估价期日的国有建设用地使用权性质：出让</v>
      </c>
    </row>
    <row r="25" spans="1:48">
      <c r="A25" s="2181" t="s">
        <v>2015</v>
      </c>
      <c r="B25" s="2182" t="str">
        <f>'预评函-2'!A3</f>
        <v>估价期日土地使用者</v>
      </c>
    </row>
    <row r="26" spans="1:48">
      <c r="A26" s="2181" t="s">
        <v>1991</v>
      </c>
      <c r="B26" s="2182" t="str">
        <f>'预评函-2'!A5</f>
        <v>中信开发</v>
      </c>
    </row>
    <row r="27" spans="1:48">
      <c r="A27" s="2181" t="s">
        <v>2016</v>
      </c>
      <c r="B27" s="2182" t="str">
        <f>'预评函-2'!B3</f>
        <v>宗地编号/不动产单元号</v>
      </c>
    </row>
    <row r="28" spans="1:48">
      <c r="A28" s="2181" t="s">
        <v>1992</v>
      </c>
      <c r="B28" s="2182" t="str">
        <f>'预评函-2'!B5</f>
        <v>11111111111</v>
      </c>
    </row>
    <row r="29" spans="1:48">
      <c r="A29" s="2181" t="s">
        <v>2018</v>
      </c>
      <c r="B29" s="2182">
        <f>'预评函-2'!C5</f>
        <v>22</v>
      </c>
    </row>
    <row r="30" spans="1:48">
      <c r="A30" s="2181" t="s">
        <v>2019</v>
      </c>
      <c r="B30" s="2182" t="str">
        <f>'预评函-2'!D3</f>
        <v>土地使用证编号/不动产权证书编号</v>
      </c>
    </row>
    <row r="31" spans="1:48">
      <c r="A31" s="2181" t="s">
        <v>1993</v>
      </c>
      <c r="B31" s="2182" t="str">
        <f>'预评函-2'!D5</f>
        <v>京国土字第111号</v>
      </c>
    </row>
    <row r="32" spans="1:48">
      <c r="A32" s="2181" t="s">
        <v>1994</v>
      </c>
      <c r="B32" s="2182" t="str">
        <f>'预评函-2'!E5</f>
        <v>商业、住宅</v>
      </c>
      <c r="AV32" s="2184"/>
    </row>
    <row r="33" spans="1:2">
      <c r="A33" s="2181" t="s">
        <v>1995</v>
      </c>
      <c r="B33" s="2182">
        <f>'预评函-2'!F5</f>
        <v>258</v>
      </c>
    </row>
    <row r="34" spans="1:2">
      <c r="A34" s="2181" t="s">
        <v>1996</v>
      </c>
      <c r="B34" s="2182">
        <f>'预评函-2'!G5</f>
        <v>0</v>
      </c>
    </row>
    <row r="35" spans="1:2">
      <c r="A35" s="2181" t="s">
        <v>1997</v>
      </c>
      <c r="B35" s="2182">
        <f>'预评函-2'!H5</f>
        <v>1.5</v>
      </c>
    </row>
    <row r="36" spans="1:2">
      <c r="A36" s="2181" t="s">
        <v>1998</v>
      </c>
      <c r="B36" s="2182">
        <f>'预评函-2'!I5</f>
        <v>1.5</v>
      </c>
    </row>
    <row r="37" spans="1:2">
      <c r="A37" s="2181" t="s">
        <v>1999</v>
      </c>
      <c r="B37" s="2182">
        <f>'预评函-2'!J5</f>
        <v>1.5</v>
      </c>
    </row>
    <row r="38" spans="1:2">
      <c r="A38" s="2181" t="s">
        <v>2000</v>
      </c>
      <c r="B38" s="2182" t="str">
        <f>'预评函-2'!K5</f>
        <v>红线外七通、宗地红线内</v>
      </c>
    </row>
    <row r="39" spans="1:2">
      <c r="A39" s="2181" t="s">
        <v>2001</v>
      </c>
      <c r="B39" s="2182" t="str">
        <f>'预评函-2'!L5</f>
        <v>红线外七通、宗地红线内场地</v>
      </c>
    </row>
    <row r="40" spans="1:2">
      <c r="A40" s="2181" t="s">
        <v>2020</v>
      </c>
      <c r="B40" s="2182" t="str">
        <f>'预评函-2'!M3</f>
        <v>（剩余）土地使用年限/年</v>
      </c>
    </row>
    <row r="41" spans="1:2">
      <c r="A41" s="2181" t="s">
        <v>2002</v>
      </c>
      <c r="B41" s="2182">
        <f>'预评函-2'!M5</f>
        <v>0</v>
      </c>
    </row>
    <row r="42" spans="1:2">
      <c r="A42" s="2181" t="s">
        <v>2021</v>
      </c>
      <c r="B42" s="2182" t="str">
        <f>'预评函-2'!N3</f>
        <v>（分摊）出让国有建设用地使用权面积/㎡</v>
      </c>
    </row>
    <row r="43" spans="1:2">
      <c r="A43" s="2181" t="s">
        <v>2003</v>
      </c>
      <c r="B43" s="2182">
        <f>'预评函-2'!N5</f>
        <v>21555</v>
      </c>
    </row>
    <row r="44" spans="1:2">
      <c r="A44" s="2181" t="s">
        <v>2022</v>
      </c>
      <c r="B44" s="2182" t="str">
        <f>'预评函-2'!O3</f>
        <v>规划建筑面积/㎡</v>
      </c>
    </row>
    <row r="45" spans="1:2">
      <c r="A45" s="2181" t="s">
        <v>2004</v>
      </c>
      <c r="B45" s="2182">
        <f>'预评函-2'!O5</f>
        <v>28022</v>
      </c>
    </row>
    <row r="46" spans="1:2">
      <c r="A46" s="2181" t="s">
        <v>2005</v>
      </c>
      <c r="B46" s="2182">
        <f ca="1">'预评函-2'!P5</f>
        <v>7432</v>
      </c>
    </row>
    <row r="47" spans="1:2">
      <c r="A47" s="2181" t="s">
        <v>2006</v>
      </c>
      <c r="B47" s="2182">
        <f ca="1">'预评函-2'!Q5</f>
        <v>5717</v>
      </c>
    </row>
    <row r="48" spans="1:2">
      <c r="A48" s="2181" t="s">
        <v>2007</v>
      </c>
      <c r="B48" s="2182">
        <f ca="1">'预评函-2'!R5</f>
        <v>16020</v>
      </c>
    </row>
    <row r="49" spans="1:2">
      <c r="A49" s="2181" t="s">
        <v>2023</v>
      </c>
      <c r="B49" s="2182" t="str">
        <f>'预评函-2'!A6</f>
        <v>抵押价格</v>
      </c>
    </row>
    <row r="50" spans="1:2">
      <c r="A50" s="2181" t="s">
        <v>2008</v>
      </c>
      <c r="B50" s="2182">
        <f ca="1">'预评函-2'!R6</f>
        <v>16020</v>
      </c>
    </row>
    <row r="51" spans="1:2">
      <c r="A51" s="2181" t="s">
        <v>2024</v>
      </c>
      <c r="B51" s="2182" t="str">
        <f>'预评函-2'!A7</f>
        <v>——</v>
      </c>
    </row>
    <row r="52" spans="1:2">
      <c r="A52" s="2181" t="s">
        <v>2009</v>
      </c>
      <c r="B52" s="2182" t="str">
        <f>'预评函-2'!R7</f>
        <v>——</v>
      </c>
    </row>
    <row r="53" spans="1:2">
      <c r="A53" s="2181" t="s">
        <v>2025</v>
      </c>
      <c r="B53" s="2182" t="str">
        <f>'预评函-2'!A8</f>
        <v>——</v>
      </c>
    </row>
    <row r="54" spans="1:2" s="2192" customFormat="1" ht="16.2" thickBot="1">
      <c r="A54" s="2198" t="s">
        <v>2010</v>
      </c>
      <c r="B54" s="2199" t="str">
        <f>'预评函-2'!R8</f>
        <v>——</v>
      </c>
    </row>
    <row r="55" spans="1:2" ht="16.2" thickTop="1">
      <c r="A55" s="2188" t="s">
        <v>1960</v>
      </c>
      <c r="B55" s="2189" t="str">
        <f>'预评函-3'!A2</f>
        <v>1.权利限制：根据估价对象《不动产权证书》原件、《国有土地使用权》复印件，截至估价期日，估价对象抵押权未见登记。未设定租赁等其他他项权利。</v>
      </c>
    </row>
    <row r="56" spans="1:2">
      <c r="A56" s="2181" t="s">
        <v>1961</v>
      </c>
      <c r="B56" s="2182" t="str">
        <f>'预评函-3'!A3</f>
        <v>2.基础设施条件：估价对象实际开发程度为红线外七通、宗地红线内；本次评估设定开发程度为红线外七通、宗地红线内场地。</v>
      </c>
    </row>
    <row r="57" spans="1:2">
      <c r="A57" s="2181" t="s">
        <v>1962</v>
      </c>
      <c r="B57" s="2182" t="str">
        <f>'预评函-3'!A4</f>
        <v>3.估价规划限制条件：详见《建设工程规划许可证》[]、《出让合同》[]。</v>
      </c>
    </row>
    <row r="58" spans="1:2" s="2192" customFormat="1" ht="16.2" thickBot="1">
      <c r="A58" s="2198" t="s">
        <v>2011</v>
      </c>
      <c r="B58" s="2199" t="str">
        <f>'预评函-3'!A5</f>
        <v>4.影响价格的其他限定条件：无。</v>
      </c>
    </row>
    <row r="59" spans="1:2" ht="16.2" thickTop="1">
      <c r="A59" s="2188" t="s">
        <v>1963</v>
      </c>
      <c r="B59" s="2189" t="str">
        <f>'预评函-3'!A8</f>
        <v>2.本《评估意见函》仅供金融机构进行内部审核使用，不做其他目的之用。</v>
      </c>
    </row>
    <row r="60" spans="1:2">
      <c r="A60" s="2181" t="s">
        <v>1964</v>
      </c>
      <c r="B60" s="2182" t="str">
        <f>'预评函-3'!A9</f>
        <v>3.抵押双方在办理抵押登记手续时，应使用本公司出具的正式《土地估价报告》，特提请报告使用者注意。</v>
      </c>
    </row>
    <row r="61" spans="1:2">
      <c r="A61" s="2181" t="s">
        <v>1966</v>
      </c>
      <c r="B61" s="2182" t="str">
        <f>'预评函-3'!A10</f>
        <v>4.估价师所知悉的法定优先受偿款情况为：</v>
      </c>
    </row>
    <row r="62" spans="1:2">
      <c r="A62" s="2181" t="s">
        <v>1965</v>
      </c>
      <c r="B62" s="2182" t="str">
        <f>'预评函-3'!A11</f>
        <v>（1）根据估价对象《不动产权证书》原件、《国有土地使用权》复印件，截至估价期日，估价对象抵押权未见登记。</v>
      </c>
    </row>
    <row r="63" spans="1:2">
      <c r="A63" s="2181" t="s">
        <v>1967</v>
      </c>
      <c r="B63" s="21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1" t="s">
        <v>1968</v>
      </c>
      <c r="B64" s="2185" t="str">
        <f>'预评函-3'!A13</f>
        <v>（3）。</v>
      </c>
    </row>
    <row r="65" spans="1:2">
      <c r="A65" s="2181" t="s">
        <v>1969</v>
      </c>
      <c r="B65" s="2182" t="str">
        <f>'预评函-3'!A14</f>
        <v>综上，本次评估不存在估价师知悉的法定优先受偿款</v>
      </c>
    </row>
    <row r="66" spans="1:2">
      <c r="A66" s="2181" t="s">
        <v>1970</v>
      </c>
      <c r="B66" s="21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1" t="s">
        <v>1971</v>
      </c>
      <c r="B67" s="21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2" customFormat="1" ht="16.2" thickBot="1">
      <c r="A68" s="2198" t="s">
        <v>1974</v>
      </c>
      <c r="B68" s="2202">
        <f>'预评函-3'!D30</f>
        <v>42558</v>
      </c>
    </row>
    <row r="69" spans="1:2" ht="16.2" thickTop="1">
      <c r="A69" s="2188" t="s">
        <v>1972</v>
      </c>
      <c r="B69" s="2189" t="str">
        <f>'预评函-3'!A20</f>
        <v>土地估价师</v>
      </c>
    </row>
    <row r="70" spans="1:2">
      <c r="A70" s="2181" t="s">
        <v>1972</v>
      </c>
      <c r="B70" s="2182">
        <f>'预评函-3'!B20</f>
        <v>0</v>
      </c>
    </row>
    <row r="71" spans="1:2">
      <c r="A71" s="2181" t="s">
        <v>1973</v>
      </c>
      <c r="B71" s="2182" t="str">
        <f>'预评函-3'!A21</f>
        <v>土地估价师</v>
      </c>
    </row>
    <row r="72" spans="1:2" s="2192" customFormat="1" ht="16.2" thickBot="1">
      <c r="A72" s="2198" t="s">
        <v>1973</v>
      </c>
      <c r="B72" s="2199">
        <f>'预评函-3'!B21</f>
        <v>0</v>
      </c>
    </row>
    <row r="73" spans="1:2" ht="16.2" thickTop="1">
      <c r="A73" s="2188" t="s">
        <v>2032</v>
      </c>
      <c r="B73" s="21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1" t="s">
        <v>2033</v>
      </c>
      <c r="B74" s="2182" t="str">
        <f>'预评函-1 (储备)'!A18</f>
        <v>由于本次评估估价目的是评估储备国有建设用地使用权的“抵押价格”，因此本次评估设定土地开发程度为红线外市政基础设施达“七通”、宗地红线内场地平整。</v>
      </c>
    </row>
    <row r="75" spans="1:2" s="2192" customFormat="1" ht="16.2" thickBot="1">
      <c r="A75" s="2198" t="s">
        <v>2034</v>
      </c>
      <c r="B75" s="21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186" t="s">
        <v>2064</v>
      </c>
      <c r="B76" s="218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2695"/>
    <col min="9" max="18" width="9.6640625" style="2695" customWidth="1"/>
    <col min="19" max="16384" width="15.21875" style="2695"/>
  </cols>
  <sheetData>
    <row r="1" spans="1:18">
      <c r="A1" s="3030" t="s">
        <v>2673</v>
      </c>
      <c r="B1" s="3031"/>
      <c r="C1" s="3031"/>
      <c r="D1" s="3031"/>
      <c r="E1" s="3031"/>
      <c r="F1" s="3032"/>
      <c r="I1" s="3049" t="s">
        <v>3286</v>
      </c>
      <c r="J1" s="3062"/>
      <c r="K1" s="3062"/>
      <c r="L1" s="3062"/>
      <c r="M1" s="3062"/>
      <c r="N1" s="3195"/>
      <c r="O1" s="3195"/>
      <c r="P1" s="3195"/>
      <c r="Q1" s="3195"/>
      <c r="R1" s="3195"/>
    </row>
    <row r="2" spans="1:18">
      <c r="A2" s="3033"/>
      <c r="B2" s="3034"/>
      <c r="C2" s="3034"/>
      <c r="D2" s="3034"/>
      <c r="E2" s="3034"/>
      <c r="F2" s="3035"/>
      <c r="I2" s="3467" t="s">
        <v>3287</v>
      </c>
      <c r="J2" s="3467"/>
      <c r="K2" s="3467"/>
      <c r="L2" s="3467"/>
      <c r="M2" s="3467"/>
      <c r="N2" s="3467"/>
      <c r="O2" s="3467"/>
      <c r="P2" s="3467"/>
      <c r="Q2" s="3467"/>
      <c r="R2" s="3467"/>
    </row>
    <row r="3" spans="1:18">
      <c r="A3" s="2988" t="s">
        <v>2674</v>
      </c>
      <c r="B3" s="3036">
        <f>项目基本情况!D3</f>
        <v>45849</v>
      </c>
      <c r="C3" s="3037"/>
      <c r="D3" s="3037"/>
      <c r="E3" s="3037"/>
      <c r="F3" s="3035"/>
      <c r="I3" s="3053"/>
      <c r="J3" s="3053" t="s">
        <v>3288</v>
      </c>
      <c r="K3" s="3053" t="s">
        <v>3289</v>
      </c>
      <c r="L3" s="3053" t="s">
        <v>3290</v>
      </c>
      <c r="M3" s="3053" t="s">
        <v>3291</v>
      </c>
      <c r="N3" s="3392" t="s">
        <v>3292</v>
      </c>
      <c r="O3" s="3392" t="s">
        <v>3293</v>
      </c>
      <c r="P3" s="3392" t="s">
        <v>3294</v>
      </c>
      <c r="Q3" s="3392" t="s">
        <v>3295</v>
      </c>
      <c r="R3" s="3392" t="s">
        <v>3284</v>
      </c>
    </row>
    <row r="4" spans="1:18">
      <c r="A4" s="2988" t="s">
        <v>2675</v>
      </c>
      <c r="B4" s="3038" t="s">
        <v>2676</v>
      </c>
      <c r="C4" s="3038" t="s">
        <v>2677</v>
      </c>
      <c r="D4" s="3038" t="s">
        <v>2678</v>
      </c>
      <c r="E4" s="3038" t="s">
        <v>2679</v>
      </c>
      <c r="F4" s="3035"/>
      <c r="I4" s="3053" t="s">
        <v>3296</v>
      </c>
      <c r="J4" s="3053">
        <v>80</v>
      </c>
      <c r="K4" s="3053">
        <v>70</v>
      </c>
      <c r="L4" s="3053">
        <v>20</v>
      </c>
      <c r="M4" s="3053">
        <v>30</v>
      </c>
      <c r="N4" s="3038">
        <v>45</v>
      </c>
      <c r="O4" s="3038">
        <v>60</v>
      </c>
      <c r="P4" s="3038">
        <v>50</v>
      </c>
      <c r="Q4" s="3038">
        <v>20</v>
      </c>
      <c r="R4" s="3038">
        <v>375</v>
      </c>
    </row>
    <row r="5" spans="1:18">
      <c r="A5" s="3039"/>
      <c r="B5" s="3036"/>
      <c r="C5" s="3038">
        <f>ROUNDDOWN(MIN((B5-B3)/365,A5),2)</f>
        <v>-125.61</v>
      </c>
      <c r="D5" s="3040">
        <f>IF(ISERROR(ROUND(POWER(1+E5,A5-C5)*(POWER(1+E5,C5)-1)/(POWER(1+E5,A5)-1),3)),0,ROUND(POWER(1+E5,A5-C5)*(POWER(1+E5,C5)-1)/(POWER(1+E5,A5)-1),4))</f>
        <v>0</v>
      </c>
      <c r="E5" s="3041"/>
      <c r="F5" s="3035"/>
      <c r="I5" s="3053" t="s">
        <v>3297</v>
      </c>
      <c r="J5" s="3053">
        <v>70</v>
      </c>
      <c r="K5" s="3053">
        <v>60</v>
      </c>
      <c r="L5" s="3053">
        <v>15</v>
      </c>
      <c r="M5" s="3053">
        <v>25</v>
      </c>
      <c r="N5" s="3038">
        <v>40</v>
      </c>
      <c r="O5" s="3038">
        <v>50</v>
      </c>
      <c r="P5" s="3038">
        <v>40</v>
      </c>
      <c r="Q5" s="3038">
        <v>15</v>
      </c>
      <c r="R5" s="3038">
        <v>315</v>
      </c>
    </row>
    <row r="6" spans="1:18">
      <c r="A6" s="3039"/>
      <c r="B6" s="3036"/>
      <c r="C6" s="3038">
        <f>ROUNDDOWN(MIN((B6-B3)/365,A6),2)</f>
        <v>-125.61</v>
      </c>
      <c r="D6" s="3040">
        <f>IF(ISERROR(ROUND(POWER(1+E6,A6-C6)*(POWER(1+E6,C6)-1)/(POWER(1+E6,A6)-1),3)),0,ROUND(POWER(1+E6,A6-C6)*(POWER(1+E6,C6)-1)/(POWER(1+E6,A6)-1),4))</f>
        <v>0</v>
      </c>
      <c r="E6" s="3041"/>
      <c r="F6" s="3035"/>
      <c r="I6" s="3053" t="s">
        <v>3298</v>
      </c>
      <c r="J6" s="3053">
        <v>60</v>
      </c>
      <c r="K6" s="3053">
        <v>50</v>
      </c>
      <c r="L6" s="3053">
        <v>10</v>
      </c>
      <c r="M6" s="3053">
        <v>20</v>
      </c>
      <c r="N6" s="3038">
        <v>35</v>
      </c>
      <c r="O6" s="3038">
        <v>40</v>
      </c>
      <c r="P6" s="3038">
        <v>30</v>
      </c>
      <c r="Q6" s="3038">
        <v>10</v>
      </c>
      <c r="R6" s="3038">
        <v>255</v>
      </c>
    </row>
    <row r="7" spans="1:18">
      <c r="A7" s="3039"/>
      <c r="B7" s="3036"/>
      <c r="C7" s="3038">
        <f>ROUNDDOWN(MIN((B7-B3)/365,A7),2)</f>
        <v>-125.61</v>
      </c>
      <c r="D7" s="3040">
        <f>IF(ISERROR(ROUND(POWER(1+E7,A7-C7)*(POWER(1+E7,C7)-1)/(POWER(1+E7,A7)-1),3)),0,ROUND(POWER(1+E7,A7-C7)*(POWER(1+E7,C7)-1)/(POWER(1+E7,A7)-1),4))</f>
        <v>0</v>
      </c>
      <c r="E7" s="3041"/>
      <c r="F7" s="3035"/>
    </row>
    <row r="8" spans="1:18">
      <c r="A8" s="3033"/>
      <c r="B8" s="3034"/>
      <c r="C8" s="3034"/>
      <c r="D8" s="3034"/>
      <c r="E8" s="3034"/>
      <c r="F8" s="3035"/>
    </row>
    <row r="9" spans="1:18">
      <c r="A9" s="2988" t="s">
        <v>2680</v>
      </c>
      <c r="B9" s="3038"/>
      <c r="C9" s="3038"/>
      <c r="D9" s="3038"/>
      <c r="E9" s="3038"/>
      <c r="F9" s="3042"/>
    </row>
    <row r="10" spans="1:18">
      <c r="A10" s="2988" t="s">
        <v>2681</v>
      </c>
      <c r="B10" s="3038"/>
      <c r="C10" s="3038"/>
      <c r="D10" s="3038" t="s">
        <v>2679</v>
      </c>
      <c r="E10" s="3038"/>
      <c r="F10" s="3042" t="s">
        <v>2678</v>
      </c>
    </row>
    <row r="11" spans="1:18">
      <c r="A11" s="2988" t="s">
        <v>2682</v>
      </c>
      <c r="B11" s="3043"/>
      <c r="C11" s="3038" t="s">
        <v>2683</v>
      </c>
      <c r="D11" s="3043"/>
      <c r="E11" s="3038" t="s">
        <v>2684</v>
      </c>
      <c r="F11" s="3044">
        <f>ROUND(1-(1/(POWER(1+D11,B11))),4)</f>
        <v>0</v>
      </c>
    </row>
    <row r="12" spans="1:18">
      <c r="A12" s="2988" t="s">
        <v>2685</v>
      </c>
      <c r="B12" s="3043"/>
      <c r="C12" s="3038" t="s">
        <v>2686</v>
      </c>
      <c r="D12" s="3043"/>
      <c r="E12" s="3038" t="s">
        <v>2687</v>
      </c>
      <c r="F12" s="3044">
        <f>ROUND(1-(1/(POWER(1+D12,B12))),4)</f>
        <v>0</v>
      </c>
    </row>
    <row r="13" spans="1:18">
      <c r="A13" s="2988" t="s">
        <v>2688</v>
      </c>
      <c r="B13" s="3038"/>
      <c r="C13" s="3037"/>
      <c r="D13" s="3034"/>
      <c r="E13" s="3034"/>
      <c r="F13" s="3035"/>
    </row>
    <row r="14" spans="1:18">
      <c r="A14" s="2988" t="s">
        <v>2689</v>
      </c>
      <c r="B14" s="3043"/>
      <c r="C14" s="3037"/>
      <c r="D14" s="3034"/>
      <c r="E14" s="3034"/>
      <c r="F14" s="3035"/>
    </row>
    <row r="15" spans="1:18">
      <c r="A15" s="2988" t="s">
        <v>2690</v>
      </c>
      <c r="B15" s="3038" t="e">
        <f>ROUND(B14*F12/F11,2)</f>
        <v>#DIV/0!</v>
      </c>
      <c r="C15" s="3038" t="e">
        <f>ROUND(F12/F11,4)</f>
        <v>#DIV/0!</v>
      </c>
      <c r="D15" s="3034"/>
      <c r="E15" s="3034"/>
      <c r="F15" s="3035"/>
    </row>
    <row r="16" spans="1:18">
      <c r="A16" s="2988" t="s">
        <v>2691</v>
      </c>
      <c r="B16" s="3038"/>
      <c r="C16" s="3037"/>
      <c r="D16" s="3034"/>
      <c r="E16" s="3034"/>
      <c r="F16" s="3035"/>
    </row>
    <row r="17" spans="1:14">
      <c r="A17" s="2988" t="s">
        <v>2690</v>
      </c>
      <c r="B17" s="3043"/>
      <c r="C17" s="3037"/>
      <c r="D17" s="3034"/>
      <c r="E17" s="3034"/>
      <c r="F17" s="3035"/>
    </row>
    <row r="18" spans="1:14" ht="15" thickBot="1">
      <c r="A18" s="3045" t="s">
        <v>2689</v>
      </c>
      <c r="B18" s="3046" t="e">
        <f>ROUND(B17*F11/F12,2)</f>
        <v>#DIV/0!</v>
      </c>
      <c r="C18" s="3046" t="e">
        <f>ROUND(F11/F12,4)</f>
        <v>#DIV/0!</v>
      </c>
      <c r="D18" s="3047"/>
      <c r="E18" s="3047"/>
      <c r="F18" s="3048"/>
    </row>
    <row r="19" spans="1:14" ht="15" thickBot="1"/>
    <row r="20" spans="1:14" ht="15" thickTop="1">
      <c r="A20" s="3049" t="s">
        <v>2692</v>
      </c>
      <c r="B20" s="3050"/>
      <c r="C20" s="3050"/>
      <c r="D20" s="3050"/>
      <c r="E20" s="3050"/>
      <c r="F20" s="3050"/>
      <c r="G20" s="3051"/>
      <c r="I20" s="3395" t="s">
        <v>3299</v>
      </c>
      <c r="J20" s="3395" t="s">
        <v>3300</v>
      </c>
      <c r="K20" s="3395"/>
      <c r="L20" s="3395"/>
      <c r="M20" s="3395"/>
      <c r="N20" s="3396"/>
    </row>
    <row r="21" spans="1:14">
      <c r="A21" s="3052"/>
      <c r="B21" s="3053" t="s">
        <v>2693</v>
      </c>
      <c r="C21" s="3053" t="s">
        <v>2694</v>
      </c>
      <c r="D21" s="3053" t="s">
        <v>2695</v>
      </c>
      <c r="E21" s="3053" t="s">
        <v>2696</v>
      </c>
      <c r="F21" s="3053" t="s">
        <v>2697</v>
      </c>
      <c r="G21" s="3054" t="s">
        <v>2698</v>
      </c>
      <c r="I21" s="3397">
        <v>5</v>
      </c>
      <c r="J21" s="3397">
        <v>54.2</v>
      </c>
      <c r="K21" s="3397"/>
      <c r="L21" s="3397"/>
      <c r="M21" s="3397"/>
    </row>
    <row r="22" spans="1:14">
      <c r="A22" s="3052" t="s">
        <v>2699</v>
      </c>
      <c r="B22" s="3055">
        <v>50</v>
      </c>
      <c r="C22" s="3055">
        <v>32</v>
      </c>
      <c r="D22" s="3056">
        <v>0.05</v>
      </c>
      <c r="E22" s="3053">
        <f>ROUND(POWER(1+D22,B22-C22)*(POWER(1+D22,C22)-1)/(POWER(1+D22,B22)-1),3)</f>
        <v>0.86599999999999999</v>
      </c>
      <c r="F22" s="3056">
        <v>0.6</v>
      </c>
      <c r="G22" s="3054">
        <f>ROUND(100*(1-(1-E22)*F22),1)</f>
        <v>92</v>
      </c>
      <c r="I22" s="3397">
        <v>10</v>
      </c>
      <c r="J22" s="3397">
        <v>65.400000000000006</v>
      </c>
      <c r="K22" s="3397">
        <f>J22-J21</f>
        <v>11.200000000000003</v>
      </c>
      <c r="L22" s="3397"/>
      <c r="M22" s="3397"/>
    </row>
    <row r="23" spans="1:14">
      <c r="A23" s="3057" t="s">
        <v>2700</v>
      </c>
      <c r="B23" s="3055">
        <v>50</v>
      </c>
      <c r="C23" s="3055">
        <v>35</v>
      </c>
      <c r="D23" s="3056">
        <v>0.05</v>
      </c>
      <c r="E23" s="3053">
        <f>ROUND(POWER(1+D23,B23-C23)*(POWER(1+D23,C23)-1)/(POWER(1+D23,B23)-1),3)</f>
        <v>0.89700000000000002</v>
      </c>
      <c r="F23" s="3056">
        <f>F22</f>
        <v>0.6</v>
      </c>
      <c r="G23" s="3054">
        <f>ROUND(100*(1-(1-E23)*F23),1)</f>
        <v>93.8</v>
      </c>
      <c r="I23" s="3397">
        <v>15</v>
      </c>
      <c r="J23" s="3397">
        <v>74.099999999999994</v>
      </c>
      <c r="K23" s="3397">
        <f t="shared" ref="K23:K30" si="0">J23-J22</f>
        <v>8.6999999999999886</v>
      </c>
      <c r="L23" s="3397" t="s">
        <v>3301</v>
      </c>
      <c r="M23" s="3397"/>
      <c r="N23" s="3398" t="s">
        <v>3302</v>
      </c>
    </row>
    <row r="24" spans="1:14">
      <c r="A24" s="3057" t="s">
        <v>2701</v>
      </c>
      <c r="B24" s="3055">
        <v>50</v>
      </c>
      <c r="C24" s="3055">
        <v>25</v>
      </c>
      <c r="D24" s="3056">
        <v>0.05</v>
      </c>
      <c r="E24" s="3053">
        <f>ROUND(POWER(1+D24,B24-C24)*(POWER(1+D24,C24)-1)/(POWER(1+D24,B24)-1),3)</f>
        <v>0.77200000000000002</v>
      </c>
      <c r="F24" s="3056">
        <f>F23</f>
        <v>0.6</v>
      </c>
      <c r="G24" s="3054">
        <f>ROUND(100*(1-(1-E24)*F24),1)</f>
        <v>86.3</v>
      </c>
      <c r="I24" s="3397">
        <v>20</v>
      </c>
      <c r="J24" s="3397">
        <v>81</v>
      </c>
      <c r="K24" s="3397">
        <f t="shared" si="0"/>
        <v>6.9000000000000057</v>
      </c>
      <c r="L24" s="3397" t="s">
        <v>3303</v>
      </c>
      <c r="M24" s="3397"/>
      <c r="N24" s="3398">
        <v>10</v>
      </c>
    </row>
    <row r="25" spans="1:14">
      <c r="A25" s="3057" t="s">
        <v>2702</v>
      </c>
      <c r="B25" s="3055">
        <v>50</v>
      </c>
      <c r="C25" s="3055">
        <v>40</v>
      </c>
      <c r="D25" s="3056">
        <v>0.05</v>
      </c>
      <c r="E25" s="3053">
        <f>ROUND(POWER(1+D25,B25-C25)*(POWER(1+D25,C25)-1)/(POWER(1+D25,B25)-1),3)</f>
        <v>0.94</v>
      </c>
      <c r="F25" s="3056">
        <f>F24</f>
        <v>0.6</v>
      </c>
      <c r="G25" s="3054">
        <f>ROUND(100*(1-(1-E25)*F25),1)</f>
        <v>96.4</v>
      </c>
      <c r="I25" s="3397">
        <v>25</v>
      </c>
      <c r="J25" s="3397">
        <v>86.3</v>
      </c>
      <c r="K25" s="3397">
        <f t="shared" si="0"/>
        <v>5.2999999999999972</v>
      </c>
      <c r="L25" s="3397" t="s">
        <v>3304</v>
      </c>
      <c r="M25" s="3397"/>
      <c r="N25" s="3398">
        <v>8</v>
      </c>
    </row>
    <row r="26" spans="1:14">
      <c r="A26" s="3058"/>
      <c r="B26" s="3059"/>
      <c r="C26" s="3059"/>
      <c r="D26" s="3059"/>
      <c r="E26" s="3059"/>
      <c r="F26" s="3059"/>
      <c r="G26" s="3060"/>
      <c r="I26" s="3397">
        <v>30</v>
      </c>
      <c r="J26" s="3397">
        <v>90.5</v>
      </c>
      <c r="K26" s="3397">
        <f t="shared" si="0"/>
        <v>4.2000000000000028</v>
      </c>
      <c r="L26" s="3397" t="s">
        <v>3305</v>
      </c>
      <c r="M26" s="3397"/>
      <c r="N26" s="3398">
        <v>5</v>
      </c>
    </row>
    <row r="27" spans="1:14">
      <c r="A27" s="3061" t="s">
        <v>2703</v>
      </c>
      <c r="B27" s="3062"/>
      <c r="C27" s="3062"/>
      <c r="D27" s="3062"/>
      <c r="E27" s="3062"/>
      <c r="F27" s="3062"/>
      <c r="G27" s="3063"/>
      <c r="I27" s="3397">
        <v>35</v>
      </c>
      <c r="J27" s="3397">
        <v>93.8</v>
      </c>
      <c r="K27" s="3397">
        <f t="shared" si="0"/>
        <v>3.2999999999999972</v>
      </c>
      <c r="L27" s="3397" t="s">
        <v>3306</v>
      </c>
      <c r="M27" s="3397"/>
      <c r="N27" s="3398">
        <v>3</v>
      </c>
    </row>
    <row r="28" spans="1:14">
      <c r="A28" s="3061" t="s">
        <v>2704</v>
      </c>
      <c r="B28" s="3062"/>
      <c r="C28" s="3062"/>
      <c r="D28" s="3062"/>
      <c r="E28" s="3062"/>
      <c r="F28" s="3062"/>
      <c r="G28" s="3063"/>
      <c r="I28" s="3397">
        <v>40</v>
      </c>
      <c r="J28" s="3397">
        <v>96.4</v>
      </c>
      <c r="K28" s="3397">
        <f t="shared" si="0"/>
        <v>2.6000000000000085</v>
      </c>
      <c r="L28" s="3397" t="s">
        <v>3307</v>
      </c>
      <c r="M28" s="3397"/>
      <c r="N28" s="3398">
        <v>2</v>
      </c>
    </row>
    <row r="29" spans="1:14">
      <c r="A29" s="3061" t="s">
        <v>2705</v>
      </c>
      <c r="B29" s="3062"/>
      <c r="C29" s="3062"/>
      <c r="D29" s="3062"/>
      <c r="E29" s="3062"/>
      <c r="F29" s="3062"/>
      <c r="G29" s="3063"/>
      <c r="I29" s="3397">
        <v>45</v>
      </c>
      <c r="J29" s="3397">
        <v>98.4</v>
      </c>
      <c r="K29" s="3397">
        <f t="shared" si="0"/>
        <v>2</v>
      </c>
      <c r="L29" s="3397"/>
      <c r="M29" s="3397"/>
    </row>
    <row r="30" spans="1:14">
      <c r="A30" s="3061" t="s">
        <v>2706</v>
      </c>
      <c r="B30" s="3062"/>
      <c r="C30" s="3062"/>
      <c r="D30" s="3062"/>
      <c r="E30" s="3062"/>
      <c r="F30" s="3062"/>
      <c r="G30" s="3063"/>
      <c r="I30" s="3397">
        <v>50</v>
      </c>
      <c r="J30" s="3397">
        <v>100</v>
      </c>
      <c r="K30" s="3397">
        <f t="shared" si="0"/>
        <v>1.5999999999999943</v>
      </c>
      <c r="L30" s="3397"/>
      <c r="M30" s="3397"/>
    </row>
    <row r="31" spans="1:14">
      <c r="A31" s="3061" t="s">
        <v>2707</v>
      </c>
      <c r="B31" s="3062"/>
      <c r="C31" s="3062"/>
      <c r="D31" s="3062"/>
      <c r="E31" s="3062"/>
      <c r="F31" s="3062"/>
      <c r="G31" s="3063"/>
      <c r="I31" s="3397" t="s">
        <v>3308</v>
      </c>
      <c r="J31" s="3397"/>
      <c r="K31" s="3397"/>
      <c r="L31" s="3397"/>
      <c r="M31" s="3397"/>
    </row>
    <row r="32" spans="1:14">
      <c r="A32" s="3061" t="s">
        <v>2708</v>
      </c>
      <c r="B32" s="3062"/>
      <c r="C32" s="3062"/>
      <c r="D32" s="3062"/>
      <c r="E32" s="3062"/>
      <c r="F32" s="3062"/>
      <c r="G32" s="3063"/>
      <c r="I32" s="3397"/>
      <c r="J32" s="3397"/>
      <c r="K32" s="3397"/>
      <c r="L32" s="3397"/>
      <c r="M32" s="3397"/>
    </row>
    <row r="33" spans="1:14">
      <c r="A33" s="3061" t="s">
        <v>2709</v>
      </c>
      <c r="B33" s="3062"/>
      <c r="C33" s="3062"/>
      <c r="D33" s="3062"/>
      <c r="E33" s="3062"/>
      <c r="F33" s="3062"/>
      <c r="G33" s="3063"/>
      <c r="I33" s="3397" t="s">
        <v>3299</v>
      </c>
      <c r="J33" s="3397" t="s">
        <v>3309</v>
      </c>
      <c r="K33" s="3397"/>
      <c r="L33" s="3397"/>
      <c r="M33" s="3397"/>
    </row>
    <row r="34" spans="1:14">
      <c r="A34" s="3061" t="s">
        <v>2710</v>
      </c>
      <c r="B34" s="3062"/>
      <c r="C34" s="3062"/>
      <c r="D34" s="3062"/>
      <c r="E34" s="3062"/>
      <c r="F34" s="3062"/>
      <c r="G34" s="3063"/>
      <c r="I34" s="3397">
        <v>5</v>
      </c>
      <c r="J34" s="3397">
        <v>55.1</v>
      </c>
      <c r="K34" s="3397"/>
      <c r="L34" s="3397"/>
      <c r="M34" s="3397"/>
    </row>
    <row r="35" spans="1:14">
      <c r="A35" s="3061" t="s">
        <v>2711</v>
      </c>
      <c r="B35" s="3062"/>
      <c r="C35" s="3062"/>
      <c r="D35" s="3062"/>
      <c r="E35" s="3062"/>
      <c r="F35" s="3062"/>
      <c r="G35" s="3063"/>
      <c r="I35" s="3397">
        <v>10</v>
      </c>
      <c r="J35" s="3397">
        <v>67</v>
      </c>
      <c r="K35" s="3397">
        <f>J35-J34</f>
        <v>11.899999999999999</v>
      </c>
      <c r="L35" s="3397"/>
      <c r="M35" s="3397"/>
    </row>
    <row r="36" spans="1:14">
      <c r="A36" s="3061" t="s">
        <v>2712</v>
      </c>
      <c r="B36" s="3062"/>
      <c r="C36" s="3062"/>
      <c r="D36" s="3062"/>
      <c r="E36" s="3062"/>
      <c r="F36" s="3062"/>
      <c r="G36" s="3063"/>
      <c r="I36" s="3397">
        <v>15</v>
      </c>
      <c r="J36" s="3397">
        <v>76.3</v>
      </c>
      <c r="K36" s="3397">
        <f t="shared" ref="K36:K41" si="1">J36-J35</f>
        <v>9.2999999999999972</v>
      </c>
      <c r="L36" s="3397" t="s">
        <v>3301</v>
      </c>
      <c r="M36" s="3397"/>
      <c r="N36" s="3398" t="s">
        <v>3302</v>
      </c>
    </row>
    <row r="37" spans="1:14">
      <c r="A37" s="3061" t="s">
        <v>2713</v>
      </c>
      <c r="B37" s="3062"/>
      <c r="C37" s="3062"/>
      <c r="D37" s="3062"/>
      <c r="E37" s="3062"/>
      <c r="F37" s="3062"/>
      <c r="G37" s="3063"/>
      <c r="I37" s="3397">
        <v>20</v>
      </c>
      <c r="J37" s="3397">
        <v>83.6</v>
      </c>
      <c r="K37" s="3397">
        <f t="shared" si="1"/>
        <v>7.2999999999999972</v>
      </c>
      <c r="L37" s="3397" t="s">
        <v>3303</v>
      </c>
      <c r="M37" s="3397"/>
      <c r="N37" s="3398">
        <v>10</v>
      </c>
    </row>
    <row r="38" spans="1:14">
      <c r="A38" s="3061" t="s">
        <v>2714</v>
      </c>
      <c r="B38" s="3062"/>
      <c r="C38" s="3062"/>
      <c r="D38" s="3062"/>
      <c r="E38" s="3062"/>
      <c r="F38" s="3062"/>
      <c r="G38" s="3063"/>
      <c r="I38" s="3397">
        <v>25</v>
      </c>
      <c r="J38" s="3397">
        <v>89.3</v>
      </c>
      <c r="K38" s="3397">
        <f t="shared" si="1"/>
        <v>5.7000000000000028</v>
      </c>
      <c r="L38" s="3397" t="s">
        <v>3304</v>
      </c>
      <c r="M38" s="3397"/>
      <c r="N38" s="3398">
        <v>8</v>
      </c>
    </row>
    <row r="39" spans="1:14">
      <c r="A39" s="3061"/>
      <c r="B39" s="3062"/>
      <c r="C39" s="3062"/>
      <c r="D39" s="3062"/>
      <c r="E39" s="3062"/>
      <c r="F39" s="3062"/>
      <c r="G39" s="3063"/>
      <c r="I39" s="3397">
        <v>30</v>
      </c>
      <c r="J39" s="3397">
        <v>93.8</v>
      </c>
      <c r="K39" s="3397">
        <f t="shared" si="1"/>
        <v>4.5</v>
      </c>
      <c r="L39" s="3397" t="s">
        <v>3305</v>
      </c>
      <c r="M39" s="3397"/>
      <c r="N39" s="3398">
        <v>6</v>
      </c>
    </row>
    <row r="40" spans="1:14">
      <c r="A40" s="3064" t="s">
        <v>2715</v>
      </c>
      <c r="B40" s="3065"/>
      <c r="C40" s="3065"/>
      <c r="D40" s="3065"/>
      <c r="E40" s="3065"/>
      <c r="F40" s="3065"/>
      <c r="G40" s="3066"/>
      <c r="I40" s="3397">
        <v>35</v>
      </c>
      <c r="J40" s="3397">
        <v>97.2</v>
      </c>
      <c r="K40" s="3397">
        <f t="shared" si="1"/>
        <v>3.4000000000000057</v>
      </c>
      <c r="L40" s="3397" t="s">
        <v>3306</v>
      </c>
      <c r="M40" s="3397"/>
      <c r="N40" s="3398">
        <v>3</v>
      </c>
    </row>
    <row r="41" spans="1:14">
      <c r="A41" s="3067" t="s">
        <v>2716</v>
      </c>
      <c r="B41" s="3068" t="s">
        <v>2717</v>
      </c>
      <c r="C41" s="3069" t="s">
        <v>2718</v>
      </c>
      <c r="D41" s="3069" t="s">
        <v>2719</v>
      </c>
      <c r="E41" s="3070"/>
      <c r="F41" s="3071"/>
      <c r="G41" s="3072"/>
      <c r="I41" s="3397">
        <v>40</v>
      </c>
      <c r="J41" s="3397">
        <v>100</v>
      </c>
      <c r="K41" s="3397">
        <f t="shared" si="1"/>
        <v>2.7999999999999972</v>
      </c>
      <c r="L41" s="3397"/>
      <c r="M41" s="3397"/>
    </row>
    <row r="42" spans="1:14">
      <c r="A42" s="3067" t="s">
        <v>2720</v>
      </c>
      <c r="B42" s="3068" t="s">
        <v>2721</v>
      </c>
      <c r="C42" s="3069" t="s">
        <v>2721</v>
      </c>
      <c r="D42" s="3073" t="s">
        <v>2722</v>
      </c>
      <c r="E42" s="3065" t="s">
        <v>2723</v>
      </c>
      <c r="F42" s="3065"/>
      <c r="G42" s="3066"/>
      <c r="I42" s="3397"/>
      <c r="J42" s="3397"/>
      <c r="K42" s="3397"/>
      <c r="L42" s="3397"/>
      <c r="M42" s="3397"/>
    </row>
    <row r="43" spans="1:14">
      <c r="A43" s="3067" t="s">
        <v>2724</v>
      </c>
      <c r="B43" s="3068" t="s">
        <v>2725</v>
      </c>
      <c r="C43" s="3069" t="s">
        <v>2726</v>
      </c>
      <c r="D43" s="3069" t="s">
        <v>2727</v>
      </c>
      <c r="E43" s="3070" t="s">
        <v>2728</v>
      </c>
      <c r="F43" s="3071"/>
      <c r="G43" s="3072"/>
      <c r="I43" s="3397" t="s">
        <v>3299</v>
      </c>
      <c r="J43" s="3397" t="s">
        <v>3310</v>
      </c>
      <c r="K43" s="3397"/>
      <c r="L43" s="3397"/>
      <c r="M43" s="3397"/>
    </row>
    <row r="44" spans="1:14">
      <c r="A44" s="3067" t="s">
        <v>2729</v>
      </c>
      <c r="B44" s="3068" t="s">
        <v>2730</v>
      </c>
      <c r="C44" s="3069" t="s">
        <v>2731</v>
      </c>
      <c r="D44" s="3073">
        <v>0.5</v>
      </c>
      <c r="E44" s="3070" t="s">
        <v>2732</v>
      </c>
      <c r="F44" s="3071"/>
      <c r="G44" s="3072"/>
      <c r="I44" s="3397">
        <v>30</v>
      </c>
      <c r="J44" s="3397">
        <v>81.7</v>
      </c>
      <c r="K44" s="3397"/>
      <c r="L44" s="3397"/>
      <c r="M44" s="3397"/>
    </row>
    <row r="45" spans="1:14" ht="15" thickBot="1">
      <c r="A45" s="3074" t="s">
        <v>2733</v>
      </c>
      <c r="B45" s="3075" t="s">
        <v>2721</v>
      </c>
      <c r="C45" s="3076" t="s">
        <v>2721</v>
      </c>
      <c r="D45" s="3076" t="s">
        <v>2734</v>
      </c>
      <c r="E45" s="3077" t="s">
        <v>2735</v>
      </c>
      <c r="F45" s="3077"/>
      <c r="G45" s="3078"/>
      <c r="I45" s="3397">
        <v>40</v>
      </c>
      <c r="J45" s="3397">
        <v>89.2</v>
      </c>
      <c r="K45" s="3397">
        <f>J45-J44</f>
        <v>7.5</v>
      </c>
      <c r="L45" s="3397"/>
      <c r="M45" s="3397"/>
    </row>
    <row r="46" spans="1:14">
      <c r="I46" s="3397">
        <v>50</v>
      </c>
      <c r="J46" s="3397">
        <v>94.3</v>
      </c>
      <c r="K46" s="3397">
        <f t="shared" ref="K46:K47" si="2">J46-J45</f>
        <v>5.0999999999999943</v>
      </c>
      <c r="L46" s="3397"/>
      <c r="M46" s="3397"/>
    </row>
    <row r="47" spans="1:14">
      <c r="I47" s="3397">
        <v>60</v>
      </c>
      <c r="J47" s="3397">
        <v>97.7</v>
      </c>
      <c r="K47" s="3397">
        <f t="shared" si="2"/>
        <v>3.4000000000000057</v>
      </c>
      <c r="L47" s="3397"/>
      <c r="M47" s="3397"/>
    </row>
    <row r="48" spans="1:14" ht="15" thickBot="1"/>
    <row r="49" spans="1:4">
      <c r="A49" s="3049" t="s">
        <v>3285</v>
      </c>
    </row>
    <row r="50" spans="1:4">
      <c r="A50" s="3392" t="s">
        <v>3275</v>
      </c>
      <c r="B50" s="3392" t="s">
        <v>3272</v>
      </c>
      <c r="C50" s="3392" t="s">
        <v>3273</v>
      </c>
      <c r="D50" s="3392" t="s">
        <v>3274</v>
      </c>
    </row>
    <row r="51" spans="1:4">
      <c r="A51" s="3392" t="s">
        <v>3276</v>
      </c>
      <c r="B51" s="3038">
        <f>B52+B53</f>
        <v>15000</v>
      </c>
      <c r="C51" s="3393">
        <f>D51/B51</f>
        <v>2666.6666666666665</v>
      </c>
      <c r="D51" s="3038">
        <f>D52+D53</f>
        <v>40000000</v>
      </c>
    </row>
    <row r="52" spans="1:4">
      <c r="A52" s="2750" t="s">
        <v>3277</v>
      </c>
      <c r="B52" s="3389">
        <v>10000</v>
      </c>
      <c r="C52" s="3389">
        <v>1500</v>
      </c>
      <c r="D52" s="2355">
        <f>C52*B52</f>
        <v>15000000</v>
      </c>
    </row>
    <row r="53" spans="1:4">
      <c r="A53" s="2750" t="s">
        <v>3278</v>
      </c>
      <c r="B53" s="3389">
        <v>5000</v>
      </c>
      <c r="C53" s="3389">
        <v>5000</v>
      </c>
      <c r="D53" s="2355">
        <f>C53*B53</f>
        <v>25000000</v>
      </c>
    </row>
    <row r="54" spans="1:4">
      <c r="A54" s="3392" t="s">
        <v>3279</v>
      </c>
      <c r="B54" s="3038">
        <f>B51</f>
        <v>15000</v>
      </c>
      <c r="C54" s="3043">
        <v>700</v>
      </c>
      <c r="D54" s="3038">
        <f t="shared" ref="D54:D55" si="3">C54*B54</f>
        <v>10500000</v>
      </c>
    </row>
    <row r="55" spans="1:4">
      <c r="A55" s="3392" t="s">
        <v>3280</v>
      </c>
      <c r="B55" s="3038">
        <f>B51</f>
        <v>15000</v>
      </c>
      <c r="C55" s="3043">
        <v>1500</v>
      </c>
      <c r="D55" s="3038">
        <f t="shared" si="3"/>
        <v>22500000</v>
      </c>
    </row>
    <row r="56" spans="1:4">
      <c r="A56" s="3392" t="s">
        <v>3281</v>
      </c>
      <c r="B56" s="3038">
        <f>B51</f>
        <v>15000</v>
      </c>
      <c r="C56" s="3394">
        <f>C51+C54+C55</f>
        <v>4866.6666666666661</v>
      </c>
      <c r="D56" s="3038">
        <f>D51+D54+D55</f>
        <v>73000000</v>
      </c>
    </row>
    <row r="58" spans="1:4">
      <c r="A58" s="3392" t="s">
        <v>3282</v>
      </c>
      <c r="B58" s="3390">
        <v>0.05</v>
      </c>
      <c r="C58" s="3038">
        <f>C56*(1+B58)</f>
        <v>5110</v>
      </c>
      <c r="D58" s="3038">
        <f>D56*B58</f>
        <v>3650000</v>
      </c>
    </row>
    <row r="60" spans="1:4">
      <c r="A60" s="3392" t="s">
        <v>3283</v>
      </c>
      <c r="B60" s="3043">
        <v>3500</v>
      </c>
      <c r="C60" s="3043">
        <f>C53</f>
        <v>5000</v>
      </c>
      <c r="D60" s="3038">
        <f>C60*B60</f>
        <v>17500000</v>
      </c>
    </row>
    <row r="62" spans="1:4">
      <c r="A62" s="3392" t="s">
        <v>3284</v>
      </c>
      <c r="B62" s="3043">
        <f>B51</f>
        <v>15000</v>
      </c>
      <c r="C62" s="3391">
        <f>D62/B62</f>
        <v>6276.666666666667</v>
      </c>
      <c r="D62" s="3043">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10" zoomScaleNormal="100" zoomScaleSheetLayoutView="100" workbookViewId="0">
      <selection activeCell="D18" sqref="D18"/>
    </sheetView>
  </sheetViews>
  <sheetFormatPr defaultColWidth="10" defaultRowHeight="15.6"/>
  <cols>
    <col min="1" max="1" width="15.33203125" style="1400" customWidth="1"/>
    <col min="2" max="2" width="11.33203125" style="1400" customWidth="1"/>
    <col min="3" max="3" width="15.6640625" style="1400" customWidth="1"/>
    <col min="4" max="4" width="16.21875" style="1400" customWidth="1"/>
    <col min="5" max="8" width="13.109375" style="1400" customWidth="1"/>
    <col min="9" max="9" width="13.109375" style="1401" customWidth="1"/>
    <col min="10" max="10" width="10" style="1400"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0"/>
  </cols>
  <sheetData>
    <row r="1" spans="1:21" ht="16.2" thickBot="1">
      <c r="A1" s="1375" t="s">
        <v>1457</v>
      </c>
      <c r="B1" s="3470" t="str">
        <f>IF(B10="北京市","北京市",C10)&amp;F10&amp;A17&amp;"国有建设用地使用权"&amp;B9&amp;"预评估"</f>
        <v>江苏省淮安市淮安区淮安生态文旅区站前路西侧、淮启路南侧出让国有建设用地使用权抵押价格预评估</v>
      </c>
      <c r="C1" s="3471"/>
      <c r="D1" s="3471"/>
      <c r="E1" s="3471"/>
      <c r="F1" s="3471"/>
      <c r="G1" s="3471"/>
      <c r="H1" s="3471"/>
      <c r="I1" s="3472"/>
      <c r="J1" s="2602"/>
      <c r="K1" s="1970" t="str">
        <f>IF(B10="北京市","北京市",C10)&amp;F10&amp;A17&amp;"国有建设用地使用权"&amp;B9</f>
        <v>江苏省淮安市淮安区淮安生态文旅区站前路西侧、淮启路南侧出让国有建设用地使用权抵押价格</v>
      </c>
      <c r="L1" s="2582"/>
      <c r="M1" s="2582"/>
      <c r="N1" s="2583"/>
      <c r="O1" s="2584"/>
      <c r="P1" s="2583"/>
      <c r="Q1" s="2583"/>
      <c r="R1" s="2583"/>
      <c r="S1" s="2583"/>
      <c r="T1" s="2583"/>
      <c r="U1" s="2583"/>
    </row>
    <row r="2" spans="1:21">
      <c r="A2" s="1376" t="s">
        <v>1458</v>
      </c>
      <c r="B2" s="1529"/>
      <c r="D2" s="2602"/>
      <c r="E2" s="2602"/>
      <c r="F2" s="2602"/>
      <c r="G2" s="2602"/>
      <c r="H2" s="2602"/>
      <c r="I2" s="2603"/>
      <c r="J2" s="2602"/>
      <c r="K2" s="1970" t="str">
        <f>IF(B10="北京市","北京市",C10)&amp;F10&amp;A17&amp;"国有建设用地使用权"</f>
        <v>江苏省淮安市淮安区淮安生态文旅区站前路西侧、淮启路南侧出让国有建设用地使用权</v>
      </c>
      <c r="L2" s="2582"/>
      <c r="M2" s="2582"/>
      <c r="N2" s="2583"/>
      <c r="O2" s="2584"/>
      <c r="P2" s="2583"/>
      <c r="Q2" s="2583"/>
      <c r="R2" s="2583"/>
      <c r="S2" s="2583"/>
      <c r="T2" s="2583"/>
      <c r="U2" s="2583"/>
    </row>
    <row r="3" spans="1:21">
      <c r="A3" s="1377" t="s">
        <v>1459</v>
      </c>
      <c r="B3" s="1378"/>
      <c r="C3" s="2531" t="s">
        <v>1513</v>
      </c>
      <c r="D3" s="1378">
        <v>45849</v>
      </c>
      <c r="E3" s="2602"/>
      <c r="F3" s="2602"/>
      <c r="G3" s="2602"/>
      <c r="H3" s="2602"/>
      <c r="I3" s="2603"/>
      <c r="J3" s="2602"/>
      <c r="K3" s="2586"/>
      <c r="L3" s="2582"/>
      <c r="M3" s="2582"/>
      <c r="N3" s="2583"/>
      <c r="O3" s="2584"/>
      <c r="P3" s="2583"/>
      <c r="Q3" s="2583"/>
      <c r="R3" s="2583"/>
      <c r="S3" s="2583"/>
      <c r="T3" s="2583"/>
      <c r="U3" s="2583"/>
    </row>
    <row r="4" spans="1:21" ht="31.8" thickBot="1">
      <c r="A4" s="1380" t="s">
        <v>1460</v>
      </c>
      <c r="B4" s="1530" t="s">
        <v>2162</v>
      </c>
      <c r="C4" s="1533">
        <f>SUMIF(土地估价师,B4,估价师及机构信息!E3:E17)</f>
        <v>0</v>
      </c>
      <c r="D4" s="1530" t="s">
        <v>2162</v>
      </c>
      <c r="E4" s="1533">
        <f>SUMIF(土地估价师,D4,估价师及机构信息!E3:E17)</f>
        <v>0</v>
      </c>
      <c r="F4" s="1530" t="s">
        <v>877</v>
      </c>
      <c r="G4" s="1533">
        <f>SUMIF(土地估价师,F4,估价师及机构信息!E3:E17)</f>
        <v>0</v>
      </c>
      <c r="H4" s="1530" t="s">
        <v>877</v>
      </c>
      <c r="I4" s="1533">
        <f>SUMIF(土地估价师,H4,估价师及机构信息!E3:E17)</f>
        <v>0</v>
      </c>
      <c r="J4" s="2602"/>
      <c r="K4" s="1970" t="str">
        <f>IF(AND(F4="——",H4="——"),B4&amp;"、"&amp;D4,IF(AND(F4&lt;&gt;"——",H4="——"),B4&amp;"、"&amp;D4&amp;"、"&amp;F4,B4&amp;"、"&amp;D4&amp;"、"&amp;F4&amp;"、"&amp;H4))</f>
        <v>土地估价师、土地估价师</v>
      </c>
      <c r="L4" s="2582"/>
      <c r="M4" s="2582"/>
      <c r="N4" s="2583"/>
      <c r="O4" s="2584"/>
      <c r="P4" s="2583"/>
      <c r="Q4" s="2583"/>
      <c r="R4" s="2583"/>
      <c r="S4" s="2583"/>
      <c r="T4" s="2583"/>
      <c r="U4" s="2583"/>
    </row>
    <row r="5" spans="1:21" ht="16.2" thickTop="1">
      <c r="A5" s="1381" t="s">
        <v>1461</v>
      </c>
      <c r="B5" s="1483"/>
      <c r="C5" s="1382"/>
      <c r="D5" s="1383"/>
      <c r="E5" s="2602"/>
      <c r="F5" s="2602"/>
      <c r="G5" s="2602"/>
      <c r="H5" s="2602"/>
      <c r="I5" s="2603"/>
      <c r="J5" s="2602"/>
      <c r="K5" s="2586"/>
      <c r="L5" s="2582"/>
      <c r="M5" s="2582"/>
      <c r="N5" s="2583"/>
      <c r="O5" s="2584"/>
      <c r="P5" s="2583"/>
      <c r="Q5" s="2583"/>
      <c r="R5" s="2583"/>
      <c r="S5" s="2583"/>
      <c r="T5" s="2583"/>
      <c r="U5" s="2583"/>
    </row>
    <row r="6" spans="1:21" ht="27.6">
      <c r="A6" s="1379" t="s">
        <v>1988</v>
      </c>
      <c r="B6" s="1483"/>
      <c r="C6" s="1460"/>
      <c r="D6" s="1384"/>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5" t="s">
        <v>1989</v>
      </c>
      <c r="B7" s="1483"/>
      <c r="C7" s="1460"/>
      <c r="D7" s="1384"/>
      <c r="E7" s="2602"/>
      <c r="F7" s="2602"/>
      <c r="G7" s="2602"/>
      <c r="H7" s="2602"/>
      <c r="I7" s="2603"/>
      <c r="J7" s="2602"/>
      <c r="K7" s="2586"/>
      <c r="L7" s="2582"/>
      <c r="M7" s="2582"/>
      <c r="N7" s="2583"/>
      <c r="O7" s="2584"/>
      <c r="P7" s="2583"/>
      <c r="Q7" s="2583"/>
      <c r="R7" s="2583"/>
      <c r="S7" s="2583"/>
      <c r="T7" s="2583"/>
      <c r="U7" s="2583"/>
    </row>
    <row r="8" spans="1:21">
      <c r="A8" s="2532" t="s">
        <v>1462</v>
      </c>
      <c r="B8" s="1386" t="s">
        <v>3329</v>
      </c>
      <c r="C8" s="1387"/>
      <c r="D8" s="3476" t="s">
        <v>1464</v>
      </c>
      <c r="E8" s="1531" t="s">
        <v>3330</v>
      </c>
      <c r="F8" s="1388"/>
      <c r="G8" s="2602"/>
      <c r="H8" s="2602"/>
      <c r="I8" s="2603"/>
      <c r="J8" s="2602"/>
      <c r="K8" s="2586"/>
      <c r="L8" s="2582"/>
      <c r="M8" s="2582"/>
      <c r="N8" s="2583"/>
      <c r="O8" s="2584"/>
      <c r="P8" s="2583"/>
      <c r="Q8" s="2583"/>
      <c r="R8" s="2583"/>
      <c r="S8" s="2583"/>
      <c r="T8" s="2583"/>
      <c r="U8" s="2583"/>
    </row>
    <row r="9" spans="1:21" ht="16.2" thickBot="1">
      <c r="A9" s="2533" t="s">
        <v>1463</v>
      </c>
      <c r="B9" s="1389" t="s">
        <v>3330</v>
      </c>
      <c r="C9" s="1390"/>
      <c r="D9" s="3477"/>
      <c r="E9" s="1389" t="s">
        <v>877</v>
      </c>
      <c r="F9" s="1446"/>
      <c r="G9" s="2605"/>
      <c r="H9" s="2605"/>
      <c r="I9" s="2606"/>
      <c r="J9" s="2602"/>
      <c r="K9" s="2586"/>
      <c r="L9" s="2582"/>
      <c r="M9" s="2582"/>
      <c r="N9" s="2583"/>
      <c r="O9" s="2584"/>
      <c r="P9" s="2583"/>
      <c r="Q9" s="2583"/>
      <c r="R9" s="2583"/>
      <c r="S9" s="2583"/>
      <c r="T9" s="2583"/>
      <c r="U9" s="2583"/>
    </row>
    <row r="10" spans="1:21" ht="31.8" thickTop="1">
      <c r="A10" s="2534" t="s">
        <v>1517</v>
      </c>
      <c r="B10" s="1424" t="s">
        <v>3331</v>
      </c>
      <c r="C10" s="1391" t="s">
        <v>3333</v>
      </c>
      <c r="D10" s="1383"/>
      <c r="E10" s="1392" t="s">
        <v>1466</v>
      </c>
      <c r="F10" s="1393" t="s">
        <v>3335</v>
      </c>
      <c r="G10" s="1444"/>
      <c r="H10" s="1445"/>
      <c r="I10" s="1383"/>
      <c r="J10" s="2602"/>
      <c r="K10" s="2586"/>
      <c r="L10" s="2582"/>
      <c r="M10" s="2582"/>
      <c r="N10" s="2583"/>
      <c r="O10" s="2584"/>
      <c r="P10" s="2583"/>
      <c r="Q10" s="2583"/>
      <c r="R10" s="2583"/>
      <c r="S10" s="2583"/>
      <c r="T10" s="2583"/>
      <c r="U10" s="2583"/>
    </row>
    <row r="11" spans="1:21" ht="31.2">
      <c r="A11" s="2535" t="s">
        <v>1518</v>
      </c>
      <c r="B11" s="1405" t="s">
        <v>3332</v>
      </c>
      <c r="C11" s="1394" t="s">
        <v>3334</v>
      </c>
      <c r="D11" s="1461"/>
      <c r="E11" s="2583"/>
      <c r="F11" s="2583"/>
      <c r="G11" s="2583"/>
      <c r="H11" s="2583"/>
      <c r="I11" s="2583"/>
      <c r="J11" s="2602"/>
      <c r="K11" s="2586"/>
      <c r="L11" s="2582"/>
      <c r="M11" s="2582"/>
      <c r="N11" s="2583"/>
      <c r="O11" s="2584"/>
      <c r="P11" s="2583"/>
      <c r="Q11" s="2583"/>
      <c r="R11" s="2583"/>
      <c r="S11" s="2583"/>
      <c r="T11" s="2583"/>
      <c r="U11" s="2583"/>
    </row>
    <row r="12" spans="1:21">
      <c r="A12" s="1479" t="s">
        <v>1576</v>
      </c>
      <c r="B12" s="3473" t="s">
        <v>3336</v>
      </c>
      <c r="C12" s="3474"/>
      <c r="D12" s="3475"/>
      <c r="E12" s="1406" t="s">
        <v>1579</v>
      </c>
      <c r="F12" s="3491" t="s">
        <v>2163</v>
      </c>
      <c r="G12" s="3492"/>
      <c r="H12" s="3492"/>
      <c r="I12" s="3493"/>
      <c r="J12" s="2602"/>
      <c r="K12" s="2586"/>
      <c r="L12" s="2582"/>
      <c r="M12" s="2582"/>
      <c r="N12" s="2583"/>
      <c r="O12" s="2584"/>
      <c r="P12" s="2583"/>
      <c r="Q12" s="2583"/>
      <c r="R12" s="2583"/>
      <c r="S12" s="2583"/>
      <c r="T12" s="2583"/>
      <c r="U12" s="2583"/>
    </row>
    <row r="13" spans="1:21">
      <c r="A13" s="1398" t="s">
        <v>1577</v>
      </c>
      <c r="B13" s="3473"/>
      <c r="C13" s="3474"/>
      <c r="D13" s="3475"/>
      <c r="E13" s="1406" t="s">
        <v>1579</v>
      </c>
      <c r="F13" s="3491" t="s">
        <v>2164</v>
      </c>
      <c r="G13" s="3492"/>
      <c r="H13" s="3492"/>
      <c r="I13" s="3493"/>
      <c r="J13" s="2602"/>
      <c r="K13" s="2586"/>
      <c r="L13" s="2582"/>
      <c r="M13" s="2582"/>
      <c r="N13" s="2583"/>
      <c r="O13" s="2584"/>
      <c r="P13" s="2583"/>
      <c r="Q13" s="2583"/>
      <c r="R13" s="2583"/>
      <c r="S13" s="2583"/>
      <c r="T13" s="2583"/>
      <c r="U13" s="2583"/>
    </row>
    <row r="14" spans="1:21">
      <c r="A14" s="1377" t="s">
        <v>1580</v>
      </c>
      <c r="B14" s="1406"/>
      <c r="C14" s="1532"/>
      <c r="D14" s="1437" t="str">
        <f>IF(C14="不一致","是否符合证载地类范围","")</f>
        <v/>
      </c>
      <c r="E14" s="1406"/>
      <c r="F14" s="1484"/>
      <c r="G14" s="1433"/>
      <c r="H14" s="1433"/>
      <c r="I14" s="1525"/>
      <c r="J14" s="2602"/>
      <c r="K14" s="2586"/>
      <c r="L14" s="2582"/>
      <c r="M14" s="2582"/>
      <c r="N14" s="2583"/>
      <c r="O14" s="2584"/>
      <c r="P14" s="2583"/>
      <c r="Q14" s="2583"/>
      <c r="R14" s="2583"/>
      <c r="S14" s="2583"/>
      <c r="T14" s="2583"/>
      <c r="U14" s="2583"/>
    </row>
    <row r="15" spans="1:21">
      <c r="A15" s="2085"/>
      <c r="B15" s="1379"/>
      <c r="C15" s="1465" t="s">
        <v>1469</v>
      </c>
      <c r="D15" s="1465" t="s">
        <v>1470</v>
      </c>
      <c r="E15" s="1465" t="s">
        <v>1179</v>
      </c>
      <c r="F15" s="1397" t="s">
        <v>1471</v>
      </c>
      <c r="G15" s="1397" t="s">
        <v>1472</v>
      </c>
      <c r="H15" s="1397" t="s">
        <v>776</v>
      </c>
      <c r="I15" s="1397" t="s">
        <v>2737</v>
      </c>
      <c r="J15" s="2602"/>
      <c r="K15" s="2586"/>
      <c r="L15" s="2582"/>
      <c r="M15" s="2582"/>
      <c r="N15" s="2583"/>
      <c r="O15" s="2584"/>
      <c r="P15" s="2583"/>
      <c r="Q15" s="2583"/>
      <c r="R15" s="2583"/>
      <c r="S15" s="2583"/>
      <c r="T15" s="2583"/>
      <c r="U15" s="2583"/>
    </row>
    <row r="16" spans="1:21" ht="46.8">
      <c r="A16" s="2536" t="s">
        <v>1467</v>
      </c>
      <c r="B16" s="1406" t="s">
        <v>1468</v>
      </c>
      <c r="C16" s="1465" t="s">
        <v>1469</v>
      </c>
      <c r="D16" s="1427" t="s">
        <v>2738</v>
      </c>
      <c r="E16" s="1427" t="s">
        <v>1212</v>
      </c>
      <c r="F16" s="1427" t="s">
        <v>2739</v>
      </c>
      <c r="G16" s="1427" t="s">
        <v>2740</v>
      </c>
      <c r="H16" s="1397" t="s">
        <v>776</v>
      </c>
      <c r="I16" s="1397" t="s">
        <v>2737</v>
      </c>
      <c r="J16" s="2602"/>
      <c r="K16" s="1397" t="str">
        <f>IF(D17="","",D16&amp;TEXT(D17,"yyyy年m月d日;;"))</f>
        <v>商业2063年2月26日</v>
      </c>
      <c r="L16" s="1406" t="str">
        <f>IF(OR(K16="",M16=""),"","、")</f>
        <v/>
      </c>
      <c r="M16" s="1397" t="str">
        <f>IF(E17="","",E16&amp;TEXT(E17,"yyyy年m月d日;;"))</f>
        <v/>
      </c>
      <c r="N16" s="1406" t="str">
        <f>IF(OR(M16="",O16=""),"","、")</f>
        <v/>
      </c>
      <c r="O16" s="1397" t="str">
        <f>IF(F17="","",F16&amp;TEXT(F17,"yyyy年m月d日;;"))</f>
        <v/>
      </c>
      <c r="P16" s="1406" t="str">
        <f>IF(OR(O16="",Q16=""),"","、")</f>
        <v/>
      </c>
      <c r="Q16" s="1397" t="str">
        <f>IF(G17="","",G16&amp;TEXT(G17,"yyyy年m月d日;;"))</f>
        <v/>
      </c>
      <c r="R16" s="1406" t="str">
        <f>IF(OR(Q16="",S16=""),"","、")</f>
        <v/>
      </c>
      <c r="S16" s="1397" t="str">
        <f>IF(H17="","",H16&amp;TEXT(H17,"yyyy年m月d日;;"))</f>
        <v/>
      </c>
      <c r="T16" s="1406" t="str">
        <f>IF(OR(S16="",U16=""),"","、")</f>
        <v/>
      </c>
      <c r="U16" s="1397" t="str">
        <f>IF(I17="","",I16&amp;TEXT(I17,"yyyy年m月d日;;"))</f>
        <v/>
      </c>
    </row>
    <row r="17" spans="1:21">
      <c r="A17" s="3080" t="s">
        <v>2741</v>
      </c>
      <c r="B17" s="2537" t="s">
        <v>1473</v>
      </c>
      <c r="C17" s="3079">
        <v>70551</v>
      </c>
      <c r="D17" s="3079">
        <v>59593</v>
      </c>
      <c r="E17" s="3079"/>
      <c r="F17" s="3079"/>
      <c r="G17" s="3079"/>
      <c r="H17" s="3079"/>
      <c r="I17" s="3079"/>
      <c r="J17" s="2602"/>
      <c r="K17" s="2581" t="str">
        <f>CONCATENATE(K16,L16,M16,N16,O16,P16,Q16,R16,S16,T16,,U16)</f>
        <v>商业2063年2月26日</v>
      </c>
      <c r="L17" s="2582"/>
      <c r="M17" s="2582"/>
      <c r="N17" s="2583"/>
      <c r="O17" s="2584"/>
      <c r="P17" s="2583"/>
      <c r="Q17" s="2583"/>
      <c r="R17" s="2583"/>
      <c r="S17" s="2583"/>
      <c r="T17" s="2583"/>
      <c r="U17" s="2583"/>
    </row>
    <row r="18" spans="1:21">
      <c r="A18" s="1462"/>
      <c r="B18" s="2537" t="s">
        <v>1474</v>
      </c>
      <c r="C18" s="1395">
        <v>70</v>
      </c>
      <c r="D18" s="1395">
        <v>40</v>
      </c>
      <c r="E18" s="1395"/>
      <c r="F18" s="1395"/>
      <c r="G18" s="1395"/>
      <c r="H18" s="1395"/>
      <c r="I18" s="1395"/>
      <c r="J18" s="2602"/>
      <c r="K18" s="2586"/>
      <c r="L18" s="2582"/>
      <c r="M18" s="2582"/>
      <c r="N18" s="2583"/>
      <c r="O18" s="2584"/>
      <c r="P18" s="2583"/>
      <c r="Q18" s="2583"/>
      <c r="R18" s="2583"/>
      <c r="S18" s="2583"/>
      <c r="T18" s="2583"/>
      <c r="U18" s="2583"/>
    </row>
    <row r="19" spans="1:21">
      <c r="A19" s="1462"/>
      <c r="B19" s="1376" t="s">
        <v>1475</v>
      </c>
      <c r="C19" s="1457">
        <f>IF(A17="出让",IF(C17="","",ROUNDDOWN(MIN((C17-$D$3)/365,C18),2)),C18)</f>
        <v>67.67</v>
      </c>
      <c r="D19" s="1457">
        <f>IF(A17="出让",IF(D17="","",ROUNDDOWN(MIN((D17-$D$3)/365,D18),2)),D18)</f>
        <v>37.65</v>
      </c>
      <c r="E19" s="1396" t="str">
        <f>IF(A17="出让",IF(E17="","",ROUNDDOWN(MIN((E17-$D$3)/365,E18),2)),E18)</f>
        <v/>
      </c>
      <c r="F19" s="1396" t="str">
        <f>IF(A17="出让",IF(F17="","",ROUNDDOWN(MIN((F17-$D$3)/365,F18),2)),F18)</f>
        <v/>
      </c>
      <c r="G19" s="1396" t="str">
        <f>IF(A17="出让",IF(G17="","",ROUNDDOWN(MIN((G17-$D$3)/365,G18),2)),G18)</f>
        <v/>
      </c>
      <c r="H19" s="1396" t="str">
        <f>IF(A17="出让",IF(H17="","",ROUNDDOWN(MIN((H17-$D$3)/365,H18),2)),H18)</f>
        <v/>
      </c>
      <c r="I19" s="1396" t="str">
        <f>IF(A17="出让",IF(I17="","",ROUNDDOWN(MIN((I17-$D$3)/365,I18),2)),I18)</f>
        <v/>
      </c>
      <c r="J19" s="2602"/>
      <c r="K19" s="2586"/>
      <c r="L19" s="2582"/>
      <c r="M19" s="2582"/>
      <c r="N19" s="2583"/>
      <c r="O19" s="2584"/>
      <c r="P19" s="2583"/>
      <c r="Q19" s="2583"/>
      <c r="R19" s="2583"/>
      <c r="S19" s="2583"/>
      <c r="T19" s="2583"/>
      <c r="U19" s="2583"/>
    </row>
    <row r="20" spans="1:21">
      <c r="A20" s="1480"/>
      <c r="B20" s="1481"/>
      <c r="C20" s="1482" t="s">
        <v>1578</v>
      </c>
      <c r="D20" s="3488"/>
      <c r="E20" s="3489"/>
      <c r="F20" s="3489"/>
      <c r="G20" s="3489"/>
      <c r="H20" s="3489"/>
      <c r="I20" s="3490"/>
      <c r="J20" s="2602"/>
      <c r="K20" s="2586"/>
      <c r="L20" s="2582"/>
      <c r="M20" s="2582"/>
      <c r="N20" s="2583"/>
      <c r="O20" s="2584"/>
      <c r="P20" s="2583"/>
      <c r="Q20" s="2583"/>
      <c r="R20" s="2583"/>
      <c r="S20" s="2583"/>
      <c r="T20" s="2583"/>
      <c r="U20" s="2583"/>
    </row>
    <row r="21" spans="1:21">
      <c r="A21" s="1462" t="s">
        <v>1476</v>
      </c>
      <c r="B21" s="1463" t="s">
        <v>1477</v>
      </c>
      <c r="C21" s="1458">
        <f>'数据-汇总表'!E3</f>
        <v>28022</v>
      </c>
      <c r="D21" s="1459" t="s">
        <v>1478</v>
      </c>
      <c r="E21" s="3478" t="s">
        <v>1516</v>
      </c>
      <c r="F21" s="3479"/>
      <c r="G21" s="3479"/>
      <c r="H21" s="3479"/>
      <c r="I21" s="3480"/>
      <c r="J21" s="2602"/>
      <c r="K21" s="2586"/>
      <c r="L21" s="2582"/>
      <c r="M21" s="2582"/>
      <c r="N21" s="2583"/>
      <c r="O21" s="2584"/>
      <c r="P21" s="2583"/>
      <c r="Q21" s="2583"/>
      <c r="R21" s="2583"/>
      <c r="S21" s="2583"/>
      <c r="T21" s="2583"/>
      <c r="U21" s="2583"/>
    </row>
    <row r="22" spans="1:21">
      <c r="A22" s="2365" t="s">
        <v>877</v>
      </c>
      <c r="B22" s="1377" t="s">
        <v>1479</v>
      </c>
      <c r="C22" s="1397">
        <f>'数据-汇总表'!D3</f>
        <v>21555</v>
      </c>
      <c r="D22" s="1398" t="s">
        <v>1478</v>
      </c>
      <c r="E22" s="3478" t="s">
        <v>2165</v>
      </c>
      <c r="F22" s="3479"/>
      <c r="G22" s="3479"/>
      <c r="H22" s="3479"/>
      <c r="I22" s="3480"/>
      <c r="J22" s="2602"/>
      <c r="K22" s="2586"/>
      <c r="L22" s="2582"/>
      <c r="M22" s="2582"/>
      <c r="N22" s="2583"/>
      <c r="O22" s="2584"/>
      <c r="P22" s="2583"/>
      <c r="Q22" s="2583"/>
      <c r="R22" s="2583"/>
      <c r="S22" s="2583"/>
      <c r="T22" s="2583"/>
      <c r="U22" s="2583"/>
    </row>
    <row r="23" spans="1:21" ht="31.8" thickBot="1">
      <c r="A23" s="1464" t="s">
        <v>1480</v>
      </c>
      <c r="B23" s="1407" t="s">
        <v>1481</v>
      </c>
      <c r="C23" s="1408" t="s">
        <v>3337</v>
      </c>
      <c r="D23" s="1409" t="s">
        <v>1482</v>
      </c>
      <c r="E23" s="1410"/>
      <c r="F23" s="1411" t="str">
        <f>IF(AND(C23="是",E23="否"),"是否提供他项权证或相关说明","")</f>
        <v/>
      </c>
      <c r="G23" s="1412"/>
      <c r="H23" s="2602"/>
      <c r="I23" s="2603"/>
      <c r="J23" s="2602"/>
      <c r="K23" s="2586"/>
      <c r="L23" s="2582"/>
      <c r="M23" s="2582"/>
      <c r="N23" s="2583"/>
      <c r="O23" s="2584"/>
      <c r="P23" s="2583"/>
      <c r="Q23" s="2583"/>
      <c r="R23" s="2583"/>
      <c r="S23" s="2583"/>
      <c r="T23" s="2583"/>
      <c r="U23" s="2583"/>
    </row>
    <row r="24" spans="1:21">
      <c r="A24" s="1449" t="s">
        <v>1483</v>
      </c>
      <c r="B24" s="3481" t="s">
        <v>1484</v>
      </c>
      <c r="C24" s="3482"/>
      <c r="D24" s="3483" t="s">
        <v>1485</v>
      </c>
      <c r="E24" s="3484"/>
      <c r="F24" s="1413" t="s">
        <v>1486</v>
      </c>
      <c r="G24" s="2602"/>
      <c r="H24" s="2602"/>
      <c r="I24" s="2603"/>
      <c r="J24" s="2602"/>
      <c r="K24" s="3469" t="s">
        <v>1487</v>
      </c>
      <c r="L24" s="197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8"/>
      <c r="N24" s="2583"/>
      <c r="O24" s="2584"/>
      <c r="P24" s="2583"/>
      <c r="Q24" s="2583"/>
      <c r="R24" s="2583"/>
      <c r="S24" s="2583"/>
      <c r="T24" s="2583"/>
      <c r="U24" s="2583"/>
    </row>
    <row r="25" spans="1:21" ht="31.2">
      <c r="A25" s="1450"/>
      <c r="B25" s="1447" t="s">
        <v>1682</v>
      </c>
      <c r="C25" s="1414" t="s">
        <v>1488</v>
      </c>
      <c r="D25" s="1415"/>
      <c r="E25" s="1416" t="s">
        <v>877</v>
      </c>
      <c r="F25" s="1417"/>
      <c r="G25" s="2602"/>
      <c r="H25" s="2602"/>
      <c r="I25" s="2603"/>
      <c r="J25" s="2602"/>
      <c r="K25" s="3469"/>
      <c r="L25" s="19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428"/>
      <c r="N25" s="2583"/>
      <c r="O25" s="2584"/>
      <c r="P25" s="2583"/>
      <c r="Q25" s="2583"/>
      <c r="R25" s="2583"/>
      <c r="S25" s="2583"/>
      <c r="T25" s="2583"/>
      <c r="U25" s="2583"/>
    </row>
    <row r="26" spans="1:21" ht="47.4" thickBot="1">
      <c r="A26" s="1451"/>
      <c r="B26" s="1448" t="s">
        <v>1489</v>
      </c>
      <c r="C26" s="1414" t="s">
        <v>1683</v>
      </c>
      <c r="D26" s="2602"/>
      <c r="E26" s="2602"/>
      <c r="F26" s="2607"/>
      <c r="G26" s="2602"/>
      <c r="H26" s="2602"/>
      <c r="I26" s="2603"/>
      <c r="J26" s="2602"/>
      <c r="K26" s="3469"/>
      <c r="L26" s="19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83"/>
      <c r="O26" s="2584"/>
      <c r="P26" s="2583"/>
      <c r="Q26" s="2583"/>
      <c r="R26" s="2583"/>
      <c r="S26" s="2583"/>
      <c r="T26" s="2583"/>
      <c r="U26" s="2583"/>
    </row>
    <row r="27" spans="1:21">
      <c r="A27" s="1454" t="s">
        <v>1490</v>
      </c>
      <c r="B27" s="1452" t="s">
        <v>1491</v>
      </c>
      <c r="C27" s="1418"/>
      <c r="D27" s="2089" t="s">
        <v>1491</v>
      </c>
      <c r="E27" s="1419"/>
      <c r="F27" s="2607"/>
      <c r="G27" s="2602"/>
      <c r="H27" s="2602"/>
      <c r="I27" s="2603"/>
      <c r="J27" s="2602"/>
      <c r="K27" s="2586"/>
      <c r="L27" s="2582"/>
      <c r="M27" s="2582"/>
      <c r="N27" s="2583"/>
      <c r="O27" s="2584"/>
      <c r="P27" s="2583"/>
      <c r="Q27" s="2583"/>
      <c r="R27" s="2583"/>
      <c r="S27" s="2583"/>
      <c r="T27" s="2583"/>
      <c r="U27" s="2583"/>
    </row>
    <row r="28" spans="1:21">
      <c r="A28" s="1455"/>
      <c r="B28" s="1452" t="s">
        <v>1492</v>
      </c>
      <c r="C28" s="1420"/>
      <c r="D28" s="2090" t="s">
        <v>1492</v>
      </c>
      <c r="E28" s="1421"/>
      <c r="F28" s="2607"/>
      <c r="G28" s="2602"/>
      <c r="H28" s="2602"/>
      <c r="I28" s="2603"/>
      <c r="J28" s="2602"/>
      <c r="K28" s="2586"/>
      <c r="L28" s="2582"/>
      <c r="M28" s="2582"/>
      <c r="N28" s="2583"/>
      <c r="O28" s="2584"/>
      <c r="P28" s="2583"/>
      <c r="Q28" s="2583"/>
      <c r="R28" s="2583"/>
      <c r="S28" s="2583"/>
      <c r="T28" s="2583"/>
      <c r="U28" s="2583"/>
    </row>
    <row r="29" spans="1:21">
      <c r="A29" s="1455"/>
      <c r="B29" s="1452" t="s">
        <v>1493</v>
      </c>
      <c r="C29" s="1420"/>
      <c r="D29" s="2090" t="s">
        <v>1493</v>
      </c>
      <c r="E29" s="1421"/>
      <c r="F29" s="2607"/>
      <c r="G29" s="2602"/>
      <c r="H29" s="2602"/>
      <c r="I29" s="2603"/>
      <c r="J29" s="2602"/>
      <c r="K29" s="2586"/>
      <c r="L29" s="2582"/>
      <c r="M29" s="2582"/>
      <c r="N29" s="2583"/>
      <c r="O29" s="2584"/>
      <c r="P29" s="2583"/>
      <c r="Q29" s="2583"/>
      <c r="R29" s="2583"/>
      <c r="S29" s="2583"/>
      <c r="T29" s="2583"/>
      <c r="U29" s="2583"/>
    </row>
    <row r="30" spans="1:21" ht="16.2" thickBot="1">
      <c r="A30" s="1456"/>
      <c r="B30" s="1453" t="s">
        <v>1494</v>
      </c>
      <c r="C30" s="1422"/>
      <c r="D30" s="2091" t="s">
        <v>1494</v>
      </c>
      <c r="E30" s="1423"/>
      <c r="F30" s="2608"/>
      <c r="G30" s="2605"/>
      <c r="H30" s="2605"/>
      <c r="I30" s="2606"/>
      <c r="J30" s="2602"/>
      <c r="K30" s="2586"/>
      <c r="L30" s="2582"/>
      <c r="M30" s="2582"/>
      <c r="N30" s="2583"/>
      <c r="O30" s="2584"/>
      <c r="P30" s="2583"/>
      <c r="Q30" s="2583"/>
      <c r="R30" s="2583"/>
      <c r="S30" s="2583"/>
      <c r="T30" s="2583"/>
      <c r="U30" s="2583"/>
    </row>
    <row r="31" spans="1:21" ht="16.2" thickTop="1">
      <c r="A31" s="3496" t="s">
        <v>1519</v>
      </c>
      <c r="B31" s="1463" t="s">
        <v>1520</v>
      </c>
      <c r="C31" s="3494" t="s">
        <v>3338</v>
      </c>
      <c r="D31" s="3495"/>
      <c r="E31" s="2602"/>
      <c r="F31" s="2602"/>
      <c r="G31" s="2602"/>
      <c r="H31" s="2602"/>
      <c r="I31" s="2603"/>
      <c r="J31" s="2602"/>
      <c r="K31" s="2589"/>
      <c r="L31" s="2583"/>
      <c r="M31" s="2583"/>
      <c r="N31" s="2583"/>
      <c r="O31" s="2583"/>
      <c r="P31" s="2583"/>
      <c r="Q31" s="2583"/>
      <c r="R31" s="2583"/>
      <c r="S31" s="2583"/>
      <c r="T31" s="2583"/>
      <c r="U31" s="2583"/>
    </row>
    <row r="32" spans="1:21">
      <c r="A32" s="3496"/>
      <c r="B32" s="1377" t="s">
        <v>1521</v>
      </c>
      <c r="C32" s="1424"/>
      <c r="D32" s="1425"/>
      <c r="E32" s="2602"/>
      <c r="F32" s="2602"/>
      <c r="G32" s="2602"/>
      <c r="H32" s="2602"/>
      <c r="I32" s="2603"/>
      <c r="J32" s="2602"/>
      <c r="K32" s="2589"/>
      <c r="L32" s="2583"/>
      <c r="M32" s="2583"/>
      <c r="N32" s="2583"/>
      <c r="O32" s="2583"/>
      <c r="P32" s="2583"/>
      <c r="Q32" s="2583"/>
      <c r="R32" s="2583"/>
      <c r="S32" s="2583"/>
      <c r="T32" s="2583"/>
      <c r="U32" s="2583"/>
    </row>
    <row r="33" spans="1:28">
      <c r="A33" s="3496"/>
      <c r="B33" s="1377" t="s">
        <v>1522</v>
      </c>
      <c r="C33" s="1426"/>
      <c r="D33" s="1526"/>
      <c r="E33" s="2602"/>
      <c r="F33" s="2602"/>
      <c r="G33" s="2602"/>
      <c r="H33" s="2602"/>
      <c r="I33" s="2603"/>
      <c r="J33" s="2602"/>
      <c r="K33" s="2589"/>
      <c r="L33" s="2583"/>
      <c r="M33" s="2583"/>
      <c r="N33" s="2583"/>
      <c r="O33" s="2583"/>
      <c r="P33" s="2583"/>
      <c r="Q33" s="2583"/>
      <c r="R33" s="2583"/>
      <c r="S33" s="2583"/>
      <c r="T33" s="2583"/>
      <c r="U33" s="2583"/>
    </row>
    <row r="34" spans="1:28">
      <c r="A34" s="3497"/>
      <c r="B34" s="1377" t="s">
        <v>1523</v>
      </c>
      <c r="C34" s="3498"/>
      <c r="D34" s="3499"/>
      <c r="E34" s="2602"/>
      <c r="F34" s="2602"/>
      <c r="G34" s="2602"/>
      <c r="H34" s="2602"/>
      <c r="I34" s="2603"/>
      <c r="J34" s="2602"/>
      <c r="K34" s="2589"/>
      <c r="L34" s="2583"/>
      <c r="M34" s="2583"/>
      <c r="N34" s="2583"/>
      <c r="O34" s="2583"/>
      <c r="P34" s="2583"/>
      <c r="Q34" s="2583"/>
      <c r="R34" s="2583"/>
      <c r="S34" s="2583"/>
      <c r="T34" s="2583"/>
      <c r="U34" s="2583"/>
    </row>
    <row r="35" spans="1:28">
      <c r="A35" s="3500" t="s">
        <v>785</v>
      </c>
      <c r="B35" s="1427"/>
      <c r="C35" s="1471" t="str">
        <f>IF(B35="场地平整","——","具体情况：")</f>
        <v>具体情况：</v>
      </c>
      <c r="D35" s="3502"/>
      <c r="E35" s="3503"/>
      <c r="F35" s="3503"/>
      <c r="G35" s="3503"/>
      <c r="H35" s="3503"/>
      <c r="I35" s="3504"/>
      <c r="J35" s="2602"/>
      <c r="K35" s="2590"/>
      <c r="L35" s="2582"/>
      <c r="M35" s="2582"/>
      <c r="N35" s="2583"/>
      <c r="O35" s="2584"/>
      <c r="P35" s="2583"/>
      <c r="Q35" s="2583"/>
      <c r="R35" s="2583"/>
      <c r="S35" s="2583"/>
      <c r="T35" s="2583"/>
      <c r="U35" s="2583"/>
    </row>
    <row r="36" spans="1:28">
      <c r="A36" s="3496"/>
      <c r="B36" s="3505" t="s">
        <v>1572</v>
      </c>
      <c r="C36" s="3506"/>
      <c r="D36" s="1486"/>
      <c r="E36" s="3507"/>
      <c r="F36" s="3507"/>
      <c r="G36" s="1398" t="str">
        <f>IF(B35="场地未平整","估价结果处理","")</f>
        <v/>
      </c>
      <c r="H36" s="3508"/>
      <c r="I36" s="3508"/>
      <c r="J36" s="2602"/>
      <c r="K36" s="2590"/>
      <c r="L36" s="2582"/>
      <c r="M36" s="2582"/>
      <c r="N36" s="2583"/>
      <c r="O36" s="2584"/>
      <c r="P36" s="2583"/>
      <c r="Q36" s="2583"/>
      <c r="R36" s="2583"/>
      <c r="S36" s="2583"/>
      <c r="T36" s="2583"/>
      <c r="U36" s="2583"/>
    </row>
    <row r="37" spans="1:28" ht="31.2">
      <c r="A37" s="3496"/>
      <c r="B37" s="3485" t="s">
        <v>786</v>
      </c>
      <c r="C37" s="1429" t="s">
        <v>787</v>
      </c>
      <c r="D37" s="1430"/>
      <c r="E37" s="1431"/>
      <c r="F37" s="2602"/>
      <c r="G37" s="2602"/>
      <c r="H37" s="2602"/>
      <c r="I37" s="2603"/>
      <c r="J37" s="2602"/>
      <c r="K37" s="2590"/>
      <c r="L37" s="2583"/>
      <c r="M37" s="2583"/>
      <c r="N37" s="2583"/>
      <c r="O37" s="2583"/>
      <c r="P37" s="2583"/>
      <c r="Q37" s="2583"/>
      <c r="R37" s="2583"/>
      <c r="S37" s="2583"/>
      <c r="T37" s="2583"/>
      <c r="U37" s="2583"/>
    </row>
    <row r="38" spans="1:28">
      <c r="A38" s="3496"/>
      <c r="B38" s="3486"/>
      <c r="C38" s="1385" t="s">
        <v>788</v>
      </c>
      <c r="D38" s="1485">
        <f>ROUNDDOWN(MIN(('数据-取费表'!$B$2-D37)/365,D34),1)</f>
        <v>125.6</v>
      </c>
      <c r="E38" s="1432" t="s">
        <v>789</v>
      </c>
      <c r="F38" s="2602"/>
      <c r="G38" s="2602"/>
      <c r="H38" s="2602"/>
      <c r="I38" s="2603"/>
      <c r="J38" s="2602"/>
      <c r="K38" s="2590"/>
      <c r="L38" s="2583"/>
      <c r="M38" s="2583"/>
      <c r="N38" s="2583"/>
      <c r="O38" s="2583"/>
      <c r="P38" s="2583"/>
      <c r="Q38" s="2583"/>
      <c r="R38" s="2583"/>
      <c r="S38" s="2583"/>
      <c r="T38" s="2583"/>
      <c r="U38" s="2583"/>
    </row>
    <row r="39" spans="1:28">
      <c r="A39" s="3497"/>
      <c r="B39" s="3487"/>
      <c r="C39" s="1404" t="str">
        <f>IF(D38&lt;1,"不存在土地闲置",IF(B35="宗地内已开工建设","已开工，不存在土地闲置","估价对象已涉嫌土地闲置"))</f>
        <v>估价对象已涉嫌土地闲置</v>
      </c>
      <c r="D39" s="1433"/>
      <c r="E39" s="1434"/>
      <c r="F39" s="2602"/>
      <c r="G39" s="2602"/>
      <c r="H39" s="2602"/>
      <c r="I39" s="2603"/>
      <c r="J39" s="2602"/>
      <c r="K39" s="2586"/>
      <c r="L39" s="2582"/>
      <c r="M39" s="2582"/>
      <c r="N39" s="2583"/>
      <c r="O39" s="2584"/>
      <c r="P39" s="2583"/>
      <c r="Q39" s="2583"/>
      <c r="R39" s="2583"/>
      <c r="S39" s="2583"/>
      <c r="T39" s="2583"/>
      <c r="U39" s="2583"/>
    </row>
    <row r="40" spans="1:28">
      <c r="A40" s="1398" t="s">
        <v>1495</v>
      </c>
      <c r="B40" s="1399"/>
      <c r="C40" s="1399"/>
      <c r="D40" s="1399"/>
      <c r="E40" s="1399"/>
      <c r="F40" s="1399"/>
      <c r="G40" s="1399"/>
      <c r="H40" s="1399"/>
      <c r="I40" s="2603"/>
      <c r="J40" s="2602"/>
      <c r="K40" s="1435">
        <f>COUNTIF(B40:H40,"——")</f>
        <v>0</v>
      </c>
      <c r="L40" s="1406" t="s">
        <v>1496</v>
      </c>
      <c r="M40" s="1403" t="s">
        <v>1497</v>
      </c>
      <c r="N40" s="1403" t="s">
        <v>1498</v>
      </c>
      <c r="O40" s="1403" t="s">
        <v>1499</v>
      </c>
      <c r="P40" s="1403" t="s">
        <v>1500</v>
      </c>
      <c r="Q40" s="1403" t="s">
        <v>1501</v>
      </c>
      <c r="R40" s="1403" t="s">
        <v>1502</v>
      </c>
      <c r="S40" s="3468" t="s">
        <v>1503</v>
      </c>
      <c r="T40" s="1406" t="str">
        <f>NUMBERSTRING(7-K40,1)&amp;"通"</f>
        <v>七通</v>
      </c>
      <c r="U40" s="2583"/>
    </row>
    <row r="41" spans="1:28" ht="31.2">
      <c r="A41" s="1379"/>
      <c r="B41" s="3501" t="s">
        <v>1250</v>
      </c>
      <c r="C41" s="3501"/>
      <c r="D41" s="3501"/>
      <c r="E41" s="3501"/>
      <c r="F41" s="1436" t="str">
        <f>C10</f>
        <v>江苏省淮安市淮安区</v>
      </c>
      <c r="G41" s="2602"/>
      <c r="H41" s="2602"/>
      <c r="I41" s="2603"/>
      <c r="J41" s="2602"/>
      <c r="K41" s="1406"/>
      <c r="L41" s="1403">
        <f>B40</f>
        <v>0</v>
      </c>
      <c r="M41" s="1437" t="str">
        <f>B40&amp;"、"&amp;C40</f>
        <v>、</v>
      </c>
      <c r="N41" s="1438" t="str">
        <f>B40&amp;"、"&amp;C40&amp;"、"&amp;D40</f>
        <v>、、</v>
      </c>
      <c r="O41" s="1438" t="str">
        <f>B40&amp;"、"&amp;C40&amp;"、"&amp;D40&amp;"、"&amp;E40</f>
        <v>、、、</v>
      </c>
      <c r="P41" s="1438" t="str">
        <f>B40&amp;"、"&amp;C40&amp;"、"&amp;D40&amp;"、"&amp;E40&amp;"、"&amp;F40</f>
        <v>、、、、</v>
      </c>
      <c r="Q41" s="1438" t="str">
        <f>B40&amp;"、"&amp;C40&amp;"、"&amp;D40&amp;"、"&amp;E40&amp;"、"&amp;F40&amp;"、"&amp;G40</f>
        <v>、、、、、</v>
      </c>
      <c r="R41" s="1438" t="str">
        <f>B40&amp;"、"&amp;C40&amp;"、"&amp;D40&amp;"、"&amp;E40&amp;"、"&amp;F40&amp;"、"&amp;G40&amp;"、"&amp;H40</f>
        <v>、、、、、、</v>
      </c>
      <c r="S41" s="3468"/>
      <c r="T41" s="1437" t="str">
        <f>IF(T40="一通",L41,IF(T40="二通",M41,IF(T40="三通",N41,IF(T40="四通",O41,IF(T40="五通",P41,IF(T40="六通",Q41,R41))))))</f>
        <v>、、、、、、</v>
      </c>
      <c r="U41" s="2583"/>
    </row>
    <row r="42" spans="1:28">
      <c r="A42" s="1439"/>
      <c r="B42" s="1465" t="s">
        <v>1422</v>
      </c>
      <c r="C42" s="1465" t="s">
        <v>1423</v>
      </c>
      <c r="D42" s="1465" t="s">
        <v>1424</v>
      </c>
      <c r="E42" s="1465" t="s">
        <v>2742</v>
      </c>
      <c r="F42" s="1465" t="s">
        <v>2743</v>
      </c>
      <c r="G42" s="2602"/>
      <c r="H42" s="2602"/>
      <c r="I42" s="2603"/>
      <c r="J42" s="2602"/>
      <c r="K42" s="2586"/>
      <c r="L42" s="2582"/>
      <c r="M42" s="2582"/>
      <c r="N42" s="2583"/>
      <c r="O42" s="2584"/>
      <c r="P42" s="2583"/>
      <c r="Q42" s="2583"/>
      <c r="R42" s="2583"/>
      <c r="S42" s="2583"/>
      <c r="T42" s="2583"/>
      <c r="U42" s="2583"/>
    </row>
    <row r="43" spans="1:28">
      <c r="A43" s="2558" t="s">
        <v>1235</v>
      </c>
      <c r="B43" s="1441"/>
      <c r="C43" s="1441"/>
      <c r="D43" s="1441"/>
      <c r="E43" s="1441"/>
      <c r="F43" s="1441"/>
      <c r="G43" s="2602"/>
      <c r="H43" s="2602"/>
      <c r="I43" s="2603"/>
      <c r="J43" s="2602"/>
      <c r="K43" s="2586"/>
      <c r="L43" s="2582"/>
      <c r="M43" s="2582"/>
      <c r="N43" s="2583"/>
      <c r="O43" s="2584"/>
      <c r="P43" s="2583"/>
      <c r="Q43" s="2583"/>
      <c r="R43" s="2583"/>
      <c r="S43" s="2583"/>
      <c r="T43" s="2583"/>
      <c r="U43" s="2583"/>
    </row>
    <row r="44" spans="1:28">
      <c r="A44" s="2558" t="s">
        <v>1236</v>
      </c>
      <c r="B44" s="1441"/>
      <c r="C44" s="1441"/>
      <c r="D44" s="1441"/>
      <c r="E44" s="1486"/>
      <c r="F44" s="1486"/>
      <c r="G44" s="2602"/>
      <c r="H44" s="2602"/>
      <c r="I44" s="2603"/>
      <c r="J44" s="2602"/>
      <c r="K44" s="2586"/>
      <c r="L44" s="2582"/>
      <c r="M44" s="2582"/>
      <c r="N44" s="2583"/>
      <c r="O44" s="2584"/>
      <c r="P44" s="2583"/>
      <c r="Q44" s="2583"/>
      <c r="R44" s="2583"/>
      <c r="S44" s="2583"/>
      <c r="T44" s="2583"/>
      <c r="U44" s="2583"/>
    </row>
    <row r="45" spans="1:28" s="2339" customFormat="1" ht="21" thickBot="1">
      <c r="A45" s="2340" t="s">
        <v>2166</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6"/>
      <c r="B46" s="1376"/>
      <c r="C46" s="1376"/>
      <c r="D46" s="1376"/>
      <c r="E46" s="1376"/>
      <c r="F46" s="1376"/>
      <c r="G46" s="1376"/>
      <c r="H46" s="1376"/>
      <c r="I46" s="1402"/>
      <c r="J46" s="1376"/>
      <c r="K46" s="2586"/>
      <c r="L46" s="2582"/>
      <c r="M46" s="2582"/>
      <c r="N46" s="2583"/>
      <c r="O46" s="2584"/>
      <c r="P46" s="2583"/>
      <c r="Q46" s="2583"/>
      <c r="R46" s="2583"/>
      <c r="S46" s="2583"/>
      <c r="T46" s="2583"/>
      <c r="U46" s="2583"/>
    </row>
    <row r="47" spans="1:28">
      <c r="A47" s="1442" t="s">
        <v>1524</v>
      </c>
      <c r="B47" s="1443"/>
      <c r="C47" s="1434"/>
      <c r="D47" s="1376"/>
      <c r="E47" s="1376"/>
      <c r="F47" s="1376"/>
      <c r="G47" s="1376"/>
      <c r="H47" s="1376"/>
      <c r="I47" s="1402"/>
      <c r="J47" s="1376"/>
      <c r="K47" s="2586"/>
      <c r="L47" s="2582"/>
      <c r="M47" s="2582"/>
      <c r="N47" s="2583"/>
      <c r="O47" s="2584"/>
      <c r="P47" s="2583"/>
      <c r="Q47" s="2583"/>
      <c r="R47" s="2583"/>
      <c r="S47" s="2583"/>
      <c r="T47" s="2583"/>
      <c r="U47" s="2583"/>
    </row>
    <row r="48" spans="1:28" ht="46.8">
      <c r="A48" s="1406" t="s">
        <v>1525</v>
      </c>
      <c r="B48" s="1397" t="s">
        <v>1526</v>
      </c>
      <c r="C48" s="1397" t="s">
        <v>1527</v>
      </c>
      <c r="D48" s="1397" t="s">
        <v>1528</v>
      </c>
      <c r="E48" s="1397" t="s">
        <v>1529</v>
      </c>
      <c r="F48" s="1397" t="s">
        <v>1530</v>
      </c>
      <c r="G48" s="1397" t="s">
        <v>1531</v>
      </c>
      <c r="H48" s="1397" t="s">
        <v>1532</v>
      </c>
      <c r="I48" s="1397" t="s">
        <v>1533</v>
      </c>
      <c r="J48" s="1470" t="s">
        <v>1534</v>
      </c>
      <c r="K48" s="2596" t="s">
        <v>1535</v>
      </c>
      <c r="L48" s="2596" t="s">
        <v>1536</v>
      </c>
      <c r="M48" s="2596" t="s">
        <v>1537</v>
      </c>
      <c r="N48" s="2597" t="s">
        <v>1538</v>
      </c>
      <c r="O48" s="2597" t="s">
        <v>1539</v>
      </c>
      <c r="P48" s="2597" t="s">
        <v>1540</v>
      </c>
      <c r="Q48" s="2588" t="s">
        <v>1541</v>
      </c>
      <c r="R48" s="2588" t="s">
        <v>1542</v>
      </c>
      <c r="S48" s="2583"/>
      <c r="T48" s="2583"/>
      <c r="U48" s="2583"/>
    </row>
    <row r="49" spans="1:21">
      <c r="A49" s="1403"/>
      <c r="B49" s="1435"/>
      <c r="C49" s="1435"/>
      <c r="D49" s="1435"/>
      <c r="E49" s="1435"/>
      <c r="F49" s="1435"/>
      <c r="G49" s="1435"/>
      <c r="H49" s="1435"/>
      <c r="I49" s="1435"/>
      <c r="J49" s="1527"/>
      <c r="K49" s="2598"/>
      <c r="L49" s="2598"/>
      <c r="M49" s="1440"/>
      <c r="N49" s="1440"/>
      <c r="O49" s="1440"/>
      <c r="P49" s="1440"/>
      <c r="Q49" s="1440"/>
      <c r="R49" s="1440"/>
      <c r="S49" s="2583"/>
      <c r="T49" s="2583"/>
      <c r="U49" s="2583"/>
    </row>
    <row r="50" spans="1:21">
      <c r="A50" s="1403"/>
      <c r="B50" s="1403"/>
      <c r="C50" s="1435"/>
      <c r="D50" s="1435"/>
      <c r="E50" s="1435"/>
      <c r="F50" s="1435"/>
      <c r="G50" s="1435"/>
      <c r="H50" s="1435"/>
      <c r="I50" s="1435"/>
      <c r="J50" s="1527"/>
      <c r="K50" s="2598"/>
      <c r="L50" s="2598"/>
      <c r="M50" s="1440"/>
      <c r="N50" s="1440"/>
      <c r="O50" s="1440"/>
      <c r="P50" s="1440"/>
      <c r="Q50" s="1440"/>
      <c r="R50" s="1440"/>
      <c r="S50" s="2583"/>
      <c r="T50" s="2583"/>
      <c r="U50" s="2583"/>
    </row>
    <row r="51" spans="1:21">
      <c r="A51" s="1403"/>
      <c r="B51" s="1403"/>
      <c r="C51" s="1435"/>
      <c r="D51" s="1435"/>
      <c r="E51" s="1435"/>
      <c r="F51" s="1435"/>
      <c r="G51" s="1435"/>
      <c r="H51" s="1435"/>
      <c r="I51" s="1435"/>
      <c r="J51" s="1527"/>
      <c r="K51" s="2598"/>
      <c r="L51" s="2598"/>
      <c r="M51" s="1440"/>
      <c r="N51" s="1440"/>
      <c r="O51" s="1440"/>
      <c r="P51" s="1440"/>
      <c r="Q51" s="1440"/>
      <c r="R51" s="1440"/>
      <c r="S51" s="2583"/>
      <c r="T51" s="2583"/>
      <c r="U51" s="2583"/>
    </row>
    <row r="52" spans="1:21">
      <c r="A52" s="1403"/>
      <c r="B52" s="1403"/>
      <c r="C52" s="1435"/>
      <c r="D52" s="1435"/>
      <c r="E52" s="1435"/>
      <c r="F52" s="1435"/>
      <c r="G52" s="1435"/>
      <c r="H52" s="1435"/>
      <c r="I52" s="1435"/>
      <c r="J52" s="1527"/>
      <c r="K52" s="2598"/>
      <c r="L52" s="2598"/>
      <c r="M52" s="1440"/>
      <c r="N52" s="1440"/>
      <c r="O52" s="1440"/>
      <c r="P52" s="1440"/>
      <c r="Q52" s="1440"/>
      <c r="R52" s="1440"/>
      <c r="S52" s="2583"/>
      <c r="T52" s="2583"/>
      <c r="U52" s="2583"/>
    </row>
    <row r="53" spans="1:21">
      <c r="A53" s="1403"/>
      <c r="B53" s="1403"/>
      <c r="C53" s="1435"/>
      <c r="D53" s="1435"/>
      <c r="E53" s="1435"/>
      <c r="F53" s="1435"/>
      <c r="G53" s="1435"/>
      <c r="H53" s="1435"/>
      <c r="I53" s="1435"/>
      <c r="J53" s="1527"/>
      <c r="K53" s="2598"/>
      <c r="L53" s="2598"/>
      <c r="M53" s="1440"/>
      <c r="N53" s="1440"/>
      <c r="O53" s="1440"/>
      <c r="P53" s="1440"/>
      <c r="Q53" s="1440"/>
      <c r="R53" s="1440"/>
      <c r="S53" s="2583"/>
      <c r="T53" s="2583"/>
      <c r="U53" s="2583"/>
    </row>
    <row r="54" spans="1:21">
      <c r="A54" s="1403"/>
      <c r="B54" s="1403"/>
      <c r="C54" s="1403"/>
      <c r="D54" s="1403"/>
      <c r="E54" s="1403"/>
      <c r="F54" s="1435"/>
      <c r="G54" s="1403"/>
      <c r="H54" s="1403"/>
      <c r="I54" s="1403"/>
      <c r="J54" s="1528"/>
      <c r="K54" s="2598"/>
      <c r="L54" s="2598"/>
      <c r="M54" s="2598"/>
      <c r="N54" s="2555"/>
      <c r="O54" s="2555"/>
      <c r="P54" s="2555"/>
      <c r="Q54" s="2555"/>
      <c r="R54" s="2555"/>
      <c r="S54" s="2583"/>
      <c r="T54" s="2583"/>
      <c r="U54" s="2583"/>
    </row>
    <row r="55" spans="1:21">
      <c r="A55" s="1403"/>
      <c r="B55" s="1403"/>
      <c r="C55" s="1403"/>
      <c r="D55" s="1403"/>
      <c r="E55" s="1403"/>
      <c r="F55" s="1435"/>
      <c r="G55" s="1403"/>
      <c r="H55" s="1403"/>
      <c r="I55" s="1403"/>
      <c r="J55" s="1528"/>
      <c r="K55" s="2598"/>
      <c r="L55" s="2598"/>
      <c r="M55" s="2598"/>
      <c r="N55" s="2555"/>
      <c r="O55" s="2555"/>
      <c r="P55" s="2555"/>
      <c r="Q55" s="2555"/>
      <c r="R55" s="2555"/>
      <c r="S55" s="2583"/>
      <c r="T55" s="2583"/>
      <c r="U55" s="2583"/>
    </row>
    <row r="56" spans="1:21">
      <c r="A56" s="1403"/>
      <c r="B56" s="1403"/>
      <c r="C56" s="1403"/>
      <c r="D56" s="1403"/>
      <c r="E56" s="1403"/>
      <c r="F56" s="1435"/>
      <c r="G56" s="1403"/>
      <c r="H56" s="1403"/>
      <c r="I56" s="1403"/>
      <c r="J56" s="1528"/>
      <c r="K56" s="2598"/>
      <c r="L56" s="2598"/>
      <c r="M56" s="2598"/>
      <c r="N56" s="2555"/>
      <c r="O56" s="2555"/>
      <c r="P56" s="2555"/>
      <c r="Q56" s="2555"/>
      <c r="R56" s="2555"/>
      <c r="S56" s="2583"/>
      <c r="T56" s="2583"/>
      <c r="U56" s="2583"/>
    </row>
    <row r="57" spans="1:21">
      <c r="A57" s="1403"/>
      <c r="B57" s="1403"/>
      <c r="C57" s="1403"/>
      <c r="D57" s="1403"/>
      <c r="E57" s="1403"/>
      <c r="F57" s="1435"/>
      <c r="G57" s="1403"/>
      <c r="H57" s="1403"/>
      <c r="I57" s="1403"/>
      <c r="J57" s="1528"/>
      <c r="K57" s="2598"/>
      <c r="L57" s="2598"/>
      <c r="M57" s="2598"/>
      <c r="N57" s="2555"/>
      <c r="O57" s="2555"/>
      <c r="P57" s="2555"/>
      <c r="Q57" s="2555"/>
      <c r="R57" s="2555"/>
      <c r="S57" s="2583"/>
      <c r="T57" s="2583"/>
      <c r="U57" s="2583"/>
    </row>
    <row r="58" spans="1:21">
      <c r="A58" s="1403"/>
      <c r="B58" s="1403"/>
      <c r="C58" s="1403"/>
      <c r="D58" s="1403"/>
      <c r="E58" s="1403"/>
      <c r="F58" s="1435"/>
      <c r="G58" s="1403"/>
      <c r="H58" s="1403"/>
      <c r="I58" s="1403"/>
      <c r="J58" s="1528"/>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K14" sqref="K14"/>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5" t="s">
        <v>1690</v>
      </c>
      <c r="BA2" s="1926" t="s">
        <v>1689</v>
      </c>
      <c r="BB2" s="38"/>
      <c r="BC2" s="38"/>
      <c r="BD2" s="38"/>
      <c r="BE2" s="38"/>
      <c r="BF2" s="38"/>
      <c r="BG2" s="38"/>
      <c r="BH2" s="38"/>
      <c r="BI2" s="38"/>
      <c r="BJ2" s="38"/>
      <c r="BK2" s="38"/>
      <c r="BL2" s="38"/>
      <c r="BM2" s="38"/>
      <c r="BN2" s="38"/>
      <c r="BO2" s="38"/>
      <c r="BP2" s="38"/>
      <c r="BQ2" s="38"/>
      <c r="BR2" s="38"/>
      <c r="BS2" s="38"/>
      <c r="BT2" s="38"/>
    </row>
    <row r="3" spans="1:72" s="15" customFormat="1" ht="13.2">
      <c r="A3" s="18">
        <v>21555</v>
      </c>
      <c r="B3" s="19">
        <f>IF(C3="否",G5-AT5,G5)</f>
        <v>28022</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7"/>
      <c r="BB3" s="38"/>
      <c r="BC3" s="38"/>
      <c r="BD3" s="38"/>
      <c r="BE3" s="38"/>
      <c r="BF3" s="38"/>
      <c r="BG3" s="38"/>
      <c r="BH3" s="38"/>
      <c r="BI3" s="38"/>
      <c r="BJ3" s="38"/>
      <c r="BK3" s="38"/>
      <c r="BL3" s="38"/>
      <c r="BM3" s="38"/>
      <c r="BN3" s="38"/>
      <c r="BO3" s="38"/>
      <c r="BP3" s="38"/>
      <c r="BQ3" s="38"/>
      <c r="BR3" s="38"/>
      <c r="BS3" s="38"/>
      <c r="BT3" s="38"/>
    </row>
    <row r="4" spans="1:72" s="15" customFormat="1"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3.2">
      <c r="A5" s="22" t="s">
        <v>134</v>
      </c>
      <c r="B5" s="904"/>
      <c r="C5" s="904"/>
      <c r="D5" s="910"/>
      <c r="E5" s="23" t="s">
        <v>0</v>
      </c>
      <c r="F5" s="23">
        <f>SUM(F13:F572)</f>
        <v>0</v>
      </c>
      <c r="G5" s="23">
        <f>SUM(G13:G572)</f>
        <v>28022</v>
      </c>
      <c r="H5" s="23">
        <f t="shared" ref="H5:AT5" si="0">SUM(H13:H641)</f>
        <v>28022</v>
      </c>
      <c r="I5" s="23">
        <f t="shared" si="0"/>
        <v>26901.119999999999</v>
      </c>
      <c r="J5" s="23">
        <f t="shared" si="0"/>
        <v>0</v>
      </c>
      <c r="K5" s="23">
        <f t="shared" si="0"/>
        <v>1120.8800000000001</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3"/>
      <c r="AV5" s="22" t="s">
        <v>134</v>
      </c>
      <c r="AW5" s="904"/>
      <c r="AX5" s="904"/>
      <c r="AY5" s="24" t="s">
        <v>2</v>
      </c>
      <c r="AZ5" s="25">
        <f t="shared" ref="AZ5:BT5" si="1">SUM(AZ13:AZ641)</f>
        <v>28022</v>
      </c>
      <c r="BA5" s="25">
        <f t="shared" si="1"/>
        <v>28022</v>
      </c>
      <c r="BB5" s="25">
        <f t="shared" si="1"/>
        <v>26901.119999999999</v>
      </c>
      <c r="BC5" s="25">
        <f t="shared" si="1"/>
        <v>1120.8800000000001</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3.2">
      <c r="A6" s="22" t="s">
        <v>135</v>
      </c>
      <c r="B6" s="27"/>
      <c r="C6" s="27"/>
      <c r="D6" s="28"/>
      <c r="E6" s="23">
        <f>H6+AC6+AT6</f>
        <v>21555</v>
      </c>
      <c r="F6" s="23" t="s">
        <v>0</v>
      </c>
      <c r="G6" s="23" t="s">
        <v>1</v>
      </c>
      <c r="H6" s="29">
        <f>SUMIF(I$12:AB$12,"总值",I6:AB6)</f>
        <v>21555</v>
      </c>
      <c r="I6" s="23">
        <f t="shared" ref="I6:AB6" si="2">ROUND($A$3*I5/$B$3,2)</f>
        <v>20692.8</v>
      </c>
      <c r="J6" s="23">
        <f t="shared" si="2"/>
        <v>0</v>
      </c>
      <c r="K6" s="23">
        <f t="shared" si="2"/>
        <v>862.2</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21555</v>
      </c>
      <c r="AZ6" s="23" t="s">
        <v>2</v>
      </c>
      <c r="BA6" s="23">
        <f>ROUND($AY$6*BA5/$AZ$5,2)</f>
        <v>21555</v>
      </c>
      <c r="BB6" s="23">
        <f>ROUND($AY$6*BB5/$AZ$5,2)</f>
        <v>20692.8</v>
      </c>
      <c r="BC6" s="23">
        <f t="shared" ref="BC6:BH6" si="4">ROUND($AY$6*BC5/$AZ$5,2)</f>
        <v>862.2</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5.2">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4"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3.2">
      <c r="A9" s="41"/>
      <c r="B9" s="41"/>
      <c r="C9" s="41"/>
      <c r="D9" s="41"/>
      <c r="E9" s="41"/>
      <c r="F9" s="41"/>
      <c r="G9" s="51"/>
      <c r="H9" s="54" t="s">
        <v>154</v>
      </c>
      <c r="I9" s="2303" t="s">
        <v>3340</v>
      </c>
      <c r="J9" s="47"/>
      <c r="K9" s="2303" t="s">
        <v>3340</v>
      </c>
      <c r="L9" s="47"/>
      <c r="M9" s="2303"/>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5"/>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3.2">
      <c r="A10" s="41"/>
      <c r="B10" s="41"/>
      <c r="C10" s="41"/>
      <c r="D10" s="41"/>
      <c r="E10" s="41"/>
      <c r="F10" s="41"/>
      <c r="G10" s="51"/>
      <c r="H10" s="58"/>
      <c r="I10" s="2303" t="s">
        <v>851</v>
      </c>
      <c r="J10" s="47"/>
      <c r="K10" s="2305" t="s">
        <v>2738</v>
      </c>
      <c r="L10" s="47"/>
      <c r="M10" s="2305"/>
      <c r="N10" s="47"/>
      <c r="O10" s="62"/>
      <c r="P10" s="47"/>
      <c r="Q10" s="62"/>
      <c r="R10" s="47"/>
      <c r="S10" s="62"/>
      <c r="T10" s="47"/>
      <c r="U10" s="62"/>
      <c r="V10" s="47"/>
      <c r="W10" s="62"/>
      <c r="X10" s="47"/>
      <c r="Y10" s="62"/>
      <c r="Z10" s="47"/>
      <c r="AA10" s="62"/>
      <c r="AB10" s="47"/>
      <c r="AC10" s="51"/>
      <c r="AD10" s="1900" t="s">
        <v>1674</v>
      </c>
      <c r="AE10" s="1922"/>
      <c r="AF10" s="1900" t="s">
        <v>1674</v>
      </c>
      <c r="AG10" s="1922"/>
      <c r="AH10" s="1900" t="s">
        <v>1675</v>
      </c>
      <c r="AI10" s="1922"/>
      <c r="AJ10" s="22" t="s">
        <v>1688</v>
      </c>
      <c r="AK10" s="1919"/>
      <c r="AL10" s="1900" t="s">
        <v>1676</v>
      </c>
      <c r="AM10" s="1901"/>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地上</v>
      </c>
      <c r="BD10" s="65">
        <f>M9</f>
        <v>0</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3.2">
      <c r="A11" s="41"/>
      <c r="B11" s="41"/>
      <c r="C11" s="41"/>
      <c r="D11" s="41"/>
      <c r="E11" s="41"/>
      <c r="F11" s="41"/>
      <c r="G11" s="51"/>
      <c r="H11" s="63"/>
      <c r="I11" s="2304"/>
      <c r="J11" s="67"/>
      <c r="K11" s="2304"/>
      <c r="L11" s="67"/>
      <c r="M11" s="66"/>
      <c r="N11" s="67"/>
      <c r="O11" s="66"/>
      <c r="P11" s="67"/>
      <c r="Q11" s="66"/>
      <c r="R11" s="67"/>
      <c r="S11" s="66"/>
      <c r="T11" s="67"/>
      <c r="U11" s="66"/>
      <c r="V11" s="67"/>
      <c r="W11" s="66"/>
      <c r="X11" s="67"/>
      <c r="Y11" s="66"/>
      <c r="Z11" s="67"/>
      <c r="AA11" s="66"/>
      <c r="AB11" s="67"/>
      <c r="AC11" s="51"/>
      <c r="AD11" s="1920" t="s">
        <v>1687</v>
      </c>
      <c r="AE11" s="916"/>
      <c r="AF11" s="1920" t="s">
        <v>1687</v>
      </c>
      <c r="AG11" s="916"/>
      <c r="AH11" s="1920" t="s">
        <v>1686</v>
      </c>
      <c r="AI11" s="1921"/>
      <c r="AJ11" s="1920" t="s">
        <v>1686</v>
      </c>
      <c r="AK11" s="1919"/>
      <c r="AL11" s="914"/>
      <c r="AM11" s="916"/>
      <c r="AN11" s="914"/>
      <c r="AO11" s="916"/>
      <c r="AP11" s="1033"/>
      <c r="AQ11" s="1035"/>
      <c r="AR11" s="1033"/>
      <c r="AS11" s="1035"/>
      <c r="AT11" s="867"/>
      <c r="AU11" s="41"/>
      <c r="AV11" s="51"/>
      <c r="AW11" s="867"/>
      <c r="AX11" s="51"/>
      <c r="AY11" s="58"/>
      <c r="AZ11" s="58"/>
      <c r="BA11" s="58"/>
      <c r="BB11" s="46" t="str">
        <f>I10</f>
        <v>住宅</v>
      </c>
      <c r="BC11" s="46" t="str">
        <f>K10</f>
        <v>商业</v>
      </c>
      <c r="BD11" s="46">
        <f>M10</f>
        <v>0</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3.2">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3.2">
      <c r="A13" s="2299"/>
      <c r="B13" s="2299"/>
      <c r="C13" s="2299"/>
      <c r="D13" s="2300" t="s">
        <v>3339</v>
      </c>
      <c r="E13" s="23">
        <f t="shared" ref="E13:E20" si="6">IF($C$3="是",ROUND($A$3*G13/$B$3,2),ROUND($A$3*(G13-AT13)/$B$3,2))</f>
        <v>21555</v>
      </c>
      <c r="F13" s="76"/>
      <c r="G13" s="77">
        <f t="shared" ref="G13:G20" si="7">H13+AC13+AT13</f>
        <v>28022</v>
      </c>
      <c r="H13" s="29">
        <f t="shared" ref="H13:H20" si="8">SUMIF(I$12:AB$12,"总值",I13:AB13)</f>
        <v>28022</v>
      </c>
      <c r="I13" s="2302">
        <f>信息!E3</f>
        <v>26901.119999999999</v>
      </c>
      <c r="J13" s="2302"/>
      <c r="K13" s="2302">
        <f>信息!E4</f>
        <v>1120.8800000000001</v>
      </c>
      <c r="L13" s="2302"/>
      <c r="M13" s="2302"/>
      <c r="N13" s="78"/>
      <c r="O13" s="78"/>
      <c r="P13" s="78"/>
      <c r="Q13" s="78"/>
      <c r="R13" s="78"/>
      <c r="S13" s="78"/>
      <c r="T13" s="78"/>
      <c r="U13" s="78"/>
      <c r="V13" s="78"/>
      <c r="W13" s="78"/>
      <c r="X13" s="78"/>
      <c r="Y13" s="78"/>
      <c r="Z13" s="78"/>
      <c r="AA13" s="78"/>
      <c r="AB13" s="78"/>
      <c r="AC13" s="23">
        <f t="shared" ref="AC13:AC20" si="9">SUMIF(AD$12:AS$12,"总值",AD13:AS13)</f>
        <v>0</v>
      </c>
      <c r="AD13" s="2306"/>
      <c r="AE13" s="2306"/>
      <c r="AF13" s="2306"/>
      <c r="AG13" s="2306"/>
      <c r="AH13" s="2306"/>
      <c r="AI13" s="2306"/>
      <c r="AJ13" s="2306"/>
      <c r="AK13" s="2306"/>
      <c r="AL13" s="2306"/>
      <c r="AM13" s="2306"/>
      <c r="AN13" s="2306"/>
      <c r="AO13" s="2306"/>
      <c r="AP13" s="2306"/>
      <c r="AQ13" s="2306"/>
      <c r="AR13" s="2306"/>
      <c r="AS13" s="2306"/>
      <c r="AT13" s="2307"/>
      <c r="AU13" s="2308"/>
      <c r="AV13" s="14">
        <f t="shared" ref="AV13:AX20" si="10">A13</f>
        <v>0</v>
      </c>
      <c r="AW13" s="14">
        <f t="shared" si="10"/>
        <v>0</v>
      </c>
      <c r="AX13" s="14">
        <f t="shared" si="10"/>
        <v>0</v>
      </c>
      <c r="AY13" s="910">
        <f t="shared" ref="AY13:AY20" si="11">ROUND($AY$6*AZ13/$AZ$5,2)</f>
        <v>21555</v>
      </c>
      <c r="AZ13" s="23">
        <f t="shared" ref="AZ13:AZ20" si="12">BA13+BL13</f>
        <v>28022</v>
      </c>
      <c r="BA13" s="23">
        <f t="shared" ref="BA13:BA20" si="13">SUM(BB13:BK13)</f>
        <v>28022</v>
      </c>
      <c r="BB13" s="23">
        <f t="shared" ref="BB13:BB20" si="14">IF($D13="是",I13-J13,0)</f>
        <v>26901.119999999999</v>
      </c>
      <c r="BC13" s="23">
        <f t="shared" ref="BC13:BC20" si="15">IF($D13="是",K13-L13,0)</f>
        <v>1120.8800000000001</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3.2">
      <c r="A14" s="2299"/>
      <c r="B14" s="2299"/>
      <c r="C14" s="2301"/>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3.2">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3.2">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3.2">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ht="15.6">
      <c r="A18" s="79"/>
      <c r="B18" s="80"/>
      <c r="C18" s="80"/>
      <c r="D18" s="2300"/>
      <c r="E18" s="81">
        <f t="shared" si="6"/>
        <v>0</v>
      </c>
      <c r="F18" s="82"/>
      <c r="G18" s="83">
        <f t="shared" si="7"/>
        <v>0</v>
      </c>
      <c r="H18" s="84">
        <f t="shared" si="8"/>
        <v>0</v>
      </c>
      <c r="I18" s="1179"/>
      <c r="J18" s="85"/>
      <c r="K18" s="1179"/>
      <c r="L18" s="85"/>
      <c r="M18" s="85"/>
      <c r="N18" s="85"/>
      <c r="O18" s="85"/>
      <c r="P18" s="85"/>
      <c r="Q18" s="85"/>
      <c r="R18" s="85"/>
      <c r="S18" s="85"/>
      <c r="T18" s="85"/>
      <c r="U18" s="85"/>
      <c r="V18" s="85"/>
      <c r="W18" s="85"/>
      <c r="X18" s="85"/>
      <c r="Y18" s="85"/>
      <c r="Z18" s="85"/>
      <c r="AA18" s="85"/>
      <c r="AB18" s="85"/>
      <c r="AC18" s="81">
        <f t="shared" si="9"/>
        <v>0</v>
      </c>
      <c r="AD18" s="86"/>
      <c r="AE18" s="86"/>
      <c r="AF18" s="1179"/>
      <c r="AG18" s="86"/>
      <c r="AH18" s="86"/>
      <c r="AI18" s="86"/>
      <c r="AJ18" s="86"/>
      <c r="AK18" s="86"/>
      <c r="AL18" s="1158"/>
      <c r="AM18" s="86"/>
      <c r="AN18" s="1179"/>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ht="15.6">
      <c r="A19" s="79"/>
      <c r="B19" s="1181"/>
      <c r="C19" s="1179"/>
      <c r="D19" s="2300"/>
      <c r="E19" s="81">
        <f t="shared" si="6"/>
        <v>0</v>
      </c>
      <c r="F19" s="82"/>
      <c r="G19" s="83">
        <f t="shared" si="7"/>
        <v>0</v>
      </c>
      <c r="H19" s="84">
        <f t="shared" si="8"/>
        <v>0</v>
      </c>
      <c r="I19" s="1179"/>
      <c r="J19" s="85"/>
      <c r="K19" s="1179"/>
      <c r="L19" s="85"/>
      <c r="M19" s="85"/>
      <c r="N19" s="85"/>
      <c r="O19" s="85"/>
      <c r="P19" s="85"/>
      <c r="Q19" s="85"/>
      <c r="R19" s="85"/>
      <c r="S19" s="85"/>
      <c r="T19" s="85"/>
      <c r="U19" s="85"/>
      <c r="V19" s="85"/>
      <c r="W19" s="85"/>
      <c r="X19" s="85"/>
      <c r="Y19" s="85"/>
      <c r="Z19" s="85"/>
      <c r="AA19" s="85"/>
      <c r="AB19" s="85"/>
      <c r="AC19" s="81">
        <f t="shared" si="9"/>
        <v>0</v>
      </c>
      <c r="AD19" s="86"/>
      <c r="AE19" s="86"/>
      <c r="AF19" s="1179"/>
      <c r="AG19" s="86"/>
      <c r="AH19" s="86"/>
      <c r="AI19" s="86"/>
      <c r="AJ19" s="86"/>
      <c r="AK19" s="86"/>
      <c r="AL19" s="86"/>
      <c r="AM19" s="86"/>
      <c r="AN19" s="1179"/>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ht="15.6">
      <c r="A20" s="79"/>
      <c r="B20" s="1181"/>
      <c r="C20" s="1179"/>
      <c r="D20" s="2300"/>
      <c r="E20" s="81">
        <f t="shared" si="6"/>
        <v>0</v>
      </c>
      <c r="F20" s="82"/>
      <c r="G20" s="83">
        <f t="shared" si="7"/>
        <v>0</v>
      </c>
      <c r="H20" s="84">
        <f t="shared" si="8"/>
        <v>0</v>
      </c>
      <c r="I20" s="1179"/>
      <c r="J20" s="85"/>
      <c r="K20" s="1179"/>
      <c r="L20" s="85"/>
      <c r="M20" s="85"/>
      <c r="N20" s="85"/>
      <c r="O20" s="85"/>
      <c r="P20" s="85"/>
      <c r="Q20" s="85"/>
      <c r="R20" s="85"/>
      <c r="S20" s="85"/>
      <c r="T20" s="85"/>
      <c r="U20" s="85"/>
      <c r="V20" s="85"/>
      <c r="W20" s="85"/>
      <c r="X20" s="85"/>
      <c r="Y20" s="85"/>
      <c r="Z20" s="85"/>
      <c r="AA20" s="85"/>
      <c r="AB20" s="85"/>
      <c r="AC20" s="81">
        <f t="shared" si="9"/>
        <v>0</v>
      </c>
      <c r="AD20" s="86"/>
      <c r="AE20" s="86"/>
      <c r="AF20" s="1179"/>
      <c r="AG20" s="86"/>
      <c r="AH20" s="86"/>
      <c r="AI20" s="86"/>
      <c r="AJ20" s="86"/>
      <c r="AK20" s="86"/>
      <c r="AL20" s="86"/>
      <c r="AM20" s="86"/>
      <c r="AN20" s="1179"/>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ht="15.6">
      <c r="A21" s="79"/>
      <c r="B21" s="1178"/>
      <c r="C21" s="1179"/>
      <c r="D21" s="2300"/>
      <c r="E21" s="81">
        <f t="shared" ref="E21:E112" si="33">IF($C$3="是",ROUND($A$3*G21/$B$3,2),ROUND($A$3*(G21-AT21)/$B$3,2))</f>
        <v>0</v>
      </c>
      <c r="F21" s="82"/>
      <c r="G21" s="83">
        <f t="shared" ref="G21:G109" si="34">H21+AC21+AT21</f>
        <v>0</v>
      </c>
      <c r="H21" s="84">
        <f t="shared" ref="H21:H109" si="35">SUMIF(I$12:AB$12,"总值",I21:AB21)</f>
        <v>0</v>
      </c>
      <c r="I21" s="1179"/>
      <c r="J21" s="85"/>
      <c r="K21" s="1179"/>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0"/>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ht="15.6">
      <c r="A22" s="79"/>
      <c r="B22" s="1178"/>
      <c r="C22" s="1179"/>
      <c r="D22" s="2300"/>
      <c r="E22" s="81">
        <f t="shared" si="33"/>
        <v>0</v>
      </c>
      <c r="F22" s="82"/>
      <c r="G22" s="83">
        <f t="shared" si="34"/>
        <v>0</v>
      </c>
      <c r="H22" s="84">
        <f t="shared" si="35"/>
        <v>0</v>
      </c>
      <c r="I22" s="1179"/>
      <c r="J22" s="85"/>
      <c r="K22" s="1179"/>
      <c r="L22" s="85"/>
      <c r="M22" s="1158"/>
      <c r="N22" s="85"/>
      <c r="O22" s="85"/>
      <c r="P22" s="85"/>
      <c r="Q22" s="85"/>
      <c r="R22" s="85"/>
      <c r="S22" s="85"/>
      <c r="T22" s="85"/>
      <c r="U22" s="85"/>
      <c r="V22" s="85"/>
      <c r="W22" s="85"/>
      <c r="X22" s="85"/>
      <c r="Y22" s="85"/>
      <c r="Z22" s="85"/>
      <c r="AA22" s="85"/>
      <c r="AB22" s="85"/>
      <c r="AC22" s="81">
        <f t="shared" si="36"/>
        <v>0</v>
      </c>
      <c r="AD22" s="1158"/>
      <c r="AE22" s="86"/>
      <c r="AF22" s="1180"/>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ht="15.6">
      <c r="A23" s="79"/>
      <c r="B23" s="1178"/>
      <c r="C23" s="1179"/>
      <c r="D23" s="2300"/>
      <c r="E23" s="81">
        <f t="shared" si="33"/>
        <v>0</v>
      </c>
      <c r="F23" s="82"/>
      <c r="G23" s="83">
        <f t="shared" si="34"/>
        <v>0</v>
      </c>
      <c r="H23" s="84">
        <f t="shared" si="35"/>
        <v>0</v>
      </c>
      <c r="I23" s="1179"/>
      <c r="J23" s="85"/>
      <c r="K23" s="1179"/>
      <c r="L23" s="85"/>
      <c r="M23" s="1158"/>
      <c r="N23" s="85"/>
      <c r="O23" s="85"/>
      <c r="P23" s="85"/>
      <c r="Q23" s="85"/>
      <c r="R23" s="85"/>
      <c r="S23" s="85"/>
      <c r="T23" s="85"/>
      <c r="U23" s="85"/>
      <c r="V23" s="85"/>
      <c r="W23" s="85"/>
      <c r="X23" s="85"/>
      <c r="Y23" s="85"/>
      <c r="Z23" s="85"/>
      <c r="AA23" s="85"/>
      <c r="AB23" s="85"/>
      <c r="AC23" s="81">
        <f t="shared" si="36"/>
        <v>0</v>
      </c>
      <c r="AD23" s="86"/>
      <c r="AE23" s="86"/>
      <c r="AF23" s="1180"/>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ht="15.6">
      <c r="A24" s="79"/>
      <c r="B24" s="1178"/>
      <c r="C24" s="1179"/>
      <c r="D24" s="2300"/>
      <c r="E24" s="81">
        <f t="shared" si="33"/>
        <v>0</v>
      </c>
      <c r="F24" s="82"/>
      <c r="G24" s="83">
        <f t="shared" si="34"/>
        <v>0</v>
      </c>
      <c r="H24" s="84">
        <f t="shared" si="35"/>
        <v>0</v>
      </c>
      <c r="I24" s="1179"/>
      <c r="J24" s="85"/>
      <c r="K24" s="1179"/>
      <c r="L24" s="85"/>
      <c r="M24" s="85"/>
      <c r="N24" s="85"/>
      <c r="O24" s="1158"/>
      <c r="P24" s="85"/>
      <c r="Q24" s="85"/>
      <c r="R24" s="85"/>
      <c r="S24" s="85"/>
      <c r="T24" s="85"/>
      <c r="U24" s="85"/>
      <c r="V24" s="85"/>
      <c r="W24" s="85"/>
      <c r="X24" s="85"/>
      <c r="Y24" s="85"/>
      <c r="Z24" s="85"/>
      <c r="AA24" s="85"/>
      <c r="AB24" s="85"/>
      <c r="AC24" s="81">
        <f t="shared" si="36"/>
        <v>0</v>
      </c>
      <c r="AD24" s="86"/>
      <c r="AE24" s="86"/>
      <c r="AF24" s="1180"/>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ht="15.6">
      <c r="A25" s="79"/>
      <c r="B25" s="1178"/>
      <c r="C25" s="1179"/>
      <c r="D25" s="2300"/>
      <c r="E25" s="81">
        <f t="shared" si="33"/>
        <v>0</v>
      </c>
      <c r="F25" s="82"/>
      <c r="G25" s="83">
        <f t="shared" si="34"/>
        <v>0</v>
      </c>
      <c r="H25" s="84">
        <f t="shared" si="35"/>
        <v>0</v>
      </c>
      <c r="I25" s="1179"/>
      <c r="J25" s="85"/>
      <c r="K25" s="1179"/>
      <c r="L25" s="85"/>
      <c r="M25" s="85"/>
      <c r="N25" s="85"/>
      <c r="O25" s="85"/>
      <c r="P25" s="85"/>
      <c r="Q25" s="85"/>
      <c r="R25" s="85"/>
      <c r="S25" s="85"/>
      <c r="T25" s="85"/>
      <c r="U25" s="85"/>
      <c r="V25" s="85"/>
      <c r="W25" s="85"/>
      <c r="X25" s="85"/>
      <c r="Y25" s="85"/>
      <c r="Z25" s="85"/>
      <c r="AA25" s="85"/>
      <c r="AB25" s="85"/>
      <c r="AC25" s="81">
        <f t="shared" si="36"/>
        <v>0</v>
      </c>
      <c r="AD25" s="86"/>
      <c r="AE25" s="86"/>
      <c r="AF25" s="1180"/>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ht="15.6">
      <c r="A26" s="79"/>
      <c r="B26" s="1178"/>
      <c r="C26" s="1179"/>
      <c r="D26" s="2300"/>
      <c r="E26" s="81">
        <f t="shared" si="33"/>
        <v>0</v>
      </c>
      <c r="F26" s="82"/>
      <c r="G26" s="83">
        <f t="shared" si="34"/>
        <v>0</v>
      </c>
      <c r="H26" s="84">
        <f t="shared" si="35"/>
        <v>0</v>
      </c>
      <c r="I26" s="1179"/>
      <c r="J26" s="85"/>
      <c r="K26" s="1179"/>
      <c r="L26" s="85"/>
      <c r="M26" s="85"/>
      <c r="N26" s="85"/>
      <c r="O26" s="85"/>
      <c r="P26" s="85"/>
      <c r="Q26" s="85"/>
      <c r="R26" s="85"/>
      <c r="S26" s="85"/>
      <c r="T26" s="85"/>
      <c r="U26" s="85"/>
      <c r="V26" s="85"/>
      <c r="W26" s="85"/>
      <c r="X26" s="85"/>
      <c r="Y26" s="85"/>
      <c r="Z26" s="85"/>
      <c r="AA26" s="85"/>
      <c r="AB26" s="85"/>
      <c r="AC26" s="81">
        <f t="shared" si="36"/>
        <v>0</v>
      </c>
      <c r="AD26" s="86"/>
      <c r="AE26" s="86"/>
      <c r="AF26" s="1180"/>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ht="15.6">
      <c r="A27" s="79"/>
      <c r="B27" s="1178"/>
      <c r="C27" s="1179"/>
      <c r="D27" s="2300"/>
      <c r="E27" s="81">
        <f t="shared" si="33"/>
        <v>0</v>
      </c>
      <c r="F27" s="82"/>
      <c r="G27" s="83">
        <f t="shared" si="34"/>
        <v>0</v>
      </c>
      <c r="H27" s="84">
        <f t="shared" si="35"/>
        <v>0</v>
      </c>
      <c r="I27" s="1179"/>
      <c r="J27" s="85"/>
      <c r="K27" s="1179"/>
      <c r="L27" s="85"/>
      <c r="M27" s="85"/>
      <c r="N27" s="85"/>
      <c r="O27" s="85"/>
      <c r="P27" s="85"/>
      <c r="Q27" s="85"/>
      <c r="R27" s="85"/>
      <c r="S27" s="85"/>
      <c r="T27" s="85"/>
      <c r="U27" s="85"/>
      <c r="V27" s="85"/>
      <c r="W27" s="85"/>
      <c r="X27" s="85"/>
      <c r="Y27" s="85"/>
      <c r="Z27" s="85"/>
      <c r="AA27" s="85"/>
      <c r="AB27" s="85"/>
      <c r="AC27" s="81">
        <f t="shared" si="36"/>
        <v>0</v>
      </c>
      <c r="AD27" s="86"/>
      <c r="AE27" s="86"/>
      <c r="AF27" s="1180"/>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ht="15.6">
      <c r="A28" s="79"/>
      <c r="B28" s="1178"/>
      <c r="C28" s="1179"/>
      <c r="D28" s="2300"/>
      <c r="E28" s="81">
        <f t="shared" si="33"/>
        <v>0</v>
      </c>
      <c r="F28" s="82"/>
      <c r="G28" s="83">
        <f t="shared" si="34"/>
        <v>0</v>
      </c>
      <c r="H28" s="84">
        <f t="shared" si="35"/>
        <v>0</v>
      </c>
      <c r="I28" s="1179"/>
      <c r="J28" s="85"/>
      <c r="K28" s="1179"/>
      <c r="L28" s="85"/>
      <c r="M28" s="85"/>
      <c r="N28" s="85"/>
      <c r="O28" s="85"/>
      <c r="P28" s="85"/>
      <c r="Q28" s="85"/>
      <c r="R28" s="85"/>
      <c r="S28" s="85"/>
      <c r="T28" s="85"/>
      <c r="U28" s="85"/>
      <c r="V28" s="85"/>
      <c r="W28" s="85"/>
      <c r="X28" s="85"/>
      <c r="Y28" s="85"/>
      <c r="Z28" s="85"/>
      <c r="AA28" s="85"/>
      <c r="AB28" s="85"/>
      <c r="AC28" s="81">
        <f t="shared" si="36"/>
        <v>0</v>
      </c>
      <c r="AD28" s="86"/>
      <c r="AE28" s="86"/>
      <c r="AF28" s="1179"/>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ht="15.6">
      <c r="A29" s="79"/>
      <c r="B29" s="1178"/>
      <c r="C29" s="1179"/>
      <c r="D29" s="2300"/>
      <c r="E29" s="81">
        <f t="shared" si="33"/>
        <v>0</v>
      </c>
      <c r="F29" s="82"/>
      <c r="G29" s="83">
        <f t="shared" si="34"/>
        <v>0</v>
      </c>
      <c r="H29" s="84">
        <f t="shared" si="35"/>
        <v>0</v>
      </c>
      <c r="I29" s="1179"/>
      <c r="J29" s="85"/>
      <c r="K29" s="1179"/>
      <c r="L29" s="85"/>
      <c r="M29" s="85"/>
      <c r="N29" s="85"/>
      <c r="O29" s="85"/>
      <c r="P29" s="85"/>
      <c r="Q29" s="85"/>
      <c r="R29" s="85"/>
      <c r="S29" s="85"/>
      <c r="T29" s="85"/>
      <c r="U29" s="85"/>
      <c r="V29" s="85"/>
      <c r="W29" s="85"/>
      <c r="X29" s="85"/>
      <c r="Y29" s="85"/>
      <c r="Z29" s="85"/>
      <c r="AA29" s="85"/>
      <c r="AB29" s="85"/>
      <c r="AC29" s="81">
        <f t="shared" si="36"/>
        <v>0</v>
      </c>
      <c r="AD29" s="86"/>
      <c r="AE29" s="86"/>
      <c r="AF29" s="1179"/>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ht="15.6">
      <c r="A30" s="79"/>
      <c r="B30" s="1178"/>
      <c r="C30" s="1179"/>
      <c r="D30" s="2300"/>
      <c r="E30" s="81">
        <f t="shared" si="33"/>
        <v>0</v>
      </c>
      <c r="F30" s="82"/>
      <c r="G30" s="83">
        <f t="shared" si="34"/>
        <v>0</v>
      </c>
      <c r="H30" s="84">
        <f t="shared" si="35"/>
        <v>0</v>
      </c>
      <c r="I30" s="1179"/>
      <c r="J30" s="85"/>
      <c r="K30" s="1179"/>
      <c r="L30" s="85"/>
      <c r="M30" s="85"/>
      <c r="N30" s="85"/>
      <c r="O30" s="85"/>
      <c r="P30" s="85"/>
      <c r="Q30" s="85"/>
      <c r="R30" s="85"/>
      <c r="S30" s="85"/>
      <c r="T30" s="85"/>
      <c r="U30" s="85"/>
      <c r="V30" s="85"/>
      <c r="W30" s="85"/>
      <c r="X30" s="85"/>
      <c r="Y30" s="85"/>
      <c r="Z30" s="85"/>
      <c r="AA30" s="85"/>
      <c r="AB30" s="85"/>
      <c r="AC30" s="81">
        <f t="shared" si="36"/>
        <v>0</v>
      </c>
      <c r="AD30" s="86"/>
      <c r="AE30" s="86"/>
      <c r="AF30" s="1179"/>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ht="15.6">
      <c r="A31" s="79"/>
      <c r="B31" s="1178"/>
      <c r="C31" s="1179"/>
      <c r="D31" s="2300"/>
      <c r="E31" s="81">
        <f t="shared" si="33"/>
        <v>0</v>
      </c>
      <c r="F31" s="82"/>
      <c r="G31" s="83">
        <f t="shared" si="34"/>
        <v>0</v>
      </c>
      <c r="H31" s="84">
        <f t="shared" si="35"/>
        <v>0</v>
      </c>
      <c r="I31" s="1179"/>
      <c r="J31" s="85"/>
      <c r="K31" s="1179"/>
      <c r="L31" s="85"/>
      <c r="M31" s="85"/>
      <c r="N31" s="85"/>
      <c r="O31" s="85"/>
      <c r="P31" s="85"/>
      <c r="Q31" s="85"/>
      <c r="R31" s="85"/>
      <c r="S31" s="85"/>
      <c r="T31" s="85"/>
      <c r="U31" s="85"/>
      <c r="V31" s="85"/>
      <c r="W31" s="85"/>
      <c r="X31" s="85"/>
      <c r="Y31" s="85"/>
      <c r="Z31" s="85"/>
      <c r="AA31" s="85"/>
      <c r="AB31" s="85"/>
      <c r="AC31" s="81">
        <f t="shared" si="36"/>
        <v>0</v>
      </c>
      <c r="AD31" s="86"/>
      <c r="AE31" s="86"/>
      <c r="AF31" s="1179"/>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ht="15.6">
      <c r="A32" s="79"/>
      <c r="B32" s="1178"/>
      <c r="C32" s="1179"/>
      <c r="D32" s="2300"/>
      <c r="E32" s="81">
        <f t="shared" si="33"/>
        <v>0</v>
      </c>
      <c r="F32" s="82"/>
      <c r="G32" s="83">
        <f t="shared" si="34"/>
        <v>0</v>
      </c>
      <c r="H32" s="84">
        <f t="shared" si="35"/>
        <v>0</v>
      </c>
      <c r="I32" s="1179"/>
      <c r="J32" s="85"/>
      <c r="K32" s="1179"/>
      <c r="L32" s="85"/>
      <c r="M32" s="85"/>
      <c r="N32" s="85"/>
      <c r="O32" s="85"/>
      <c r="P32" s="85"/>
      <c r="Q32" s="85"/>
      <c r="R32" s="85"/>
      <c r="S32" s="85"/>
      <c r="T32" s="85"/>
      <c r="U32" s="85"/>
      <c r="V32" s="85"/>
      <c r="W32" s="85"/>
      <c r="X32" s="85"/>
      <c r="Y32" s="85"/>
      <c r="Z32" s="85"/>
      <c r="AA32" s="85"/>
      <c r="AB32" s="85"/>
      <c r="AC32" s="81">
        <f t="shared" si="36"/>
        <v>0</v>
      </c>
      <c r="AD32" s="86"/>
      <c r="AE32" s="86"/>
      <c r="AF32" s="1179"/>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ht="15.6">
      <c r="A33" s="79"/>
      <c r="B33" s="1178"/>
      <c r="C33" s="1179"/>
      <c r="D33" s="2300"/>
      <c r="E33" s="81">
        <f t="shared" si="33"/>
        <v>0</v>
      </c>
      <c r="F33" s="82"/>
      <c r="G33" s="83">
        <f t="shared" si="34"/>
        <v>0</v>
      </c>
      <c r="H33" s="84">
        <f t="shared" si="35"/>
        <v>0</v>
      </c>
      <c r="I33" s="1179"/>
      <c r="J33" s="85"/>
      <c r="K33" s="1179"/>
      <c r="L33" s="85"/>
      <c r="M33" s="85"/>
      <c r="N33" s="85"/>
      <c r="O33" s="85"/>
      <c r="P33" s="85"/>
      <c r="Q33" s="85"/>
      <c r="R33" s="85"/>
      <c r="S33" s="85"/>
      <c r="T33" s="85"/>
      <c r="U33" s="85"/>
      <c r="V33" s="85"/>
      <c r="W33" s="85"/>
      <c r="X33" s="85"/>
      <c r="Y33" s="85"/>
      <c r="Z33" s="85"/>
      <c r="AA33" s="85"/>
      <c r="AB33" s="85"/>
      <c r="AC33" s="81">
        <f t="shared" si="36"/>
        <v>0</v>
      </c>
      <c r="AD33" s="86"/>
      <c r="AE33" s="86"/>
      <c r="AF33" s="1179"/>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ht="15.6">
      <c r="A34" s="79"/>
      <c r="B34" s="1178"/>
      <c r="C34" s="1179"/>
      <c r="D34" s="2300"/>
      <c r="E34" s="81">
        <f t="shared" si="33"/>
        <v>0</v>
      </c>
      <c r="F34" s="82"/>
      <c r="G34" s="83">
        <f t="shared" si="34"/>
        <v>0</v>
      </c>
      <c r="H34" s="84">
        <f t="shared" si="35"/>
        <v>0</v>
      </c>
      <c r="I34" s="1179"/>
      <c r="J34" s="85"/>
      <c r="K34" s="1179"/>
      <c r="L34" s="85"/>
      <c r="M34" s="85"/>
      <c r="N34" s="85"/>
      <c r="O34" s="85"/>
      <c r="P34" s="85"/>
      <c r="Q34" s="85"/>
      <c r="R34" s="85"/>
      <c r="S34" s="85"/>
      <c r="T34" s="85"/>
      <c r="U34" s="85"/>
      <c r="V34" s="85"/>
      <c r="W34" s="85"/>
      <c r="X34" s="85"/>
      <c r="Y34" s="85"/>
      <c r="Z34" s="85"/>
      <c r="AA34" s="85"/>
      <c r="AB34" s="85"/>
      <c r="AC34" s="81">
        <f t="shared" si="36"/>
        <v>0</v>
      </c>
      <c r="AD34" s="86"/>
      <c r="AE34" s="86"/>
      <c r="AF34" s="1179"/>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ht="15.6">
      <c r="A35" s="79"/>
      <c r="B35" s="1178"/>
      <c r="C35" s="1179"/>
      <c r="D35" s="2300"/>
      <c r="E35" s="81">
        <f t="shared" si="33"/>
        <v>0</v>
      </c>
      <c r="F35" s="82"/>
      <c r="G35" s="83">
        <f t="shared" si="34"/>
        <v>0</v>
      </c>
      <c r="H35" s="84">
        <f t="shared" si="35"/>
        <v>0</v>
      </c>
      <c r="I35" s="1179"/>
      <c r="J35" s="85"/>
      <c r="K35" s="1179"/>
      <c r="L35" s="85"/>
      <c r="M35" s="85"/>
      <c r="N35" s="85"/>
      <c r="O35" s="85"/>
      <c r="P35" s="85"/>
      <c r="Q35" s="85"/>
      <c r="R35" s="85"/>
      <c r="S35" s="85"/>
      <c r="T35" s="85"/>
      <c r="U35" s="85"/>
      <c r="V35" s="85"/>
      <c r="W35" s="85"/>
      <c r="X35" s="85"/>
      <c r="Y35" s="85"/>
      <c r="Z35" s="85"/>
      <c r="AA35" s="85"/>
      <c r="AB35" s="85"/>
      <c r="AC35" s="81">
        <f t="shared" si="36"/>
        <v>0</v>
      </c>
      <c r="AD35" s="86"/>
      <c r="AE35" s="86"/>
      <c r="AF35" s="1179"/>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ht="15.6">
      <c r="A36" s="79"/>
      <c r="B36" s="1178"/>
      <c r="C36" s="1179"/>
      <c r="D36" s="2300"/>
      <c r="E36" s="81">
        <f t="shared" si="33"/>
        <v>0</v>
      </c>
      <c r="F36" s="82"/>
      <c r="G36" s="83">
        <f t="shared" si="34"/>
        <v>0</v>
      </c>
      <c r="H36" s="84">
        <f t="shared" si="35"/>
        <v>0</v>
      </c>
      <c r="I36" s="1179"/>
      <c r="J36" s="85"/>
      <c r="K36" s="1179"/>
      <c r="L36" s="85"/>
      <c r="M36" s="85"/>
      <c r="N36" s="85"/>
      <c r="O36" s="85"/>
      <c r="P36" s="85"/>
      <c r="Q36" s="85"/>
      <c r="R36" s="85"/>
      <c r="S36" s="85"/>
      <c r="T36" s="85"/>
      <c r="U36" s="85"/>
      <c r="V36" s="85"/>
      <c r="W36" s="85"/>
      <c r="X36" s="85"/>
      <c r="Y36" s="85"/>
      <c r="Z36" s="85"/>
      <c r="AA36" s="85"/>
      <c r="AB36" s="85"/>
      <c r="AC36" s="81">
        <f t="shared" si="36"/>
        <v>0</v>
      </c>
      <c r="AD36" s="86"/>
      <c r="AE36" s="86"/>
      <c r="AF36" s="1179"/>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ht="15.6">
      <c r="A37" s="79"/>
      <c r="B37" s="1178"/>
      <c r="C37" s="1179"/>
      <c r="D37" s="2300"/>
      <c r="E37" s="81">
        <f t="shared" si="33"/>
        <v>0</v>
      </c>
      <c r="F37" s="82"/>
      <c r="G37" s="83">
        <f t="shared" si="34"/>
        <v>0</v>
      </c>
      <c r="H37" s="84">
        <f t="shared" si="35"/>
        <v>0</v>
      </c>
      <c r="I37" s="1179"/>
      <c r="J37" s="85"/>
      <c r="K37" s="1179"/>
      <c r="L37" s="85"/>
      <c r="M37" s="85"/>
      <c r="N37" s="85"/>
      <c r="O37" s="85"/>
      <c r="P37" s="85"/>
      <c r="Q37" s="85"/>
      <c r="R37" s="85"/>
      <c r="S37" s="85"/>
      <c r="T37" s="85"/>
      <c r="U37" s="85"/>
      <c r="V37" s="85"/>
      <c r="W37" s="85"/>
      <c r="X37" s="85"/>
      <c r="Y37" s="85"/>
      <c r="Z37" s="85"/>
      <c r="AA37" s="85"/>
      <c r="AB37" s="85"/>
      <c r="AC37" s="81">
        <f t="shared" si="36"/>
        <v>0</v>
      </c>
      <c r="AD37" s="86"/>
      <c r="AE37" s="86"/>
      <c r="AF37" s="1179"/>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ht="15.6">
      <c r="A38" s="79"/>
      <c r="B38" s="1178"/>
      <c r="C38" s="1179"/>
      <c r="D38" s="2300"/>
      <c r="E38" s="81">
        <f t="shared" si="33"/>
        <v>0</v>
      </c>
      <c r="F38" s="82"/>
      <c r="G38" s="83">
        <f t="shared" si="34"/>
        <v>0</v>
      </c>
      <c r="H38" s="84">
        <f t="shared" si="35"/>
        <v>0</v>
      </c>
      <c r="I38" s="1179"/>
      <c r="J38" s="85"/>
      <c r="K38" s="1179"/>
      <c r="L38" s="85"/>
      <c r="M38" s="85"/>
      <c r="N38" s="85"/>
      <c r="O38" s="85"/>
      <c r="P38" s="85"/>
      <c r="Q38" s="85"/>
      <c r="R38" s="85"/>
      <c r="S38" s="85"/>
      <c r="T38" s="85"/>
      <c r="U38" s="85"/>
      <c r="V38" s="85"/>
      <c r="W38" s="85"/>
      <c r="X38" s="85"/>
      <c r="Y38" s="85"/>
      <c r="Z38" s="85"/>
      <c r="AA38" s="85"/>
      <c r="AB38" s="85"/>
      <c r="AC38" s="81">
        <f t="shared" si="36"/>
        <v>0</v>
      </c>
      <c r="AD38" s="86"/>
      <c r="AE38" s="86"/>
      <c r="AF38" s="1179"/>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ht="15.6">
      <c r="A39" s="79"/>
      <c r="B39" s="1178"/>
      <c r="C39" s="1179"/>
      <c r="D39" s="2300"/>
      <c r="E39" s="81">
        <f t="shared" si="33"/>
        <v>0</v>
      </c>
      <c r="F39" s="82"/>
      <c r="G39" s="83">
        <f t="shared" si="34"/>
        <v>0</v>
      </c>
      <c r="H39" s="84">
        <f t="shared" si="35"/>
        <v>0</v>
      </c>
      <c r="I39" s="1179"/>
      <c r="J39" s="85"/>
      <c r="K39" s="1179"/>
      <c r="L39" s="85"/>
      <c r="M39" s="85"/>
      <c r="N39" s="85"/>
      <c r="O39" s="85"/>
      <c r="P39" s="85"/>
      <c r="Q39" s="85"/>
      <c r="R39" s="85"/>
      <c r="S39" s="85"/>
      <c r="T39" s="85"/>
      <c r="U39" s="85"/>
      <c r="V39" s="85"/>
      <c r="W39" s="85"/>
      <c r="X39" s="85"/>
      <c r="Y39" s="85"/>
      <c r="Z39" s="85"/>
      <c r="AA39" s="85"/>
      <c r="AB39" s="85"/>
      <c r="AC39" s="81">
        <f t="shared" si="36"/>
        <v>0</v>
      </c>
      <c r="AD39" s="86"/>
      <c r="AE39" s="86"/>
      <c r="AF39" s="1179"/>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ht="15.6">
      <c r="A40" s="79"/>
      <c r="B40" s="1178"/>
      <c r="C40" s="1179"/>
      <c r="D40" s="2300"/>
      <c r="E40" s="81">
        <f t="shared" si="33"/>
        <v>0</v>
      </c>
      <c r="F40" s="82"/>
      <c r="G40" s="83">
        <f t="shared" si="34"/>
        <v>0</v>
      </c>
      <c r="H40" s="84">
        <f t="shared" si="35"/>
        <v>0</v>
      </c>
      <c r="I40" s="1179"/>
      <c r="J40" s="85"/>
      <c r="K40" s="1179"/>
      <c r="L40" s="85"/>
      <c r="M40" s="85"/>
      <c r="N40" s="85"/>
      <c r="O40" s="85"/>
      <c r="P40" s="85"/>
      <c r="Q40" s="85"/>
      <c r="R40" s="85"/>
      <c r="S40" s="85"/>
      <c r="T40" s="85"/>
      <c r="U40" s="85"/>
      <c r="V40" s="85"/>
      <c r="W40" s="85"/>
      <c r="X40" s="85"/>
      <c r="Y40" s="85"/>
      <c r="Z40" s="85"/>
      <c r="AA40" s="85"/>
      <c r="AB40" s="85"/>
      <c r="AC40" s="81">
        <f t="shared" si="36"/>
        <v>0</v>
      </c>
      <c r="AD40" s="86"/>
      <c r="AE40" s="86"/>
      <c r="AF40" s="1179"/>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ht="15.6">
      <c r="A41" s="79"/>
      <c r="B41" s="1178"/>
      <c r="C41" s="1179"/>
      <c r="D41" s="2300"/>
      <c r="E41" s="81">
        <f t="shared" si="33"/>
        <v>0</v>
      </c>
      <c r="F41" s="82"/>
      <c r="G41" s="83">
        <f t="shared" si="34"/>
        <v>0</v>
      </c>
      <c r="H41" s="84">
        <f t="shared" si="35"/>
        <v>0</v>
      </c>
      <c r="I41" s="1179"/>
      <c r="J41" s="85"/>
      <c r="K41" s="1179"/>
      <c r="L41" s="85"/>
      <c r="M41" s="85"/>
      <c r="N41" s="85"/>
      <c r="O41" s="85"/>
      <c r="P41" s="85"/>
      <c r="Q41" s="85"/>
      <c r="R41" s="85"/>
      <c r="S41" s="85"/>
      <c r="T41" s="85"/>
      <c r="U41" s="85"/>
      <c r="V41" s="85"/>
      <c r="W41" s="85"/>
      <c r="X41" s="85"/>
      <c r="Y41" s="85"/>
      <c r="Z41" s="85"/>
      <c r="AA41" s="85"/>
      <c r="AB41" s="85"/>
      <c r="AC41" s="81">
        <f t="shared" si="36"/>
        <v>0</v>
      </c>
      <c r="AD41" s="86"/>
      <c r="AE41" s="86"/>
      <c r="AF41" s="1179"/>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ht="15.6">
      <c r="A42" s="79"/>
      <c r="B42" s="1178"/>
      <c r="C42" s="1179"/>
      <c r="D42" s="2300"/>
      <c r="E42" s="81">
        <f t="shared" si="33"/>
        <v>0</v>
      </c>
      <c r="F42" s="82"/>
      <c r="G42" s="83">
        <f t="shared" si="34"/>
        <v>0</v>
      </c>
      <c r="H42" s="84">
        <f t="shared" si="35"/>
        <v>0</v>
      </c>
      <c r="I42" s="1179"/>
      <c r="J42" s="85"/>
      <c r="K42" s="1179"/>
      <c r="L42" s="85"/>
      <c r="M42" s="85"/>
      <c r="N42" s="85"/>
      <c r="O42" s="85"/>
      <c r="P42" s="85"/>
      <c r="Q42" s="85"/>
      <c r="R42" s="85"/>
      <c r="S42" s="85"/>
      <c r="T42" s="85"/>
      <c r="U42" s="85"/>
      <c r="V42" s="85"/>
      <c r="W42" s="85"/>
      <c r="X42" s="85"/>
      <c r="Y42" s="85"/>
      <c r="Z42" s="85"/>
      <c r="AA42" s="85"/>
      <c r="AB42" s="85"/>
      <c r="AC42" s="81">
        <f t="shared" si="36"/>
        <v>0</v>
      </c>
      <c r="AD42" s="86"/>
      <c r="AE42" s="86"/>
      <c r="AF42" s="1179"/>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ht="15.6">
      <c r="A43" s="79"/>
      <c r="B43" s="1178"/>
      <c r="C43" s="1179"/>
      <c r="D43" s="2300"/>
      <c r="E43" s="81">
        <f t="shared" si="33"/>
        <v>0</v>
      </c>
      <c r="F43" s="82"/>
      <c r="G43" s="83">
        <f t="shared" si="34"/>
        <v>0</v>
      </c>
      <c r="H43" s="84">
        <f t="shared" si="35"/>
        <v>0</v>
      </c>
      <c r="I43" s="1179"/>
      <c r="J43" s="85"/>
      <c r="K43" s="1179"/>
      <c r="L43" s="85"/>
      <c r="M43" s="85"/>
      <c r="N43" s="85"/>
      <c r="O43" s="85"/>
      <c r="P43" s="85"/>
      <c r="Q43" s="85"/>
      <c r="R43" s="85"/>
      <c r="S43" s="85"/>
      <c r="T43" s="85"/>
      <c r="U43" s="85"/>
      <c r="V43" s="85"/>
      <c r="W43" s="85"/>
      <c r="X43" s="85"/>
      <c r="Y43" s="85"/>
      <c r="Z43" s="85"/>
      <c r="AA43" s="85"/>
      <c r="AB43" s="85"/>
      <c r="AC43" s="81">
        <f t="shared" si="36"/>
        <v>0</v>
      </c>
      <c r="AD43" s="86"/>
      <c r="AE43" s="86"/>
      <c r="AF43" s="1179"/>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ht="15.6">
      <c r="A44" s="79"/>
      <c r="B44" s="1178"/>
      <c r="C44" s="1179"/>
      <c r="D44" s="2300"/>
      <c r="E44" s="81">
        <f t="shared" si="33"/>
        <v>0</v>
      </c>
      <c r="F44" s="82"/>
      <c r="G44" s="83">
        <f t="shared" si="34"/>
        <v>0</v>
      </c>
      <c r="H44" s="84">
        <f t="shared" si="35"/>
        <v>0</v>
      </c>
      <c r="I44" s="1179"/>
      <c r="J44" s="85"/>
      <c r="K44" s="1179"/>
      <c r="L44" s="85"/>
      <c r="M44" s="85"/>
      <c r="N44" s="85"/>
      <c r="O44" s="85"/>
      <c r="P44" s="85"/>
      <c r="Q44" s="85"/>
      <c r="R44" s="85"/>
      <c r="S44" s="85"/>
      <c r="T44" s="85"/>
      <c r="U44" s="85"/>
      <c r="V44" s="85"/>
      <c r="W44" s="85"/>
      <c r="X44" s="85"/>
      <c r="Y44" s="85"/>
      <c r="Z44" s="85"/>
      <c r="AA44" s="85"/>
      <c r="AB44" s="85"/>
      <c r="AC44" s="81">
        <f t="shared" si="36"/>
        <v>0</v>
      </c>
      <c r="AD44" s="86"/>
      <c r="AE44" s="86"/>
      <c r="AF44" s="1179"/>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ht="15.6">
      <c r="A45" s="79"/>
      <c r="B45" s="1178"/>
      <c r="C45" s="1179"/>
      <c r="D45" s="2300"/>
      <c r="E45" s="81">
        <f t="shared" si="33"/>
        <v>0</v>
      </c>
      <c r="F45" s="82"/>
      <c r="G45" s="83">
        <f t="shared" si="34"/>
        <v>0</v>
      </c>
      <c r="H45" s="84">
        <f t="shared" si="35"/>
        <v>0</v>
      </c>
      <c r="I45" s="1179"/>
      <c r="J45" s="85"/>
      <c r="K45" s="1179"/>
      <c r="L45" s="85"/>
      <c r="M45" s="85"/>
      <c r="N45" s="85"/>
      <c r="O45" s="85"/>
      <c r="P45" s="85"/>
      <c r="Q45" s="85"/>
      <c r="R45" s="85"/>
      <c r="S45" s="85"/>
      <c r="T45" s="85"/>
      <c r="U45" s="85"/>
      <c r="V45" s="85"/>
      <c r="W45" s="85"/>
      <c r="X45" s="85"/>
      <c r="Y45" s="85"/>
      <c r="Z45" s="85"/>
      <c r="AA45" s="85"/>
      <c r="AB45" s="85"/>
      <c r="AC45" s="81">
        <f t="shared" si="36"/>
        <v>0</v>
      </c>
      <c r="AD45" s="86"/>
      <c r="AE45" s="86"/>
      <c r="AF45" s="1179"/>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ht="15.6">
      <c r="A46" s="79"/>
      <c r="B46" s="1178"/>
      <c r="C46" s="1179"/>
      <c r="D46" s="2300"/>
      <c r="E46" s="81">
        <f t="shared" si="33"/>
        <v>0</v>
      </c>
      <c r="F46" s="82"/>
      <c r="G46" s="83">
        <f t="shared" si="34"/>
        <v>0</v>
      </c>
      <c r="H46" s="84">
        <f t="shared" si="35"/>
        <v>0</v>
      </c>
      <c r="I46" s="1179"/>
      <c r="J46" s="85"/>
      <c r="K46" s="1179"/>
      <c r="L46" s="85"/>
      <c r="M46" s="85"/>
      <c r="N46" s="85"/>
      <c r="O46" s="85"/>
      <c r="P46" s="85"/>
      <c r="Q46" s="85"/>
      <c r="R46" s="85"/>
      <c r="S46" s="85"/>
      <c r="T46" s="85"/>
      <c r="U46" s="85"/>
      <c r="V46" s="85"/>
      <c r="W46" s="85"/>
      <c r="X46" s="85"/>
      <c r="Y46" s="85"/>
      <c r="Z46" s="85"/>
      <c r="AA46" s="85"/>
      <c r="AB46" s="85"/>
      <c r="AC46" s="81">
        <f t="shared" si="36"/>
        <v>0</v>
      </c>
      <c r="AD46" s="86"/>
      <c r="AE46" s="86"/>
      <c r="AF46" s="1179"/>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ht="15.6">
      <c r="A47" s="79"/>
      <c r="B47" s="1178"/>
      <c r="C47" s="1179"/>
      <c r="D47" s="2300"/>
      <c r="E47" s="81">
        <f t="shared" si="33"/>
        <v>0</v>
      </c>
      <c r="F47" s="82"/>
      <c r="G47" s="83">
        <f t="shared" si="34"/>
        <v>0</v>
      </c>
      <c r="H47" s="84">
        <f t="shared" si="35"/>
        <v>0</v>
      </c>
      <c r="I47" s="1179"/>
      <c r="J47" s="85"/>
      <c r="K47" s="1179"/>
      <c r="L47" s="85"/>
      <c r="M47" s="85"/>
      <c r="N47" s="85"/>
      <c r="O47" s="85"/>
      <c r="P47" s="85"/>
      <c r="Q47" s="85"/>
      <c r="R47" s="85"/>
      <c r="S47" s="85"/>
      <c r="T47" s="85"/>
      <c r="U47" s="85"/>
      <c r="V47" s="85"/>
      <c r="W47" s="85"/>
      <c r="X47" s="85"/>
      <c r="Y47" s="85"/>
      <c r="Z47" s="85"/>
      <c r="AA47" s="85"/>
      <c r="AB47" s="85"/>
      <c r="AC47" s="81">
        <f t="shared" si="36"/>
        <v>0</v>
      </c>
      <c r="AD47" s="86"/>
      <c r="AE47" s="86"/>
      <c r="AF47" s="1179"/>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ht="15.6">
      <c r="A48" s="79"/>
      <c r="B48" s="1178"/>
      <c r="C48" s="1179"/>
      <c r="D48" s="2300"/>
      <c r="E48" s="81">
        <f t="shared" si="33"/>
        <v>0</v>
      </c>
      <c r="F48" s="82"/>
      <c r="G48" s="83">
        <f t="shared" si="34"/>
        <v>0</v>
      </c>
      <c r="H48" s="84">
        <f t="shared" si="35"/>
        <v>0</v>
      </c>
      <c r="I48" s="1179"/>
      <c r="J48" s="85"/>
      <c r="K48" s="1179"/>
      <c r="L48" s="85"/>
      <c r="M48" s="85"/>
      <c r="N48" s="85"/>
      <c r="O48" s="85"/>
      <c r="P48" s="85"/>
      <c r="Q48" s="85"/>
      <c r="R48" s="85"/>
      <c r="S48" s="85"/>
      <c r="T48" s="85"/>
      <c r="U48" s="85"/>
      <c r="V48" s="85"/>
      <c r="W48" s="85"/>
      <c r="X48" s="85"/>
      <c r="Y48" s="85"/>
      <c r="Z48" s="85"/>
      <c r="AA48" s="85"/>
      <c r="AB48" s="85"/>
      <c r="AC48" s="81">
        <f t="shared" si="36"/>
        <v>0</v>
      </c>
      <c r="AD48" s="86"/>
      <c r="AE48" s="86"/>
      <c r="AF48" s="1179"/>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ht="15.6">
      <c r="A49" s="79"/>
      <c r="B49" s="1178"/>
      <c r="C49" s="1179"/>
      <c r="D49" s="2300"/>
      <c r="E49" s="81">
        <f t="shared" si="33"/>
        <v>0</v>
      </c>
      <c r="F49" s="82"/>
      <c r="G49" s="83">
        <f t="shared" si="34"/>
        <v>0</v>
      </c>
      <c r="H49" s="84">
        <f t="shared" si="35"/>
        <v>0</v>
      </c>
      <c r="I49" s="1179"/>
      <c r="J49" s="85"/>
      <c r="K49" s="1179"/>
      <c r="L49" s="85"/>
      <c r="M49" s="85"/>
      <c r="N49" s="85"/>
      <c r="O49" s="85"/>
      <c r="P49" s="85"/>
      <c r="Q49" s="85"/>
      <c r="R49" s="85"/>
      <c r="S49" s="85"/>
      <c r="T49" s="85"/>
      <c r="U49" s="85"/>
      <c r="V49" s="85"/>
      <c r="W49" s="85"/>
      <c r="X49" s="85"/>
      <c r="Y49" s="85"/>
      <c r="Z49" s="85"/>
      <c r="AA49" s="85"/>
      <c r="AB49" s="85"/>
      <c r="AC49" s="81">
        <f t="shared" si="36"/>
        <v>0</v>
      </c>
      <c r="AD49" s="86"/>
      <c r="AE49" s="86"/>
      <c r="AF49" s="1179"/>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ht="15.6">
      <c r="A50" s="79"/>
      <c r="B50" s="1178"/>
      <c r="C50" s="1179"/>
      <c r="D50" s="2300"/>
      <c r="E50" s="81">
        <f t="shared" si="33"/>
        <v>0</v>
      </c>
      <c r="F50" s="82"/>
      <c r="G50" s="83">
        <f t="shared" si="34"/>
        <v>0</v>
      </c>
      <c r="H50" s="84">
        <f t="shared" si="35"/>
        <v>0</v>
      </c>
      <c r="I50" s="1179"/>
      <c r="J50" s="85"/>
      <c r="K50" s="1179"/>
      <c r="L50" s="85"/>
      <c r="M50" s="85"/>
      <c r="N50" s="85"/>
      <c r="O50" s="85"/>
      <c r="P50" s="85"/>
      <c r="Q50" s="85"/>
      <c r="R50" s="85"/>
      <c r="S50" s="85"/>
      <c r="T50" s="85"/>
      <c r="U50" s="85"/>
      <c r="V50" s="85"/>
      <c r="W50" s="85"/>
      <c r="X50" s="85"/>
      <c r="Y50" s="85"/>
      <c r="Z50" s="85"/>
      <c r="AA50" s="85"/>
      <c r="AB50" s="85"/>
      <c r="AC50" s="81">
        <f t="shared" si="36"/>
        <v>0</v>
      </c>
      <c r="AD50" s="86"/>
      <c r="AE50" s="86"/>
      <c r="AF50" s="1179"/>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ht="15.6">
      <c r="A51" s="79"/>
      <c r="B51" s="1178"/>
      <c r="C51" s="1179"/>
      <c r="D51" s="2300"/>
      <c r="E51" s="81">
        <f t="shared" si="33"/>
        <v>0</v>
      </c>
      <c r="F51" s="82"/>
      <c r="G51" s="83">
        <f t="shared" si="34"/>
        <v>0</v>
      </c>
      <c r="H51" s="84">
        <f t="shared" si="35"/>
        <v>0</v>
      </c>
      <c r="I51" s="1179"/>
      <c r="J51" s="85"/>
      <c r="K51" s="1179"/>
      <c r="L51" s="85"/>
      <c r="M51" s="85"/>
      <c r="N51" s="85"/>
      <c r="O51" s="85"/>
      <c r="P51" s="85"/>
      <c r="Q51" s="85"/>
      <c r="R51" s="85"/>
      <c r="S51" s="85"/>
      <c r="T51" s="85"/>
      <c r="U51" s="85"/>
      <c r="V51" s="85"/>
      <c r="W51" s="85"/>
      <c r="X51" s="85"/>
      <c r="Y51" s="85"/>
      <c r="Z51" s="85"/>
      <c r="AA51" s="85"/>
      <c r="AB51" s="85"/>
      <c r="AC51" s="81">
        <f t="shared" si="36"/>
        <v>0</v>
      </c>
      <c r="AD51" s="86"/>
      <c r="AE51" s="86"/>
      <c r="AF51" s="1179"/>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ht="15.6">
      <c r="A52" s="79"/>
      <c r="B52" s="1178"/>
      <c r="C52" s="1179"/>
      <c r="D52" s="2300"/>
      <c r="E52" s="81">
        <f t="shared" si="33"/>
        <v>0</v>
      </c>
      <c r="F52" s="82"/>
      <c r="G52" s="83">
        <f t="shared" si="34"/>
        <v>0</v>
      </c>
      <c r="H52" s="84">
        <f t="shared" si="35"/>
        <v>0</v>
      </c>
      <c r="I52" s="1179"/>
      <c r="J52" s="85"/>
      <c r="K52" s="1179"/>
      <c r="L52" s="85"/>
      <c r="M52" s="85"/>
      <c r="N52" s="85"/>
      <c r="O52" s="85"/>
      <c r="P52" s="85"/>
      <c r="Q52" s="85"/>
      <c r="R52" s="85"/>
      <c r="S52" s="85"/>
      <c r="T52" s="85"/>
      <c r="U52" s="85"/>
      <c r="V52" s="85"/>
      <c r="W52" s="85"/>
      <c r="X52" s="85"/>
      <c r="Y52" s="85"/>
      <c r="Z52" s="85"/>
      <c r="AA52" s="85"/>
      <c r="AB52" s="85"/>
      <c r="AC52" s="81">
        <f t="shared" si="36"/>
        <v>0</v>
      </c>
      <c r="AD52" s="86"/>
      <c r="AE52" s="86"/>
      <c r="AF52" s="1179"/>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ht="15.6">
      <c r="A53" s="79"/>
      <c r="B53" s="1178"/>
      <c r="C53" s="1179"/>
      <c r="D53" s="2300"/>
      <c r="E53" s="81">
        <f t="shared" si="33"/>
        <v>0</v>
      </c>
      <c r="F53" s="82"/>
      <c r="G53" s="83">
        <f t="shared" si="34"/>
        <v>0</v>
      </c>
      <c r="H53" s="84">
        <f t="shared" si="35"/>
        <v>0</v>
      </c>
      <c r="I53" s="1179"/>
      <c r="J53" s="85"/>
      <c r="K53" s="1179"/>
      <c r="L53" s="85"/>
      <c r="M53" s="85"/>
      <c r="N53" s="85"/>
      <c r="O53" s="85"/>
      <c r="P53" s="85"/>
      <c r="Q53" s="85"/>
      <c r="R53" s="85"/>
      <c r="S53" s="85"/>
      <c r="T53" s="85"/>
      <c r="U53" s="85"/>
      <c r="V53" s="85"/>
      <c r="W53" s="85"/>
      <c r="X53" s="85"/>
      <c r="Y53" s="85"/>
      <c r="Z53" s="85"/>
      <c r="AA53" s="85"/>
      <c r="AB53" s="85"/>
      <c r="AC53" s="81">
        <f t="shared" si="36"/>
        <v>0</v>
      </c>
      <c r="AD53" s="86"/>
      <c r="AE53" s="86"/>
      <c r="AF53" s="1179"/>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ht="15.6">
      <c r="A54" s="79"/>
      <c r="B54" s="1178"/>
      <c r="C54" s="1179"/>
      <c r="D54" s="2300"/>
      <c r="E54" s="81">
        <f t="shared" si="33"/>
        <v>0</v>
      </c>
      <c r="F54" s="82"/>
      <c r="G54" s="83">
        <f t="shared" si="34"/>
        <v>0</v>
      </c>
      <c r="H54" s="84">
        <f t="shared" si="35"/>
        <v>0</v>
      </c>
      <c r="I54" s="1179"/>
      <c r="J54" s="85"/>
      <c r="K54" s="1179"/>
      <c r="L54" s="85"/>
      <c r="M54" s="85"/>
      <c r="N54" s="85"/>
      <c r="O54" s="85"/>
      <c r="P54" s="85"/>
      <c r="Q54" s="85"/>
      <c r="R54" s="85"/>
      <c r="S54" s="85"/>
      <c r="T54" s="85"/>
      <c r="U54" s="85"/>
      <c r="V54" s="85"/>
      <c r="W54" s="85"/>
      <c r="X54" s="85"/>
      <c r="Y54" s="85"/>
      <c r="Z54" s="85"/>
      <c r="AA54" s="85"/>
      <c r="AB54" s="85"/>
      <c r="AC54" s="81">
        <f t="shared" si="36"/>
        <v>0</v>
      </c>
      <c r="AD54" s="86"/>
      <c r="AE54" s="86"/>
      <c r="AF54" s="1179"/>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ht="15.6">
      <c r="A55" s="79"/>
      <c r="B55" s="1178"/>
      <c r="C55" s="1179"/>
      <c r="D55" s="2300"/>
      <c r="E55" s="81">
        <f t="shared" si="33"/>
        <v>0</v>
      </c>
      <c r="F55" s="82"/>
      <c r="G55" s="83">
        <f t="shared" si="34"/>
        <v>0</v>
      </c>
      <c r="H55" s="84">
        <f t="shared" si="35"/>
        <v>0</v>
      </c>
      <c r="I55" s="1179"/>
      <c r="J55" s="85"/>
      <c r="K55" s="1179"/>
      <c r="L55" s="85"/>
      <c r="M55" s="1179"/>
      <c r="N55" s="85"/>
      <c r="O55" s="85"/>
      <c r="P55" s="85"/>
      <c r="Q55" s="85"/>
      <c r="R55" s="85"/>
      <c r="S55" s="85"/>
      <c r="T55" s="85"/>
      <c r="U55" s="85"/>
      <c r="V55" s="85"/>
      <c r="W55" s="85"/>
      <c r="X55" s="85"/>
      <c r="Y55" s="85"/>
      <c r="Z55" s="85"/>
      <c r="AA55" s="85"/>
      <c r="AB55" s="85"/>
      <c r="AC55" s="81">
        <f t="shared" si="36"/>
        <v>0</v>
      </c>
      <c r="AD55" s="86"/>
      <c r="AE55" s="86"/>
      <c r="AF55" s="1179"/>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ht="15.6">
      <c r="A113" s="79"/>
      <c r="B113" s="1178"/>
      <c r="C113" s="1179"/>
      <c r="D113" s="2300"/>
      <c r="E113" s="81">
        <f t="shared" ref="E113:E144" si="87">IF($C$3="是",ROUND($A$3*G113/$B$3,2),ROUND($A$3*(G113-AT113)/$B$3,2))</f>
        <v>0</v>
      </c>
      <c r="F113" s="82"/>
      <c r="G113" s="83">
        <f t="shared" si="62"/>
        <v>0</v>
      </c>
      <c r="H113" s="84">
        <f t="shared" si="63"/>
        <v>0</v>
      </c>
      <c r="I113" s="1179"/>
      <c r="J113" s="85"/>
      <c r="K113" s="1179"/>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0"/>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ht="15.6">
      <c r="A114" s="79"/>
      <c r="B114" s="1178"/>
      <c r="C114" s="1179"/>
      <c r="D114" s="2300"/>
      <c r="E114" s="81">
        <f t="shared" si="87"/>
        <v>0</v>
      </c>
      <c r="F114" s="82"/>
      <c r="G114" s="83">
        <f t="shared" si="62"/>
        <v>0</v>
      </c>
      <c r="H114" s="84">
        <f t="shared" si="63"/>
        <v>0</v>
      </c>
      <c r="I114" s="1179"/>
      <c r="J114" s="85"/>
      <c r="K114" s="1179"/>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0"/>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ht="15.6">
      <c r="A115" s="79"/>
      <c r="B115" s="1178"/>
      <c r="C115" s="1179"/>
      <c r="D115" s="2300"/>
      <c r="E115" s="81">
        <f t="shared" si="87"/>
        <v>0</v>
      </c>
      <c r="F115" s="82"/>
      <c r="G115" s="83">
        <f t="shared" si="62"/>
        <v>0</v>
      </c>
      <c r="H115" s="84">
        <f t="shared" si="63"/>
        <v>0</v>
      </c>
      <c r="I115" s="1179"/>
      <c r="J115" s="85"/>
      <c r="K115" s="1179"/>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0"/>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ht="15.6">
      <c r="A116" s="79"/>
      <c r="B116" s="1178"/>
      <c r="C116" s="1179"/>
      <c r="D116" s="2300"/>
      <c r="E116" s="81">
        <f t="shared" si="87"/>
        <v>0</v>
      </c>
      <c r="F116" s="82"/>
      <c r="G116" s="83">
        <f t="shared" si="62"/>
        <v>0</v>
      </c>
      <c r="H116" s="84">
        <f t="shared" si="63"/>
        <v>0</v>
      </c>
      <c r="I116" s="1179"/>
      <c r="J116" s="85"/>
      <c r="K116" s="1179"/>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0"/>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ht="15.6">
      <c r="A117" s="79"/>
      <c r="B117" s="1178"/>
      <c r="C117" s="1179"/>
      <c r="D117" s="2300"/>
      <c r="E117" s="81">
        <f t="shared" si="87"/>
        <v>0</v>
      </c>
      <c r="F117" s="82"/>
      <c r="G117" s="83">
        <f t="shared" si="62"/>
        <v>0</v>
      </c>
      <c r="H117" s="84">
        <f t="shared" si="63"/>
        <v>0</v>
      </c>
      <c r="I117" s="1179"/>
      <c r="J117" s="85"/>
      <c r="K117" s="1179"/>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0"/>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ht="15.6">
      <c r="A118" s="79"/>
      <c r="B118" s="1178"/>
      <c r="C118" s="1179"/>
      <c r="D118" s="2300"/>
      <c r="E118" s="81">
        <f t="shared" si="87"/>
        <v>0</v>
      </c>
      <c r="F118" s="82"/>
      <c r="G118" s="83">
        <f t="shared" si="62"/>
        <v>0</v>
      </c>
      <c r="H118" s="84">
        <f t="shared" si="63"/>
        <v>0</v>
      </c>
      <c r="I118" s="1179"/>
      <c r="J118" s="85"/>
      <c r="K118" s="1179"/>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0"/>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ht="15.6">
      <c r="A119" s="79"/>
      <c r="B119" s="1178"/>
      <c r="C119" s="1179"/>
      <c r="D119" s="2300"/>
      <c r="E119" s="81">
        <f t="shared" si="87"/>
        <v>0</v>
      </c>
      <c r="F119" s="82"/>
      <c r="G119" s="83">
        <f t="shared" si="62"/>
        <v>0</v>
      </c>
      <c r="H119" s="84">
        <f t="shared" si="63"/>
        <v>0</v>
      </c>
      <c r="I119" s="1179"/>
      <c r="J119" s="85"/>
      <c r="K119" s="1179"/>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0"/>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ht="15.6">
      <c r="A120" s="79"/>
      <c r="B120" s="1178"/>
      <c r="C120" s="1179"/>
      <c r="D120" s="2300"/>
      <c r="E120" s="81">
        <f t="shared" si="87"/>
        <v>0</v>
      </c>
      <c r="F120" s="82"/>
      <c r="G120" s="83">
        <f t="shared" si="62"/>
        <v>0</v>
      </c>
      <c r="H120" s="84">
        <f t="shared" si="63"/>
        <v>0</v>
      </c>
      <c r="I120" s="1179"/>
      <c r="J120" s="85"/>
      <c r="K120" s="1179"/>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9"/>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ht="15.6">
      <c r="A121" s="79"/>
      <c r="B121" s="1178"/>
      <c r="C121" s="1179"/>
      <c r="D121" s="2300"/>
      <c r="E121" s="81">
        <f t="shared" si="87"/>
        <v>0</v>
      </c>
      <c r="F121" s="82"/>
      <c r="G121" s="83">
        <f t="shared" si="62"/>
        <v>0</v>
      </c>
      <c r="H121" s="84">
        <f t="shared" si="63"/>
        <v>0</v>
      </c>
      <c r="I121" s="1179"/>
      <c r="J121" s="85"/>
      <c r="K121" s="1179"/>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9"/>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ht="15.6">
      <c r="A122" s="79"/>
      <c r="B122" s="1178"/>
      <c r="C122" s="1179"/>
      <c r="D122" s="2300"/>
      <c r="E122" s="81">
        <f t="shared" si="87"/>
        <v>0</v>
      </c>
      <c r="F122" s="82"/>
      <c r="G122" s="83">
        <f t="shared" si="62"/>
        <v>0</v>
      </c>
      <c r="H122" s="84">
        <f t="shared" si="63"/>
        <v>0</v>
      </c>
      <c r="I122" s="1179"/>
      <c r="J122" s="85"/>
      <c r="K122" s="1179"/>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9"/>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ht="15.6">
      <c r="A123" s="79"/>
      <c r="B123" s="1178"/>
      <c r="C123" s="1179"/>
      <c r="D123" s="2300"/>
      <c r="E123" s="81">
        <f t="shared" si="87"/>
        <v>0</v>
      </c>
      <c r="F123" s="82"/>
      <c r="G123" s="83">
        <f t="shared" si="62"/>
        <v>0</v>
      </c>
      <c r="H123" s="84">
        <f t="shared" si="63"/>
        <v>0</v>
      </c>
      <c r="I123" s="1179"/>
      <c r="J123" s="85"/>
      <c r="K123" s="1179"/>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9"/>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ht="15.6">
      <c r="A124" s="79"/>
      <c r="B124" s="1178"/>
      <c r="C124" s="1179"/>
      <c r="D124" s="2300"/>
      <c r="E124" s="81">
        <f t="shared" si="87"/>
        <v>0</v>
      </c>
      <c r="F124" s="82"/>
      <c r="G124" s="83">
        <f t="shared" si="62"/>
        <v>0</v>
      </c>
      <c r="H124" s="84">
        <f t="shared" si="63"/>
        <v>0</v>
      </c>
      <c r="I124" s="1179"/>
      <c r="J124" s="85"/>
      <c r="K124" s="1179"/>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9"/>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ht="15.6">
      <c r="A125" s="79"/>
      <c r="B125" s="1178"/>
      <c r="C125" s="1179"/>
      <c r="D125" s="2300"/>
      <c r="E125" s="81">
        <f t="shared" si="87"/>
        <v>0</v>
      </c>
      <c r="F125" s="82"/>
      <c r="G125" s="83">
        <f t="shared" si="62"/>
        <v>0</v>
      </c>
      <c r="H125" s="84">
        <f t="shared" si="63"/>
        <v>0</v>
      </c>
      <c r="I125" s="1179"/>
      <c r="J125" s="85"/>
      <c r="K125" s="1179"/>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9"/>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ht="15.6">
      <c r="A126" s="79"/>
      <c r="B126" s="1178"/>
      <c r="C126" s="1179"/>
      <c r="D126" s="2300"/>
      <c r="E126" s="81">
        <f t="shared" si="87"/>
        <v>0</v>
      </c>
      <c r="F126" s="82"/>
      <c r="G126" s="83">
        <f t="shared" si="62"/>
        <v>0</v>
      </c>
      <c r="H126" s="84">
        <f t="shared" si="63"/>
        <v>0</v>
      </c>
      <c r="I126" s="1179"/>
      <c r="J126" s="85"/>
      <c r="K126" s="1179"/>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9"/>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ht="15.6">
      <c r="A127" s="79"/>
      <c r="B127" s="1178"/>
      <c r="C127" s="1179"/>
      <c r="D127" s="2300"/>
      <c r="E127" s="81">
        <f t="shared" si="87"/>
        <v>0</v>
      </c>
      <c r="F127" s="82"/>
      <c r="G127" s="83">
        <f t="shared" si="62"/>
        <v>0</v>
      </c>
      <c r="H127" s="84">
        <f t="shared" si="63"/>
        <v>0</v>
      </c>
      <c r="I127" s="1179"/>
      <c r="J127" s="85"/>
      <c r="K127" s="1179"/>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9"/>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ht="15.6">
      <c r="A128" s="79"/>
      <c r="B128" s="1178"/>
      <c r="C128" s="1179"/>
      <c r="D128" s="2300"/>
      <c r="E128" s="81">
        <f t="shared" si="87"/>
        <v>0</v>
      </c>
      <c r="F128" s="82"/>
      <c r="G128" s="83">
        <f t="shared" si="62"/>
        <v>0</v>
      </c>
      <c r="H128" s="84">
        <f t="shared" si="63"/>
        <v>0</v>
      </c>
      <c r="I128" s="1179"/>
      <c r="J128" s="85"/>
      <c r="K128" s="1179"/>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9"/>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ht="15.6">
      <c r="A129" s="79"/>
      <c r="B129" s="1178"/>
      <c r="C129" s="1179"/>
      <c r="D129" s="2300"/>
      <c r="E129" s="81">
        <f t="shared" si="87"/>
        <v>0</v>
      </c>
      <c r="F129" s="82"/>
      <c r="G129" s="83">
        <f t="shared" si="62"/>
        <v>0</v>
      </c>
      <c r="H129" s="84">
        <f t="shared" si="63"/>
        <v>0</v>
      </c>
      <c r="I129" s="1179"/>
      <c r="J129" s="85"/>
      <c r="K129" s="1179"/>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9"/>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ht="15.6">
      <c r="A130" s="79"/>
      <c r="B130" s="1178"/>
      <c r="C130" s="1179"/>
      <c r="D130" s="2300"/>
      <c r="E130" s="81">
        <f t="shared" si="87"/>
        <v>0</v>
      </c>
      <c r="F130" s="82"/>
      <c r="G130" s="83">
        <f t="shared" si="62"/>
        <v>0</v>
      </c>
      <c r="H130" s="84">
        <f t="shared" si="63"/>
        <v>0</v>
      </c>
      <c r="I130" s="1179"/>
      <c r="J130" s="85"/>
      <c r="K130" s="1179"/>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9"/>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ht="15.6">
      <c r="A131" s="79"/>
      <c r="B131" s="1178"/>
      <c r="C131" s="1179"/>
      <c r="D131" s="2300"/>
      <c r="E131" s="81">
        <f t="shared" si="87"/>
        <v>0</v>
      </c>
      <c r="F131" s="82"/>
      <c r="G131" s="83">
        <f t="shared" si="62"/>
        <v>0</v>
      </c>
      <c r="H131" s="84">
        <f t="shared" si="63"/>
        <v>0</v>
      </c>
      <c r="I131" s="1179"/>
      <c r="J131" s="85"/>
      <c r="K131" s="1179"/>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9"/>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ht="15.6">
      <c r="A132" s="79"/>
      <c r="B132" s="1178"/>
      <c r="C132" s="1179"/>
      <c r="D132" s="2300"/>
      <c r="E132" s="81">
        <f t="shared" si="87"/>
        <v>0</v>
      </c>
      <c r="F132" s="82"/>
      <c r="G132" s="83">
        <f t="shared" si="62"/>
        <v>0</v>
      </c>
      <c r="H132" s="84">
        <f t="shared" si="63"/>
        <v>0</v>
      </c>
      <c r="I132" s="1179"/>
      <c r="J132" s="85"/>
      <c r="K132" s="1179"/>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9"/>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ht="15.6">
      <c r="A133" s="79"/>
      <c r="B133" s="1178"/>
      <c r="C133" s="1179"/>
      <c r="D133" s="2300"/>
      <c r="E133" s="81">
        <f t="shared" si="87"/>
        <v>0</v>
      </c>
      <c r="F133" s="82"/>
      <c r="G133" s="83">
        <f t="shared" si="62"/>
        <v>0</v>
      </c>
      <c r="H133" s="84">
        <f t="shared" si="63"/>
        <v>0</v>
      </c>
      <c r="I133" s="1179"/>
      <c r="J133" s="85"/>
      <c r="K133" s="1179"/>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9"/>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ht="15.6">
      <c r="A134" s="79"/>
      <c r="B134" s="1178"/>
      <c r="C134" s="1179"/>
      <c r="D134" s="2300"/>
      <c r="E134" s="81">
        <f t="shared" si="87"/>
        <v>0</v>
      </c>
      <c r="F134" s="82"/>
      <c r="G134" s="83">
        <f t="shared" si="62"/>
        <v>0</v>
      </c>
      <c r="H134" s="84">
        <f t="shared" si="63"/>
        <v>0</v>
      </c>
      <c r="I134" s="1179"/>
      <c r="J134" s="85"/>
      <c r="K134" s="1179"/>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9"/>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ht="15.6">
      <c r="A135" s="79"/>
      <c r="B135" s="1178"/>
      <c r="C135" s="1179"/>
      <c r="D135" s="2300"/>
      <c r="E135" s="81">
        <f t="shared" si="87"/>
        <v>0</v>
      </c>
      <c r="F135" s="82"/>
      <c r="G135" s="83">
        <f t="shared" si="62"/>
        <v>0</v>
      </c>
      <c r="H135" s="84">
        <f t="shared" si="63"/>
        <v>0</v>
      </c>
      <c r="I135" s="1179"/>
      <c r="J135" s="85"/>
      <c r="K135" s="1179"/>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9"/>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ht="15.6">
      <c r="A136" s="79"/>
      <c r="B136" s="1178"/>
      <c r="C136" s="1179"/>
      <c r="D136" s="2300"/>
      <c r="E136" s="81">
        <f t="shared" si="87"/>
        <v>0</v>
      </c>
      <c r="F136" s="82"/>
      <c r="G136" s="83">
        <f t="shared" si="62"/>
        <v>0</v>
      </c>
      <c r="H136" s="84">
        <f t="shared" si="63"/>
        <v>0</v>
      </c>
      <c r="I136" s="1179"/>
      <c r="J136" s="85"/>
      <c r="K136" s="1179"/>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9"/>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ht="15.6">
      <c r="A137" s="79"/>
      <c r="B137" s="1178"/>
      <c r="C137" s="1179"/>
      <c r="D137" s="2300"/>
      <c r="E137" s="81">
        <f t="shared" si="87"/>
        <v>0</v>
      </c>
      <c r="F137" s="82"/>
      <c r="G137" s="83">
        <f t="shared" si="62"/>
        <v>0</v>
      </c>
      <c r="H137" s="84">
        <f t="shared" si="63"/>
        <v>0</v>
      </c>
      <c r="I137" s="1179"/>
      <c r="J137" s="85"/>
      <c r="K137" s="1179"/>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9"/>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ht="15.6">
      <c r="A138" s="79"/>
      <c r="B138" s="1178"/>
      <c r="C138" s="1179"/>
      <c r="D138" s="2300"/>
      <c r="E138" s="81">
        <f t="shared" si="87"/>
        <v>0</v>
      </c>
      <c r="F138" s="82"/>
      <c r="G138" s="83">
        <f t="shared" si="62"/>
        <v>0</v>
      </c>
      <c r="H138" s="84">
        <f t="shared" si="63"/>
        <v>0</v>
      </c>
      <c r="I138" s="1179"/>
      <c r="J138" s="85"/>
      <c r="K138" s="1179"/>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9"/>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ht="15.6">
      <c r="A139" s="79"/>
      <c r="B139" s="1178"/>
      <c r="C139" s="1179"/>
      <c r="D139" s="2300"/>
      <c r="E139" s="81">
        <f t="shared" si="87"/>
        <v>0</v>
      </c>
      <c r="F139" s="82"/>
      <c r="G139" s="83">
        <f t="shared" si="62"/>
        <v>0</v>
      </c>
      <c r="H139" s="84">
        <f t="shared" si="63"/>
        <v>0</v>
      </c>
      <c r="I139" s="1179"/>
      <c r="J139" s="85"/>
      <c r="K139" s="1179"/>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9"/>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ht="15.6">
      <c r="A140" s="79"/>
      <c r="B140" s="1178"/>
      <c r="C140" s="1179"/>
      <c r="D140" s="2300"/>
      <c r="E140" s="81">
        <f t="shared" si="87"/>
        <v>0</v>
      </c>
      <c r="F140" s="82"/>
      <c r="G140" s="83">
        <f t="shared" si="62"/>
        <v>0</v>
      </c>
      <c r="H140" s="84">
        <f t="shared" si="63"/>
        <v>0</v>
      </c>
      <c r="I140" s="1179"/>
      <c r="J140" s="85"/>
      <c r="K140" s="1179"/>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9"/>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ht="15.6">
      <c r="A141" s="79"/>
      <c r="B141" s="1178"/>
      <c r="C141" s="1179"/>
      <c r="D141" s="2300"/>
      <c r="E141" s="81">
        <f t="shared" si="87"/>
        <v>0</v>
      </c>
      <c r="F141" s="82"/>
      <c r="G141" s="83">
        <f t="shared" si="62"/>
        <v>0</v>
      </c>
      <c r="H141" s="84">
        <f t="shared" si="63"/>
        <v>0</v>
      </c>
      <c r="I141" s="1179"/>
      <c r="J141" s="85"/>
      <c r="K141" s="1179"/>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9"/>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ht="15.6">
      <c r="A142" s="79"/>
      <c r="B142" s="1178"/>
      <c r="C142" s="1179"/>
      <c r="D142" s="2300"/>
      <c r="E142" s="81">
        <f t="shared" si="87"/>
        <v>0</v>
      </c>
      <c r="F142" s="82"/>
      <c r="G142" s="83">
        <f t="shared" ref="G142:G173" si="91">H142+AC142+AT142</f>
        <v>0</v>
      </c>
      <c r="H142" s="84">
        <f t="shared" ref="H142:H173" si="92">SUMIF(I$12:AB$12,"总值",I142:AB142)</f>
        <v>0</v>
      </c>
      <c r="I142" s="1179"/>
      <c r="J142" s="85"/>
      <c r="K142" s="1179"/>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9"/>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ht="15.6">
      <c r="A143" s="79"/>
      <c r="B143" s="1178"/>
      <c r="C143" s="1179"/>
      <c r="D143" s="2300"/>
      <c r="E143" s="81">
        <f t="shared" si="87"/>
        <v>0</v>
      </c>
      <c r="F143" s="82"/>
      <c r="G143" s="83">
        <f t="shared" si="91"/>
        <v>0</v>
      </c>
      <c r="H143" s="84">
        <f t="shared" si="92"/>
        <v>0</v>
      </c>
      <c r="I143" s="1179"/>
      <c r="J143" s="85"/>
      <c r="K143" s="1179"/>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9"/>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ht="15.6">
      <c r="A144" s="79"/>
      <c r="B144" s="1178"/>
      <c r="C144" s="1179"/>
      <c r="D144" s="2300"/>
      <c r="E144" s="81">
        <f t="shared" si="87"/>
        <v>0</v>
      </c>
      <c r="F144" s="82"/>
      <c r="G144" s="83">
        <f t="shared" si="91"/>
        <v>0</v>
      </c>
      <c r="H144" s="84">
        <f t="shared" si="92"/>
        <v>0</v>
      </c>
      <c r="I144" s="1179"/>
      <c r="J144" s="85"/>
      <c r="K144" s="1179"/>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9"/>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ht="15.6">
      <c r="A145" s="79"/>
      <c r="B145" s="1178"/>
      <c r="C145" s="1179"/>
      <c r="D145" s="2300"/>
      <c r="E145" s="81">
        <f t="shared" ref="E145:E176" si="116">IF($C$3="是",ROUND($A$3*G145/$B$3,2),ROUND($A$3*(G145-AT145)/$B$3,2))</f>
        <v>0</v>
      </c>
      <c r="F145" s="82"/>
      <c r="G145" s="83">
        <f t="shared" si="91"/>
        <v>0</v>
      </c>
      <c r="H145" s="84">
        <f t="shared" si="92"/>
        <v>0</v>
      </c>
      <c r="I145" s="1179"/>
      <c r="J145" s="85"/>
      <c r="K145" s="1179"/>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9"/>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ht="15.6">
      <c r="A146" s="79"/>
      <c r="B146" s="1178"/>
      <c r="C146" s="1179"/>
      <c r="D146" s="2300"/>
      <c r="E146" s="81">
        <f t="shared" si="116"/>
        <v>0</v>
      </c>
      <c r="F146" s="82"/>
      <c r="G146" s="83">
        <f t="shared" si="91"/>
        <v>0</v>
      </c>
      <c r="H146" s="84">
        <f t="shared" si="92"/>
        <v>0</v>
      </c>
      <c r="I146" s="1179"/>
      <c r="J146" s="85"/>
      <c r="K146" s="1179"/>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9"/>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ht="15.6">
      <c r="A147" s="79"/>
      <c r="B147" s="1178"/>
      <c r="C147" s="1179"/>
      <c r="D147" s="2300"/>
      <c r="E147" s="81">
        <f t="shared" si="116"/>
        <v>0</v>
      </c>
      <c r="F147" s="82"/>
      <c r="G147" s="83">
        <f t="shared" si="91"/>
        <v>0</v>
      </c>
      <c r="H147" s="84">
        <f t="shared" si="92"/>
        <v>0</v>
      </c>
      <c r="I147" s="1179"/>
      <c r="J147" s="85"/>
      <c r="K147" s="1179"/>
      <c r="L147" s="85"/>
      <c r="M147" s="1179"/>
      <c r="N147" s="85"/>
      <c r="O147" s="85"/>
      <c r="P147" s="85"/>
      <c r="Q147" s="85"/>
      <c r="R147" s="85"/>
      <c r="S147" s="85"/>
      <c r="T147" s="85"/>
      <c r="U147" s="85"/>
      <c r="V147" s="85"/>
      <c r="W147" s="85"/>
      <c r="X147" s="85"/>
      <c r="Y147" s="85"/>
      <c r="Z147" s="85"/>
      <c r="AA147" s="85"/>
      <c r="AB147" s="85"/>
      <c r="AC147" s="81">
        <f t="shared" si="93"/>
        <v>0</v>
      </c>
      <c r="AD147" s="86"/>
      <c r="AE147" s="86"/>
      <c r="AF147" s="1179"/>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ht="15.6">
      <c r="A205" s="79"/>
      <c r="B205" s="1178"/>
      <c r="C205" s="1179"/>
      <c r="D205" s="2300"/>
      <c r="E205" s="81">
        <f t="shared" ref="E205:E296" si="149">IF($C$3="是",ROUND($A$3*G205/$B$3,2),ROUND($A$3*(G205-AT205)/$B$3,2))</f>
        <v>0</v>
      </c>
      <c r="F205" s="82"/>
      <c r="G205" s="83">
        <f t="shared" ref="G205:G293" si="150">H205+AC205+AT205</f>
        <v>0</v>
      </c>
      <c r="H205" s="84">
        <f t="shared" ref="H205:H293" si="151">SUMIF(I$12:AB$12,"总值",I205:AB205)</f>
        <v>0</v>
      </c>
      <c r="I205" s="1179"/>
      <c r="J205" s="85"/>
      <c r="K205" s="1179"/>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0"/>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ht="15.6">
      <c r="A206" s="79"/>
      <c r="B206" s="1178"/>
      <c r="C206" s="1179"/>
      <c r="D206" s="2300"/>
      <c r="E206" s="81">
        <f t="shared" si="149"/>
        <v>0</v>
      </c>
      <c r="F206" s="82"/>
      <c r="G206" s="83">
        <f t="shared" si="150"/>
        <v>0</v>
      </c>
      <c r="H206" s="84">
        <f t="shared" si="151"/>
        <v>0</v>
      </c>
      <c r="I206" s="1179"/>
      <c r="J206" s="85"/>
      <c r="K206" s="1179"/>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0"/>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ht="15.6">
      <c r="A207" s="79"/>
      <c r="B207" s="1178"/>
      <c r="C207" s="1179"/>
      <c r="D207" s="2300"/>
      <c r="E207" s="81">
        <f t="shared" si="149"/>
        <v>0</v>
      </c>
      <c r="F207" s="82"/>
      <c r="G207" s="83">
        <f t="shared" si="150"/>
        <v>0</v>
      </c>
      <c r="H207" s="84">
        <f t="shared" si="151"/>
        <v>0</v>
      </c>
      <c r="I207" s="1179"/>
      <c r="J207" s="85"/>
      <c r="K207" s="1179"/>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0"/>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ht="15.6">
      <c r="A208" s="79"/>
      <c r="B208" s="1178"/>
      <c r="C208" s="1179"/>
      <c r="D208" s="2300"/>
      <c r="E208" s="81">
        <f t="shared" si="149"/>
        <v>0</v>
      </c>
      <c r="F208" s="82"/>
      <c r="G208" s="83">
        <f t="shared" si="150"/>
        <v>0</v>
      </c>
      <c r="H208" s="84">
        <f t="shared" si="151"/>
        <v>0</v>
      </c>
      <c r="I208" s="1179"/>
      <c r="J208" s="85"/>
      <c r="K208" s="1179"/>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0"/>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ht="15.6">
      <c r="A209" s="79"/>
      <c r="B209" s="1178"/>
      <c r="C209" s="1179"/>
      <c r="D209" s="2300"/>
      <c r="E209" s="81">
        <f t="shared" si="149"/>
        <v>0</v>
      </c>
      <c r="F209" s="82"/>
      <c r="G209" s="83">
        <f t="shared" si="150"/>
        <v>0</v>
      </c>
      <c r="H209" s="84">
        <f t="shared" si="151"/>
        <v>0</v>
      </c>
      <c r="I209" s="1179"/>
      <c r="J209" s="85"/>
      <c r="K209" s="1179"/>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0"/>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ht="15.6">
      <c r="A210" s="79"/>
      <c r="B210" s="1178"/>
      <c r="C210" s="1179"/>
      <c r="D210" s="2300"/>
      <c r="E210" s="81">
        <f t="shared" si="149"/>
        <v>0</v>
      </c>
      <c r="F210" s="82"/>
      <c r="G210" s="83">
        <f t="shared" si="150"/>
        <v>0</v>
      </c>
      <c r="H210" s="84">
        <f t="shared" si="151"/>
        <v>0</v>
      </c>
      <c r="I210" s="1179"/>
      <c r="J210" s="85"/>
      <c r="K210" s="1179"/>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0"/>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ht="15.6">
      <c r="A211" s="79"/>
      <c r="B211" s="1178"/>
      <c r="C211" s="1179"/>
      <c r="D211" s="2300"/>
      <c r="E211" s="81">
        <f t="shared" si="149"/>
        <v>0</v>
      </c>
      <c r="F211" s="82"/>
      <c r="G211" s="83">
        <f t="shared" si="150"/>
        <v>0</v>
      </c>
      <c r="H211" s="84">
        <f t="shared" si="151"/>
        <v>0</v>
      </c>
      <c r="I211" s="1179"/>
      <c r="J211" s="85"/>
      <c r="K211" s="1179"/>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0"/>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ht="15.6">
      <c r="A212" s="79"/>
      <c r="B212" s="1178"/>
      <c r="C212" s="1179"/>
      <c r="D212" s="2300"/>
      <c r="E212" s="81">
        <f t="shared" si="149"/>
        <v>0</v>
      </c>
      <c r="F212" s="82"/>
      <c r="G212" s="83">
        <f t="shared" si="150"/>
        <v>0</v>
      </c>
      <c r="H212" s="84">
        <f t="shared" si="151"/>
        <v>0</v>
      </c>
      <c r="I212" s="1179"/>
      <c r="J212" s="85"/>
      <c r="K212" s="1179"/>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9"/>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ht="15.6">
      <c r="A213" s="79"/>
      <c r="B213" s="1178"/>
      <c r="C213" s="1179"/>
      <c r="D213" s="2300"/>
      <c r="E213" s="81">
        <f t="shared" si="149"/>
        <v>0</v>
      </c>
      <c r="F213" s="82"/>
      <c r="G213" s="83">
        <f t="shared" si="150"/>
        <v>0</v>
      </c>
      <c r="H213" s="84">
        <f t="shared" si="151"/>
        <v>0</v>
      </c>
      <c r="I213" s="1179"/>
      <c r="J213" s="85"/>
      <c r="K213" s="1179"/>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9"/>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ht="15.6">
      <c r="A214" s="79"/>
      <c r="B214" s="1178"/>
      <c r="C214" s="1179"/>
      <c r="D214" s="2300"/>
      <c r="E214" s="81">
        <f t="shared" si="149"/>
        <v>0</v>
      </c>
      <c r="F214" s="82"/>
      <c r="G214" s="83">
        <f t="shared" si="150"/>
        <v>0</v>
      </c>
      <c r="H214" s="84">
        <f t="shared" si="151"/>
        <v>0</v>
      </c>
      <c r="I214" s="1179"/>
      <c r="J214" s="85"/>
      <c r="K214" s="1179"/>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9"/>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ht="15.6">
      <c r="A215" s="79"/>
      <c r="B215" s="1178"/>
      <c r="C215" s="1179"/>
      <c r="D215" s="2300"/>
      <c r="E215" s="81">
        <f t="shared" si="149"/>
        <v>0</v>
      </c>
      <c r="F215" s="82"/>
      <c r="G215" s="83">
        <f t="shared" si="150"/>
        <v>0</v>
      </c>
      <c r="H215" s="84">
        <f t="shared" si="151"/>
        <v>0</v>
      </c>
      <c r="I215" s="1179"/>
      <c r="J215" s="85"/>
      <c r="K215" s="1179"/>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9"/>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ht="15.6">
      <c r="A216" s="79"/>
      <c r="B216" s="1178"/>
      <c r="C216" s="1179"/>
      <c r="D216" s="2300"/>
      <c r="E216" s="81">
        <f t="shared" si="149"/>
        <v>0</v>
      </c>
      <c r="F216" s="82"/>
      <c r="G216" s="83">
        <f t="shared" si="150"/>
        <v>0</v>
      </c>
      <c r="H216" s="84">
        <f t="shared" si="151"/>
        <v>0</v>
      </c>
      <c r="I216" s="1179"/>
      <c r="J216" s="85"/>
      <c r="K216" s="1179"/>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9"/>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ht="15.6">
      <c r="A217" s="79"/>
      <c r="B217" s="1178"/>
      <c r="C217" s="1179"/>
      <c r="D217" s="2300"/>
      <c r="E217" s="81">
        <f t="shared" si="149"/>
        <v>0</v>
      </c>
      <c r="F217" s="82"/>
      <c r="G217" s="83">
        <f t="shared" si="150"/>
        <v>0</v>
      </c>
      <c r="H217" s="84">
        <f t="shared" si="151"/>
        <v>0</v>
      </c>
      <c r="I217" s="1179"/>
      <c r="J217" s="85"/>
      <c r="K217" s="1179"/>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9"/>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ht="15.6">
      <c r="A218" s="79"/>
      <c r="B218" s="1178"/>
      <c r="C218" s="1179"/>
      <c r="D218" s="2300"/>
      <c r="E218" s="81">
        <f t="shared" si="149"/>
        <v>0</v>
      </c>
      <c r="F218" s="82"/>
      <c r="G218" s="83">
        <f t="shared" si="150"/>
        <v>0</v>
      </c>
      <c r="H218" s="84">
        <f t="shared" si="151"/>
        <v>0</v>
      </c>
      <c r="I218" s="1179"/>
      <c r="J218" s="85"/>
      <c r="K218" s="1179"/>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9"/>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ht="15.6">
      <c r="A219" s="79"/>
      <c r="B219" s="1178"/>
      <c r="C219" s="1179"/>
      <c r="D219" s="2300"/>
      <c r="E219" s="81">
        <f t="shared" si="149"/>
        <v>0</v>
      </c>
      <c r="F219" s="82"/>
      <c r="G219" s="83">
        <f t="shared" si="150"/>
        <v>0</v>
      </c>
      <c r="H219" s="84">
        <f t="shared" si="151"/>
        <v>0</v>
      </c>
      <c r="I219" s="1179"/>
      <c r="J219" s="85"/>
      <c r="K219" s="1179"/>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9"/>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ht="15.6">
      <c r="A220" s="79"/>
      <c r="B220" s="1178"/>
      <c r="C220" s="1179"/>
      <c r="D220" s="2300"/>
      <c r="E220" s="81">
        <f t="shared" si="149"/>
        <v>0</v>
      </c>
      <c r="F220" s="82"/>
      <c r="G220" s="83">
        <f t="shared" si="150"/>
        <v>0</v>
      </c>
      <c r="H220" s="84">
        <f t="shared" si="151"/>
        <v>0</v>
      </c>
      <c r="I220" s="1179"/>
      <c r="J220" s="85"/>
      <c r="K220" s="1179"/>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9"/>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ht="15.6">
      <c r="A221" s="79"/>
      <c r="B221" s="1178"/>
      <c r="C221" s="1179"/>
      <c r="D221" s="2300"/>
      <c r="E221" s="81">
        <f t="shared" si="149"/>
        <v>0</v>
      </c>
      <c r="F221" s="82"/>
      <c r="G221" s="83">
        <f t="shared" si="150"/>
        <v>0</v>
      </c>
      <c r="H221" s="84">
        <f t="shared" si="151"/>
        <v>0</v>
      </c>
      <c r="I221" s="1179"/>
      <c r="J221" s="85"/>
      <c r="K221" s="1179"/>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9"/>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ht="15.6">
      <c r="A222" s="79"/>
      <c r="B222" s="1178"/>
      <c r="C222" s="1179"/>
      <c r="D222" s="2300"/>
      <c r="E222" s="81">
        <f t="shared" si="149"/>
        <v>0</v>
      </c>
      <c r="F222" s="82"/>
      <c r="G222" s="83">
        <f t="shared" si="150"/>
        <v>0</v>
      </c>
      <c r="H222" s="84">
        <f t="shared" si="151"/>
        <v>0</v>
      </c>
      <c r="I222" s="1179"/>
      <c r="J222" s="85"/>
      <c r="K222" s="1179"/>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9"/>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ht="15.6">
      <c r="A223" s="79"/>
      <c r="B223" s="1178"/>
      <c r="C223" s="1179"/>
      <c r="D223" s="2300"/>
      <c r="E223" s="81">
        <f t="shared" si="149"/>
        <v>0</v>
      </c>
      <c r="F223" s="82"/>
      <c r="G223" s="83">
        <f t="shared" si="150"/>
        <v>0</v>
      </c>
      <c r="H223" s="84">
        <f t="shared" si="151"/>
        <v>0</v>
      </c>
      <c r="I223" s="1179"/>
      <c r="J223" s="85"/>
      <c r="K223" s="1179"/>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9"/>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ht="15.6">
      <c r="A224" s="79"/>
      <c r="B224" s="1178"/>
      <c r="C224" s="1179"/>
      <c r="D224" s="2300"/>
      <c r="E224" s="81">
        <f t="shared" si="149"/>
        <v>0</v>
      </c>
      <c r="F224" s="82"/>
      <c r="G224" s="83">
        <f t="shared" si="150"/>
        <v>0</v>
      </c>
      <c r="H224" s="84">
        <f t="shared" si="151"/>
        <v>0</v>
      </c>
      <c r="I224" s="1179"/>
      <c r="J224" s="85"/>
      <c r="K224" s="1179"/>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9"/>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ht="15.6">
      <c r="A225" s="79"/>
      <c r="B225" s="1178"/>
      <c r="C225" s="1179"/>
      <c r="D225" s="2300"/>
      <c r="E225" s="81">
        <f t="shared" si="149"/>
        <v>0</v>
      </c>
      <c r="F225" s="82"/>
      <c r="G225" s="83">
        <f t="shared" si="150"/>
        <v>0</v>
      </c>
      <c r="H225" s="84">
        <f t="shared" si="151"/>
        <v>0</v>
      </c>
      <c r="I225" s="1179"/>
      <c r="J225" s="85"/>
      <c r="K225" s="1179"/>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9"/>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ht="15.6">
      <c r="A226" s="79"/>
      <c r="B226" s="1178"/>
      <c r="C226" s="1179"/>
      <c r="D226" s="2300"/>
      <c r="E226" s="81">
        <f t="shared" si="149"/>
        <v>0</v>
      </c>
      <c r="F226" s="82"/>
      <c r="G226" s="83">
        <f t="shared" si="150"/>
        <v>0</v>
      </c>
      <c r="H226" s="84">
        <f t="shared" si="151"/>
        <v>0</v>
      </c>
      <c r="I226" s="1179"/>
      <c r="J226" s="85"/>
      <c r="K226" s="1179"/>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9"/>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ht="15.6">
      <c r="A227" s="79"/>
      <c r="B227" s="1178"/>
      <c r="C227" s="1179"/>
      <c r="D227" s="2300"/>
      <c r="E227" s="81">
        <f t="shared" si="149"/>
        <v>0</v>
      </c>
      <c r="F227" s="82"/>
      <c r="G227" s="83">
        <f t="shared" si="150"/>
        <v>0</v>
      </c>
      <c r="H227" s="84">
        <f t="shared" si="151"/>
        <v>0</v>
      </c>
      <c r="I227" s="1179"/>
      <c r="J227" s="85"/>
      <c r="K227" s="1179"/>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9"/>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ht="15.6">
      <c r="A228" s="79"/>
      <c r="B228" s="1178"/>
      <c r="C228" s="1179"/>
      <c r="D228" s="2300"/>
      <c r="E228" s="81">
        <f t="shared" si="149"/>
        <v>0</v>
      </c>
      <c r="F228" s="82"/>
      <c r="G228" s="83">
        <f t="shared" si="150"/>
        <v>0</v>
      </c>
      <c r="H228" s="84">
        <f t="shared" si="151"/>
        <v>0</v>
      </c>
      <c r="I228" s="1179"/>
      <c r="J228" s="85"/>
      <c r="K228" s="1179"/>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9"/>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ht="15.6">
      <c r="A229" s="79"/>
      <c r="B229" s="1178"/>
      <c r="C229" s="1179"/>
      <c r="D229" s="2300"/>
      <c r="E229" s="81">
        <f t="shared" si="149"/>
        <v>0</v>
      </c>
      <c r="F229" s="82"/>
      <c r="G229" s="83">
        <f t="shared" si="150"/>
        <v>0</v>
      </c>
      <c r="H229" s="84">
        <f t="shared" si="151"/>
        <v>0</v>
      </c>
      <c r="I229" s="1179"/>
      <c r="J229" s="85"/>
      <c r="K229" s="1179"/>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9"/>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ht="15.6">
      <c r="A230" s="79"/>
      <c r="B230" s="1178"/>
      <c r="C230" s="1179"/>
      <c r="D230" s="2300"/>
      <c r="E230" s="81">
        <f t="shared" si="149"/>
        <v>0</v>
      </c>
      <c r="F230" s="82"/>
      <c r="G230" s="83">
        <f t="shared" si="150"/>
        <v>0</v>
      </c>
      <c r="H230" s="84">
        <f t="shared" si="151"/>
        <v>0</v>
      </c>
      <c r="I230" s="1179"/>
      <c r="J230" s="85"/>
      <c r="K230" s="1179"/>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9"/>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ht="15.6">
      <c r="A231" s="79"/>
      <c r="B231" s="1178"/>
      <c r="C231" s="1179"/>
      <c r="D231" s="2300"/>
      <c r="E231" s="81">
        <f t="shared" si="149"/>
        <v>0</v>
      </c>
      <c r="F231" s="82"/>
      <c r="G231" s="83">
        <f t="shared" si="150"/>
        <v>0</v>
      </c>
      <c r="H231" s="84">
        <f t="shared" si="151"/>
        <v>0</v>
      </c>
      <c r="I231" s="1179"/>
      <c r="J231" s="85"/>
      <c r="K231" s="1179"/>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9"/>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ht="15.6">
      <c r="A232" s="79"/>
      <c r="B232" s="1178"/>
      <c r="C232" s="1179"/>
      <c r="D232" s="2300"/>
      <c r="E232" s="81">
        <f t="shared" si="149"/>
        <v>0</v>
      </c>
      <c r="F232" s="82"/>
      <c r="G232" s="83">
        <f t="shared" si="150"/>
        <v>0</v>
      </c>
      <c r="H232" s="84">
        <f t="shared" si="151"/>
        <v>0</v>
      </c>
      <c r="I232" s="1179"/>
      <c r="J232" s="85"/>
      <c r="K232" s="1179"/>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9"/>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ht="15.6">
      <c r="A233" s="79"/>
      <c r="B233" s="1178"/>
      <c r="C233" s="1179"/>
      <c r="D233" s="2300"/>
      <c r="E233" s="81">
        <f t="shared" si="149"/>
        <v>0</v>
      </c>
      <c r="F233" s="82"/>
      <c r="G233" s="83">
        <f t="shared" si="150"/>
        <v>0</v>
      </c>
      <c r="H233" s="84">
        <f t="shared" si="151"/>
        <v>0</v>
      </c>
      <c r="I233" s="1179"/>
      <c r="J233" s="85"/>
      <c r="K233" s="1179"/>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9"/>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ht="15.6">
      <c r="A234" s="79"/>
      <c r="B234" s="1178"/>
      <c r="C234" s="1179"/>
      <c r="D234" s="2300"/>
      <c r="E234" s="81">
        <f t="shared" si="149"/>
        <v>0</v>
      </c>
      <c r="F234" s="82"/>
      <c r="G234" s="83">
        <f t="shared" si="150"/>
        <v>0</v>
      </c>
      <c r="H234" s="84">
        <f t="shared" si="151"/>
        <v>0</v>
      </c>
      <c r="I234" s="1179"/>
      <c r="J234" s="85"/>
      <c r="K234" s="1179"/>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9"/>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ht="15.6">
      <c r="A235" s="79"/>
      <c r="B235" s="1178"/>
      <c r="C235" s="1179"/>
      <c r="D235" s="2300"/>
      <c r="E235" s="81">
        <f t="shared" si="149"/>
        <v>0</v>
      </c>
      <c r="F235" s="82"/>
      <c r="G235" s="83">
        <f t="shared" si="150"/>
        <v>0</v>
      </c>
      <c r="H235" s="84">
        <f t="shared" si="151"/>
        <v>0</v>
      </c>
      <c r="I235" s="1179"/>
      <c r="J235" s="85"/>
      <c r="K235" s="1179"/>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9"/>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ht="15.6">
      <c r="A236" s="79"/>
      <c r="B236" s="1178"/>
      <c r="C236" s="1179"/>
      <c r="D236" s="2300"/>
      <c r="E236" s="81">
        <f t="shared" si="149"/>
        <v>0</v>
      </c>
      <c r="F236" s="82"/>
      <c r="G236" s="83">
        <f t="shared" si="150"/>
        <v>0</v>
      </c>
      <c r="H236" s="84">
        <f t="shared" si="151"/>
        <v>0</v>
      </c>
      <c r="I236" s="1179"/>
      <c r="J236" s="85"/>
      <c r="K236" s="1179"/>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9"/>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ht="15.6">
      <c r="A237" s="79"/>
      <c r="B237" s="1178"/>
      <c r="C237" s="1179"/>
      <c r="D237" s="2300"/>
      <c r="E237" s="81">
        <f t="shared" si="149"/>
        <v>0</v>
      </c>
      <c r="F237" s="82"/>
      <c r="G237" s="83">
        <f t="shared" si="150"/>
        <v>0</v>
      </c>
      <c r="H237" s="84">
        <f t="shared" si="151"/>
        <v>0</v>
      </c>
      <c r="I237" s="1179"/>
      <c r="J237" s="85"/>
      <c r="K237" s="1179"/>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9"/>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ht="15.6">
      <c r="A238" s="79"/>
      <c r="B238" s="1178"/>
      <c r="C238" s="1179"/>
      <c r="D238" s="2300"/>
      <c r="E238" s="81">
        <f t="shared" si="149"/>
        <v>0</v>
      </c>
      <c r="F238" s="82"/>
      <c r="G238" s="83">
        <f t="shared" si="150"/>
        <v>0</v>
      </c>
      <c r="H238" s="84">
        <f t="shared" si="151"/>
        <v>0</v>
      </c>
      <c r="I238" s="1179"/>
      <c r="J238" s="85"/>
      <c r="K238" s="1179"/>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9"/>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ht="15.6">
      <c r="A239" s="79"/>
      <c r="B239" s="1178"/>
      <c r="C239" s="1179"/>
      <c r="D239" s="2300"/>
      <c r="E239" s="81">
        <f t="shared" si="149"/>
        <v>0</v>
      </c>
      <c r="F239" s="82"/>
      <c r="G239" s="83">
        <f t="shared" si="150"/>
        <v>0</v>
      </c>
      <c r="H239" s="84">
        <f t="shared" si="151"/>
        <v>0</v>
      </c>
      <c r="I239" s="1179"/>
      <c r="J239" s="85"/>
      <c r="K239" s="1179"/>
      <c r="L239" s="85"/>
      <c r="M239" s="1179"/>
      <c r="N239" s="85"/>
      <c r="O239" s="85"/>
      <c r="P239" s="85"/>
      <c r="Q239" s="85"/>
      <c r="R239" s="85"/>
      <c r="S239" s="85"/>
      <c r="T239" s="85"/>
      <c r="U239" s="85"/>
      <c r="V239" s="85"/>
      <c r="W239" s="85"/>
      <c r="X239" s="85"/>
      <c r="Y239" s="85"/>
      <c r="Z239" s="85"/>
      <c r="AA239" s="85"/>
      <c r="AB239" s="85"/>
      <c r="AC239" s="81">
        <f t="shared" si="152"/>
        <v>0</v>
      </c>
      <c r="AD239" s="86"/>
      <c r="AE239" s="86"/>
      <c r="AF239" s="1179"/>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ht="15.6">
      <c r="A297" s="79"/>
      <c r="B297" s="1178"/>
      <c r="C297" s="1179"/>
      <c r="D297" s="2300"/>
      <c r="E297" s="81">
        <f t="shared" ref="E297:E328" si="203">IF($C$3="是",ROUND($A$3*G297/$B$3,2),ROUND($A$3*(G297-AT297)/$B$3,2))</f>
        <v>0</v>
      </c>
      <c r="F297" s="82"/>
      <c r="G297" s="83">
        <f t="shared" si="178"/>
        <v>0</v>
      </c>
      <c r="H297" s="84">
        <f t="shared" si="179"/>
        <v>0</v>
      </c>
      <c r="I297" s="1179"/>
      <c r="J297" s="85"/>
      <c r="K297" s="1179"/>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0"/>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ht="15.6">
      <c r="A298" s="79"/>
      <c r="B298" s="1178"/>
      <c r="C298" s="1179"/>
      <c r="D298" s="2300"/>
      <c r="E298" s="81">
        <f t="shared" si="203"/>
        <v>0</v>
      </c>
      <c r="F298" s="82"/>
      <c r="G298" s="83">
        <f t="shared" si="178"/>
        <v>0</v>
      </c>
      <c r="H298" s="84">
        <f t="shared" si="179"/>
        <v>0</v>
      </c>
      <c r="I298" s="1179"/>
      <c r="J298" s="85"/>
      <c r="K298" s="1179"/>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0"/>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ht="15.6">
      <c r="A299" s="79"/>
      <c r="B299" s="1178"/>
      <c r="C299" s="1179"/>
      <c r="D299" s="2300"/>
      <c r="E299" s="81">
        <f t="shared" si="203"/>
        <v>0</v>
      </c>
      <c r="F299" s="82"/>
      <c r="G299" s="83">
        <f t="shared" si="178"/>
        <v>0</v>
      </c>
      <c r="H299" s="84">
        <f t="shared" si="179"/>
        <v>0</v>
      </c>
      <c r="I299" s="1179"/>
      <c r="J299" s="85"/>
      <c r="K299" s="1179"/>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0"/>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ht="15.6">
      <c r="A300" s="79"/>
      <c r="B300" s="1178"/>
      <c r="C300" s="1179"/>
      <c r="D300" s="2300"/>
      <c r="E300" s="81">
        <f t="shared" si="203"/>
        <v>0</v>
      </c>
      <c r="F300" s="82"/>
      <c r="G300" s="83">
        <f t="shared" si="178"/>
        <v>0</v>
      </c>
      <c r="H300" s="84">
        <f t="shared" si="179"/>
        <v>0</v>
      </c>
      <c r="I300" s="1179"/>
      <c r="J300" s="85"/>
      <c r="K300" s="1179"/>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0"/>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ht="15.6">
      <c r="A301" s="79"/>
      <c r="B301" s="1178"/>
      <c r="C301" s="1179"/>
      <c r="D301" s="2300"/>
      <c r="E301" s="81">
        <f t="shared" si="203"/>
        <v>0</v>
      </c>
      <c r="F301" s="82"/>
      <c r="G301" s="83">
        <f t="shared" si="178"/>
        <v>0</v>
      </c>
      <c r="H301" s="84">
        <f t="shared" si="179"/>
        <v>0</v>
      </c>
      <c r="I301" s="1179"/>
      <c r="J301" s="85"/>
      <c r="K301" s="1179"/>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0"/>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ht="15.6">
      <c r="A302" s="79"/>
      <c r="B302" s="1178"/>
      <c r="C302" s="1179"/>
      <c r="D302" s="2300"/>
      <c r="E302" s="81">
        <f t="shared" si="203"/>
        <v>0</v>
      </c>
      <c r="F302" s="82"/>
      <c r="G302" s="83">
        <f t="shared" si="178"/>
        <v>0</v>
      </c>
      <c r="H302" s="84">
        <f t="shared" si="179"/>
        <v>0</v>
      </c>
      <c r="I302" s="1179"/>
      <c r="J302" s="85"/>
      <c r="K302" s="1179"/>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0"/>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ht="15.6">
      <c r="A303" s="79"/>
      <c r="B303" s="1178"/>
      <c r="C303" s="1179"/>
      <c r="D303" s="2300"/>
      <c r="E303" s="81">
        <f t="shared" si="203"/>
        <v>0</v>
      </c>
      <c r="F303" s="82"/>
      <c r="G303" s="83">
        <f t="shared" si="178"/>
        <v>0</v>
      </c>
      <c r="H303" s="84">
        <f t="shared" si="179"/>
        <v>0</v>
      </c>
      <c r="I303" s="1179"/>
      <c r="J303" s="85"/>
      <c r="K303" s="1179"/>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0"/>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ht="15.6">
      <c r="A304" s="79"/>
      <c r="B304" s="1178"/>
      <c r="C304" s="1179"/>
      <c r="D304" s="2300"/>
      <c r="E304" s="81">
        <f t="shared" si="203"/>
        <v>0</v>
      </c>
      <c r="F304" s="82"/>
      <c r="G304" s="83">
        <f t="shared" si="178"/>
        <v>0</v>
      </c>
      <c r="H304" s="84">
        <f t="shared" si="179"/>
        <v>0</v>
      </c>
      <c r="I304" s="1179"/>
      <c r="J304" s="85"/>
      <c r="K304" s="1179"/>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9"/>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ht="15.6">
      <c r="A305" s="79"/>
      <c r="B305" s="1178"/>
      <c r="C305" s="1179"/>
      <c r="D305" s="2300"/>
      <c r="E305" s="81">
        <f t="shared" si="203"/>
        <v>0</v>
      </c>
      <c r="F305" s="82"/>
      <c r="G305" s="83">
        <f t="shared" si="178"/>
        <v>0</v>
      </c>
      <c r="H305" s="84">
        <f t="shared" si="179"/>
        <v>0</v>
      </c>
      <c r="I305" s="1179"/>
      <c r="J305" s="85"/>
      <c r="K305" s="1179"/>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9"/>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ht="15.6">
      <c r="A306" s="79"/>
      <c r="B306" s="1178"/>
      <c r="C306" s="1179"/>
      <c r="D306" s="2300"/>
      <c r="E306" s="81">
        <f t="shared" si="203"/>
        <v>0</v>
      </c>
      <c r="F306" s="82"/>
      <c r="G306" s="83">
        <f t="shared" si="178"/>
        <v>0</v>
      </c>
      <c r="H306" s="84">
        <f t="shared" si="179"/>
        <v>0</v>
      </c>
      <c r="I306" s="1179"/>
      <c r="J306" s="85"/>
      <c r="K306" s="1179"/>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9"/>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ht="15.6">
      <c r="A307" s="79"/>
      <c r="B307" s="1178"/>
      <c r="C307" s="1179"/>
      <c r="D307" s="2300"/>
      <c r="E307" s="81">
        <f t="shared" si="203"/>
        <v>0</v>
      </c>
      <c r="F307" s="82"/>
      <c r="G307" s="83">
        <f t="shared" si="178"/>
        <v>0</v>
      </c>
      <c r="H307" s="84">
        <f t="shared" si="179"/>
        <v>0</v>
      </c>
      <c r="I307" s="1179"/>
      <c r="J307" s="85"/>
      <c r="K307" s="1179"/>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9"/>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ht="15.6">
      <c r="A308" s="79"/>
      <c r="B308" s="1178"/>
      <c r="C308" s="1179"/>
      <c r="D308" s="2300"/>
      <c r="E308" s="81">
        <f t="shared" si="203"/>
        <v>0</v>
      </c>
      <c r="F308" s="82"/>
      <c r="G308" s="83">
        <f t="shared" si="178"/>
        <v>0</v>
      </c>
      <c r="H308" s="84">
        <f t="shared" si="179"/>
        <v>0</v>
      </c>
      <c r="I308" s="1179"/>
      <c r="J308" s="85"/>
      <c r="K308" s="1179"/>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9"/>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ht="15.6">
      <c r="A309" s="79"/>
      <c r="B309" s="1178"/>
      <c r="C309" s="1179"/>
      <c r="D309" s="2300"/>
      <c r="E309" s="81">
        <f t="shared" si="203"/>
        <v>0</v>
      </c>
      <c r="F309" s="82"/>
      <c r="G309" s="83">
        <f t="shared" si="178"/>
        <v>0</v>
      </c>
      <c r="H309" s="84">
        <f t="shared" si="179"/>
        <v>0</v>
      </c>
      <c r="I309" s="1179"/>
      <c r="J309" s="85"/>
      <c r="K309" s="1179"/>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9"/>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ht="15.6">
      <c r="A310" s="79"/>
      <c r="B310" s="1178"/>
      <c r="C310" s="1179"/>
      <c r="D310" s="2300"/>
      <c r="E310" s="81">
        <f t="shared" si="203"/>
        <v>0</v>
      </c>
      <c r="F310" s="82"/>
      <c r="G310" s="83">
        <f t="shared" si="178"/>
        <v>0</v>
      </c>
      <c r="H310" s="84">
        <f t="shared" si="179"/>
        <v>0</v>
      </c>
      <c r="I310" s="1179"/>
      <c r="J310" s="85"/>
      <c r="K310" s="1179"/>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9"/>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ht="15.6">
      <c r="A311" s="79"/>
      <c r="B311" s="1178"/>
      <c r="C311" s="1179"/>
      <c r="D311" s="2300"/>
      <c r="E311" s="81">
        <f t="shared" si="203"/>
        <v>0</v>
      </c>
      <c r="F311" s="82"/>
      <c r="G311" s="83">
        <f t="shared" si="178"/>
        <v>0</v>
      </c>
      <c r="H311" s="84">
        <f t="shared" si="179"/>
        <v>0</v>
      </c>
      <c r="I311" s="1179"/>
      <c r="J311" s="85"/>
      <c r="K311" s="1179"/>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9"/>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ht="15.6">
      <c r="A312" s="79"/>
      <c r="B312" s="1178"/>
      <c r="C312" s="1179"/>
      <c r="D312" s="2300"/>
      <c r="E312" s="81">
        <f t="shared" si="203"/>
        <v>0</v>
      </c>
      <c r="F312" s="82"/>
      <c r="G312" s="83">
        <f t="shared" si="178"/>
        <v>0</v>
      </c>
      <c r="H312" s="84">
        <f t="shared" si="179"/>
        <v>0</v>
      </c>
      <c r="I312" s="1179"/>
      <c r="J312" s="85"/>
      <c r="K312" s="1179"/>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9"/>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ht="15.6">
      <c r="A313" s="79"/>
      <c r="B313" s="1178"/>
      <c r="C313" s="1179"/>
      <c r="D313" s="2300"/>
      <c r="E313" s="81">
        <f t="shared" si="203"/>
        <v>0</v>
      </c>
      <c r="F313" s="82"/>
      <c r="G313" s="83">
        <f t="shared" si="178"/>
        <v>0</v>
      </c>
      <c r="H313" s="84">
        <f t="shared" si="179"/>
        <v>0</v>
      </c>
      <c r="I313" s="1179"/>
      <c r="J313" s="85"/>
      <c r="K313" s="1179"/>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9"/>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ht="15.6">
      <c r="A314" s="79"/>
      <c r="B314" s="1178"/>
      <c r="C314" s="1179"/>
      <c r="D314" s="2300"/>
      <c r="E314" s="81">
        <f t="shared" si="203"/>
        <v>0</v>
      </c>
      <c r="F314" s="82"/>
      <c r="G314" s="83">
        <f t="shared" si="178"/>
        <v>0</v>
      </c>
      <c r="H314" s="84">
        <f t="shared" si="179"/>
        <v>0</v>
      </c>
      <c r="I314" s="1179"/>
      <c r="J314" s="85"/>
      <c r="K314" s="1179"/>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9"/>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ht="15.6">
      <c r="A315" s="79"/>
      <c r="B315" s="1178"/>
      <c r="C315" s="1179"/>
      <c r="D315" s="2300"/>
      <c r="E315" s="81">
        <f t="shared" si="203"/>
        <v>0</v>
      </c>
      <c r="F315" s="82"/>
      <c r="G315" s="83">
        <f t="shared" si="178"/>
        <v>0</v>
      </c>
      <c r="H315" s="84">
        <f t="shared" si="179"/>
        <v>0</v>
      </c>
      <c r="I315" s="1179"/>
      <c r="J315" s="85"/>
      <c r="K315" s="1179"/>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9"/>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ht="15.6">
      <c r="A316" s="79"/>
      <c r="B316" s="1178"/>
      <c r="C316" s="1179"/>
      <c r="D316" s="2300"/>
      <c r="E316" s="81">
        <f t="shared" si="203"/>
        <v>0</v>
      </c>
      <c r="F316" s="82"/>
      <c r="G316" s="83">
        <f t="shared" si="178"/>
        <v>0</v>
      </c>
      <c r="H316" s="84">
        <f t="shared" si="179"/>
        <v>0</v>
      </c>
      <c r="I316" s="1179"/>
      <c r="J316" s="85"/>
      <c r="K316" s="1179"/>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9"/>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ht="15.6">
      <c r="A317" s="79"/>
      <c r="B317" s="1178"/>
      <c r="C317" s="1179"/>
      <c r="D317" s="2300"/>
      <c r="E317" s="81">
        <f t="shared" si="203"/>
        <v>0</v>
      </c>
      <c r="F317" s="82"/>
      <c r="G317" s="83">
        <f t="shared" si="178"/>
        <v>0</v>
      </c>
      <c r="H317" s="84">
        <f t="shared" si="179"/>
        <v>0</v>
      </c>
      <c r="I317" s="1179"/>
      <c r="J317" s="85"/>
      <c r="K317" s="1179"/>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9"/>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ht="15.6">
      <c r="A318" s="79"/>
      <c r="B318" s="1178"/>
      <c r="C318" s="1179"/>
      <c r="D318" s="2300"/>
      <c r="E318" s="81">
        <f t="shared" si="203"/>
        <v>0</v>
      </c>
      <c r="F318" s="82"/>
      <c r="G318" s="83">
        <f t="shared" si="178"/>
        <v>0</v>
      </c>
      <c r="H318" s="84">
        <f t="shared" si="179"/>
        <v>0</v>
      </c>
      <c r="I318" s="1179"/>
      <c r="J318" s="85"/>
      <c r="K318" s="1179"/>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9"/>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ht="15.6">
      <c r="A319" s="79"/>
      <c r="B319" s="1178"/>
      <c r="C319" s="1179"/>
      <c r="D319" s="2300"/>
      <c r="E319" s="81">
        <f t="shared" si="203"/>
        <v>0</v>
      </c>
      <c r="F319" s="82"/>
      <c r="G319" s="83">
        <f t="shared" si="178"/>
        <v>0</v>
      </c>
      <c r="H319" s="84">
        <f t="shared" si="179"/>
        <v>0</v>
      </c>
      <c r="I319" s="1179"/>
      <c r="J319" s="85"/>
      <c r="K319" s="1179"/>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9"/>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ht="15.6">
      <c r="A320" s="79"/>
      <c r="B320" s="1178"/>
      <c r="C320" s="1179"/>
      <c r="D320" s="2300"/>
      <c r="E320" s="81">
        <f t="shared" si="203"/>
        <v>0</v>
      </c>
      <c r="F320" s="82"/>
      <c r="G320" s="83">
        <f t="shared" si="178"/>
        <v>0</v>
      </c>
      <c r="H320" s="84">
        <f t="shared" si="179"/>
        <v>0</v>
      </c>
      <c r="I320" s="1179"/>
      <c r="J320" s="85"/>
      <c r="K320" s="1179"/>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9"/>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ht="15.6">
      <c r="A321" s="79"/>
      <c r="B321" s="1178"/>
      <c r="C321" s="1179"/>
      <c r="D321" s="2300"/>
      <c r="E321" s="81">
        <f t="shared" si="203"/>
        <v>0</v>
      </c>
      <c r="F321" s="82"/>
      <c r="G321" s="83">
        <f t="shared" si="178"/>
        <v>0</v>
      </c>
      <c r="H321" s="84">
        <f t="shared" si="179"/>
        <v>0</v>
      </c>
      <c r="I321" s="1179"/>
      <c r="J321" s="85"/>
      <c r="K321" s="1179"/>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9"/>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ht="15.6">
      <c r="A322" s="79"/>
      <c r="B322" s="1178"/>
      <c r="C322" s="1179"/>
      <c r="D322" s="2300"/>
      <c r="E322" s="81">
        <f t="shared" si="203"/>
        <v>0</v>
      </c>
      <c r="F322" s="82"/>
      <c r="G322" s="83">
        <f t="shared" si="178"/>
        <v>0</v>
      </c>
      <c r="H322" s="84">
        <f t="shared" si="179"/>
        <v>0</v>
      </c>
      <c r="I322" s="1179"/>
      <c r="J322" s="85"/>
      <c r="K322" s="1179"/>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9"/>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ht="15.6">
      <c r="A323" s="79"/>
      <c r="B323" s="1178"/>
      <c r="C323" s="1179"/>
      <c r="D323" s="2300"/>
      <c r="E323" s="81">
        <f t="shared" si="203"/>
        <v>0</v>
      </c>
      <c r="F323" s="82"/>
      <c r="G323" s="83">
        <f t="shared" si="178"/>
        <v>0</v>
      </c>
      <c r="H323" s="84">
        <f t="shared" si="179"/>
        <v>0</v>
      </c>
      <c r="I323" s="1179"/>
      <c r="J323" s="85"/>
      <c r="K323" s="1179"/>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9"/>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ht="15.6">
      <c r="A324" s="79"/>
      <c r="B324" s="1178"/>
      <c r="C324" s="1179"/>
      <c r="D324" s="2300"/>
      <c r="E324" s="81">
        <f t="shared" si="203"/>
        <v>0</v>
      </c>
      <c r="F324" s="82"/>
      <c r="G324" s="83">
        <f t="shared" si="178"/>
        <v>0</v>
      </c>
      <c r="H324" s="84">
        <f t="shared" si="179"/>
        <v>0</v>
      </c>
      <c r="I324" s="1179"/>
      <c r="J324" s="85"/>
      <c r="K324" s="1179"/>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9"/>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ht="15.6">
      <c r="A325" s="79"/>
      <c r="B325" s="1178"/>
      <c r="C325" s="1179"/>
      <c r="D325" s="2300"/>
      <c r="E325" s="81">
        <f t="shared" si="203"/>
        <v>0</v>
      </c>
      <c r="F325" s="82"/>
      <c r="G325" s="83">
        <f t="shared" si="178"/>
        <v>0</v>
      </c>
      <c r="H325" s="84">
        <f t="shared" si="179"/>
        <v>0</v>
      </c>
      <c r="I325" s="1179"/>
      <c r="J325" s="85"/>
      <c r="K325" s="1179"/>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9"/>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ht="15.6">
      <c r="A326" s="79"/>
      <c r="B326" s="1178"/>
      <c r="C326" s="1179"/>
      <c r="D326" s="2300"/>
      <c r="E326" s="81">
        <f t="shared" si="203"/>
        <v>0</v>
      </c>
      <c r="F326" s="82"/>
      <c r="G326" s="83">
        <f t="shared" ref="G326:G357" si="207">H326+AC326+AT326</f>
        <v>0</v>
      </c>
      <c r="H326" s="84">
        <f t="shared" ref="H326:H357" si="208">SUMIF(I$12:AB$12,"总值",I326:AB326)</f>
        <v>0</v>
      </c>
      <c r="I326" s="1179"/>
      <c r="J326" s="85"/>
      <c r="K326" s="1179"/>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9"/>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ht="15.6">
      <c r="A327" s="79"/>
      <c r="B327" s="1178"/>
      <c r="C327" s="1179"/>
      <c r="D327" s="2300"/>
      <c r="E327" s="81">
        <f t="shared" si="203"/>
        <v>0</v>
      </c>
      <c r="F327" s="82"/>
      <c r="G327" s="83">
        <f t="shared" si="207"/>
        <v>0</v>
      </c>
      <c r="H327" s="84">
        <f t="shared" si="208"/>
        <v>0</v>
      </c>
      <c r="I327" s="1179"/>
      <c r="J327" s="85"/>
      <c r="K327" s="1179"/>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9"/>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ht="15.6">
      <c r="A328" s="79"/>
      <c r="B328" s="1178"/>
      <c r="C328" s="1179"/>
      <c r="D328" s="2300"/>
      <c r="E328" s="81">
        <f t="shared" si="203"/>
        <v>0</v>
      </c>
      <c r="F328" s="82"/>
      <c r="G328" s="83">
        <f t="shared" si="207"/>
        <v>0</v>
      </c>
      <c r="H328" s="84">
        <f t="shared" si="208"/>
        <v>0</v>
      </c>
      <c r="I328" s="1179"/>
      <c r="J328" s="85"/>
      <c r="K328" s="1179"/>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9"/>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ht="15.6">
      <c r="A329" s="79"/>
      <c r="B329" s="1178"/>
      <c r="C329" s="1179"/>
      <c r="D329" s="2300"/>
      <c r="E329" s="81">
        <f t="shared" ref="E329:E360" si="232">IF($C$3="是",ROUND($A$3*G329/$B$3,2),ROUND($A$3*(G329-AT329)/$B$3,2))</f>
        <v>0</v>
      </c>
      <c r="F329" s="82"/>
      <c r="G329" s="83">
        <f t="shared" si="207"/>
        <v>0</v>
      </c>
      <c r="H329" s="84">
        <f t="shared" si="208"/>
        <v>0</v>
      </c>
      <c r="I329" s="1179"/>
      <c r="J329" s="85"/>
      <c r="K329" s="1179"/>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9"/>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ht="15.6">
      <c r="A330" s="79"/>
      <c r="B330" s="1178"/>
      <c r="C330" s="1179"/>
      <c r="D330" s="2300"/>
      <c r="E330" s="81">
        <f t="shared" si="232"/>
        <v>0</v>
      </c>
      <c r="F330" s="82"/>
      <c r="G330" s="83">
        <f t="shared" si="207"/>
        <v>0</v>
      </c>
      <c r="H330" s="84">
        <f t="shared" si="208"/>
        <v>0</v>
      </c>
      <c r="I330" s="1179"/>
      <c r="J330" s="85"/>
      <c r="K330" s="1179"/>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9"/>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ht="15.6">
      <c r="A331" s="79"/>
      <c r="B331" s="1178"/>
      <c r="C331" s="1179"/>
      <c r="D331" s="2300"/>
      <c r="E331" s="81">
        <f t="shared" si="232"/>
        <v>0</v>
      </c>
      <c r="F331" s="82"/>
      <c r="G331" s="83">
        <f t="shared" si="207"/>
        <v>0</v>
      </c>
      <c r="H331" s="84">
        <f t="shared" si="208"/>
        <v>0</v>
      </c>
      <c r="I331" s="1179"/>
      <c r="J331" s="85"/>
      <c r="K331" s="1179"/>
      <c r="L331" s="85"/>
      <c r="M331" s="1179"/>
      <c r="N331" s="85"/>
      <c r="O331" s="85"/>
      <c r="P331" s="85"/>
      <c r="Q331" s="85"/>
      <c r="R331" s="85"/>
      <c r="S331" s="85"/>
      <c r="T331" s="85"/>
      <c r="U331" s="85"/>
      <c r="V331" s="85"/>
      <c r="W331" s="85"/>
      <c r="X331" s="85"/>
      <c r="Y331" s="85"/>
      <c r="Z331" s="85"/>
      <c r="AA331" s="85"/>
      <c r="AB331" s="85"/>
      <c r="AC331" s="81">
        <f t="shared" si="209"/>
        <v>0</v>
      </c>
      <c r="AD331" s="86"/>
      <c r="AE331" s="86"/>
      <c r="AF331" s="1179"/>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ht="15.6">
      <c r="A389" s="79"/>
      <c r="B389" s="1178"/>
      <c r="C389" s="1179"/>
      <c r="D389" s="2300"/>
      <c r="E389" s="81">
        <f t="shared" ref="E389:E480" si="265">IF($C$3="是",ROUND($A$3*G389/$B$3,2),ROUND($A$3*(G389-AT389)/$B$3,2))</f>
        <v>0</v>
      </c>
      <c r="F389" s="82"/>
      <c r="G389" s="83">
        <f t="shared" ref="G389:G477" si="266">H389+AC389+AT389</f>
        <v>0</v>
      </c>
      <c r="H389" s="84">
        <f t="shared" ref="H389:H477" si="267">SUMIF(I$12:AB$12,"总值",I389:AB389)</f>
        <v>0</v>
      </c>
      <c r="I389" s="1179"/>
      <c r="J389" s="85"/>
      <c r="K389" s="1179"/>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0"/>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ht="15.6">
      <c r="A390" s="79"/>
      <c r="B390" s="1178"/>
      <c r="C390" s="1179"/>
      <c r="D390" s="2300"/>
      <c r="E390" s="81">
        <f t="shared" si="265"/>
        <v>0</v>
      </c>
      <c r="F390" s="82"/>
      <c r="G390" s="83">
        <f t="shared" si="266"/>
        <v>0</v>
      </c>
      <c r="H390" s="84">
        <f t="shared" si="267"/>
        <v>0</v>
      </c>
      <c r="I390" s="1179"/>
      <c r="J390" s="85"/>
      <c r="K390" s="1179"/>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0"/>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ht="15.6">
      <c r="A391" s="79"/>
      <c r="B391" s="1178"/>
      <c r="C391" s="1179"/>
      <c r="D391" s="2300"/>
      <c r="E391" s="81">
        <f t="shared" si="265"/>
        <v>0</v>
      </c>
      <c r="F391" s="82"/>
      <c r="G391" s="83">
        <f t="shared" si="266"/>
        <v>0</v>
      </c>
      <c r="H391" s="84">
        <f t="shared" si="267"/>
        <v>0</v>
      </c>
      <c r="I391" s="1179"/>
      <c r="J391" s="85"/>
      <c r="K391" s="1179"/>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0"/>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ht="15.6">
      <c r="A392" s="79"/>
      <c r="B392" s="1178"/>
      <c r="C392" s="1179"/>
      <c r="D392" s="2300"/>
      <c r="E392" s="81">
        <f t="shared" si="265"/>
        <v>0</v>
      </c>
      <c r="F392" s="82"/>
      <c r="G392" s="83">
        <f t="shared" si="266"/>
        <v>0</v>
      </c>
      <c r="H392" s="84">
        <f t="shared" si="267"/>
        <v>0</v>
      </c>
      <c r="I392" s="1179"/>
      <c r="J392" s="85"/>
      <c r="K392" s="1179"/>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0"/>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ht="15.6">
      <c r="A393" s="79"/>
      <c r="B393" s="1178"/>
      <c r="C393" s="1179"/>
      <c r="D393" s="2300"/>
      <c r="E393" s="81">
        <f t="shared" si="265"/>
        <v>0</v>
      </c>
      <c r="F393" s="82"/>
      <c r="G393" s="83">
        <f t="shared" si="266"/>
        <v>0</v>
      </c>
      <c r="H393" s="84">
        <f t="shared" si="267"/>
        <v>0</v>
      </c>
      <c r="I393" s="1179"/>
      <c r="J393" s="85"/>
      <c r="K393" s="1179"/>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0"/>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ht="15.6">
      <c r="A394" s="79"/>
      <c r="B394" s="1178"/>
      <c r="C394" s="1179"/>
      <c r="D394" s="2300"/>
      <c r="E394" s="81">
        <f t="shared" si="265"/>
        <v>0</v>
      </c>
      <c r="F394" s="82"/>
      <c r="G394" s="83">
        <f t="shared" si="266"/>
        <v>0</v>
      </c>
      <c r="H394" s="84">
        <f t="shared" si="267"/>
        <v>0</v>
      </c>
      <c r="I394" s="1179"/>
      <c r="J394" s="85"/>
      <c r="K394" s="1179"/>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0"/>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ht="15.6">
      <c r="A395" s="79"/>
      <c r="B395" s="1178"/>
      <c r="C395" s="1179"/>
      <c r="D395" s="2300"/>
      <c r="E395" s="81">
        <f t="shared" si="265"/>
        <v>0</v>
      </c>
      <c r="F395" s="82"/>
      <c r="G395" s="83">
        <f t="shared" si="266"/>
        <v>0</v>
      </c>
      <c r="H395" s="84">
        <f t="shared" si="267"/>
        <v>0</v>
      </c>
      <c r="I395" s="1179"/>
      <c r="J395" s="85"/>
      <c r="K395" s="1179"/>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0"/>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ht="15.6">
      <c r="A396" s="79"/>
      <c r="B396" s="1178"/>
      <c r="C396" s="1179"/>
      <c r="D396" s="2300"/>
      <c r="E396" s="81">
        <f t="shared" si="265"/>
        <v>0</v>
      </c>
      <c r="F396" s="82"/>
      <c r="G396" s="83">
        <f t="shared" si="266"/>
        <v>0</v>
      </c>
      <c r="H396" s="84">
        <f t="shared" si="267"/>
        <v>0</v>
      </c>
      <c r="I396" s="1179"/>
      <c r="J396" s="85"/>
      <c r="K396" s="1179"/>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9"/>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ht="15.6">
      <c r="A397" s="79"/>
      <c r="B397" s="1178"/>
      <c r="C397" s="1179"/>
      <c r="D397" s="2300"/>
      <c r="E397" s="81">
        <f t="shared" si="265"/>
        <v>0</v>
      </c>
      <c r="F397" s="82"/>
      <c r="G397" s="83">
        <f t="shared" si="266"/>
        <v>0</v>
      </c>
      <c r="H397" s="84">
        <f t="shared" si="267"/>
        <v>0</v>
      </c>
      <c r="I397" s="1179"/>
      <c r="J397" s="85"/>
      <c r="K397" s="1179"/>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9"/>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ht="15.6">
      <c r="A398" s="79"/>
      <c r="B398" s="1178"/>
      <c r="C398" s="1179"/>
      <c r="D398" s="2300"/>
      <c r="E398" s="81">
        <f t="shared" si="265"/>
        <v>0</v>
      </c>
      <c r="F398" s="82"/>
      <c r="G398" s="83">
        <f t="shared" si="266"/>
        <v>0</v>
      </c>
      <c r="H398" s="84">
        <f t="shared" si="267"/>
        <v>0</v>
      </c>
      <c r="I398" s="1179"/>
      <c r="J398" s="85"/>
      <c r="K398" s="1179"/>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9"/>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ht="15.6">
      <c r="A399" s="79"/>
      <c r="B399" s="1178"/>
      <c r="C399" s="1179"/>
      <c r="D399" s="2300"/>
      <c r="E399" s="81">
        <f t="shared" si="265"/>
        <v>0</v>
      </c>
      <c r="F399" s="82"/>
      <c r="G399" s="83">
        <f t="shared" si="266"/>
        <v>0</v>
      </c>
      <c r="H399" s="84">
        <f t="shared" si="267"/>
        <v>0</v>
      </c>
      <c r="I399" s="1179"/>
      <c r="J399" s="85"/>
      <c r="K399" s="1179"/>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9"/>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ht="15.6">
      <c r="A400" s="79"/>
      <c r="B400" s="1178"/>
      <c r="C400" s="1179"/>
      <c r="D400" s="2300"/>
      <c r="E400" s="81">
        <f t="shared" si="265"/>
        <v>0</v>
      </c>
      <c r="F400" s="82"/>
      <c r="G400" s="83">
        <f t="shared" si="266"/>
        <v>0</v>
      </c>
      <c r="H400" s="84">
        <f t="shared" si="267"/>
        <v>0</v>
      </c>
      <c r="I400" s="1179"/>
      <c r="J400" s="85"/>
      <c r="K400" s="1179"/>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9"/>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ht="15.6">
      <c r="A401" s="79"/>
      <c r="B401" s="1178"/>
      <c r="C401" s="1179"/>
      <c r="D401" s="2300"/>
      <c r="E401" s="81">
        <f t="shared" si="265"/>
        <v>0</v>
      </c>
      <c r="F401" s="82"/>
      <c r="G401" s="83">
        <f t="shared" si="266"/>
        <v>0</v>
      </c>
      <c r="H401" s="84">
        <f t="shared" si="267"/>
        <v>0</v>
      </c>
      <c r="I401" s="1179"/>
      <c r="J401" s="85"/>
      <c r="K401" s="1179"/>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9"/>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ht="15.6">
      <c r="A402" s="79"/>
      <c r="B402" s="1178"/>
      <c r="C402" s="1179"/>
      <c r="D402" s="2300"/>
      <c r="E402" s="81">
        <f t="shared" si="265"/>
        <v>0</v>
      </c>
      <c r="F402" s="82"/>
      <c r="G402" s="83">
        <f t="shared" si="266"/>
        <v>0</v>
      </c>
      <c r="H402" s="84">
        <f t="shared" si="267"/>
        <v>0</v>
      </c>
      <c r="I402" s="1179"/>
      <c r="J402" s="85"/>
      <c r="K402" s="1179"/>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9"/>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ht="15.6">
      <c r="A403" s="79"/>
      <c r="B403" s="1178"/>
      <c r="C403" s="1179"/>
      <c r="D403" s="2300"/>
      <c r="E403" s="81">
        <f t="shared" si="265"/>
        <v>0</v>
      </c>
      <c r="F403" s="82"/>
      <c r="G403" s="83">
        <f t="shared" si="266"/>
        <v>0</v>
      </c>
      <c r="H403" s="84">
        <f t="shared" si="267"/>
        <v>0</v>
      </c>
      <c r="I403" s="1179"/>
      <c r="J403" s="85"/>
      <c r="K403" s="1179"/>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9"/>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ht="15.6">
      <c r="A404" s="79"/>
      <c r="B404" s="1178"/>
      <c r="C404" s="1179"/>
      <c r="D404" s="2300"/>
      <c r="E404" s="81">
        <f t="shared" si="265"/>
        <v>0</v>
      </c>
      <c r="F404" s="82"/>
      <c r="G404" s="83">
        <f t="shared" si="266"/>
        <v>0</v>
      </c>
      <c r="H404" s="84">
        <f t="shared" si="267"/>
        <v>0</v>
      </c>
      <c r="I404" s="1179"/>
      <c r="J404" s="85"/>
      <c r="K404" s="1179"/>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9"/>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ht="15.6">
      <c r="A405" s="79"/>
      <c r="B405" s="1178"/>
      <c r="C405" s="1179"/>
      <c r="D405" s="2300"/>
      <c r="E405" s="81">
        <f t="shared" si="265"/>
        <v>0</v>
      </c>
      <c r="F405" s="82"/>
      <c r="G405" s="83">
        <f t="shared" si="266"/>
        <v>0</v>
      </c>
      <c r="H405" s="84">
        <f t="shared" si="267"/>
        <v>0</v>
      </c>
      <c r="I405" s="1179"/>
      <c r="J405" s="85"/>
      <c r="K405" s="1179"/>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9"/>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ht="15.6">
      <c r="A406" s="79"/>
      <c r="B406" s="1178"/>
      <c r="C406" s="1179"/>
      <c r="D406" s="2300"/>
      <c r="E406" s="81">
        <f t="shared" si="265"/>
        <v>0</v>
      </c>
      <c r="F406" s="82"/>
      <c r="G406" s="83">
        <f t="shared" si="266"/>
        <v>0</v>
      </c>
      <c r="H406" s="84">
        <f t="shared" si="267"/>
        <v>0</v>
      </c>
      <c r="I406" s="1179"/>
      <c r="J406" s="85"/>
      <c r="K406" s="1179"/>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9"/>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ht="15.6">
      <c r="A407" s="79"/>
      <c r="B407" s="1178"/>
      <c r="C407" s="1179"/>
      <c r="D407" s="2300"/>
      <c r="E407" s="81">
        <f t="shared" si="265"/>
        <v>0</v>
      </c>
      <c r="F407" s="82"/>
      <c r="G407" s="83">
        <f t="shared" si="266"/>
        <v>0</v>
      </c>
      <c r="H407" s="84">
        <f t="shared" si="267"/>
        <v>0</v>
      </c>
      <c r="I407" s="1179"/>
      <c r="J407" s="85"/>
      <c r="K407" s="1179"/>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9"/>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ht="15.6">
      <c r="A408" s="79"/>
      <c r="B408" s="1178"/>
      <c r="C408" s="1179"/>
      <c r="D408" s="2300"/>
      <c r="E408" s="81">
        <f t="shared" si="265"/>
        <v>0</v>
      </c>
      <c r="F408" s="82"/>
      <c r="G408" s="83">
        <f t="shared" si="266"/>
        <v>0</v>
      </c>
      <c r="H408" s="84">
        <f t="shared" si="267"/>
        <v>0</v>
      </c>
      <c r="I408" s="1179"/>
      <c r="J408" s="85"/>
      <c r="K408" s="1179"/>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9"/>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ht="15.6">
      <c r="A409" s="79"/>
      <c r="B409" s="1178"/>
      <c r="C409" s="1179"/>
      <c r="D409" s="2300"/>
      <c r="E409" s="81">
        <f t="shared" si="265"/>
        <v>0</v>
      </c>
      <c r="F409" s="82"/>
      <c r="G409" s="83">
        <f t="shared" si="266"/>
        <v>0</v>
      </c>
      <c r="H409" s="84">
        <f t="shared" si="267"/>
        <v>0</v>
      </c>
      <c r="I409" s="1179"/>
      <c r="J409" s="85"/>
      <c r="K409" s="1179"/>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9"/>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ht="15.6">
      <c r="A410" s="79"/>
      <c r="B410" s="1178"/>
      <c r="C410" s="1179"/>
      <c r="D410" s="2300"/>
      <c r="E410" s="81">
        <f t="shared" si="265"/>
        <v>0</v>
      </c>
      <c r="F410" s="82"/>
      <c r="G410" s="83">
        <f t="shared" si="266"/>
        <v>0</v>
      </c>
      <c r="H410" s="84">
        <f t="shared" si="267"/>
        <v>0</v>
      </c>
      <c r="I410" s="1179"/>
      <c r="J410" s="85"/>
      <c r="K410" s="1179"/>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9"/>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ht="15.6">
      <c r="A411" s="79"/>
      <c r="B411" s="1178"/>
      <c r="C411" s="1179"/>
      <c r="D411" s="2300"/>
      <c r="E411" s="81">
        <f t="shared" si="265"/>
        <v>0</v>
      </c>
      <c r="F411" s="82"/>
      <c r="G411" s="83">
        <f t="shared" si="266"/>
        <v>0</v>
      </c>
      <c r="H411" s="84">
        <f t="shared" si="267"/>
        <v>0</v>
      </c>
      <c r="I411" s="1179"/>
      <c r="J411" s="85"/>
      <c r="K411" s="1179"/>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9"/>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ht="15.6">
      <c r="A412" s="79"/>
      <c r="B412" s="1178"/>
      <c r="C412" s="1179"/>
      <c r="D412" s="2300"/>
      <c r="E412" s="81">
        <f t="shared" si="265"/>
        <v>0</v>
      </c>
      <c r="F412" s="82"/>
      <c r="G412" s="83">
        <f t="shared" si="266"/>
        <v>0</v>
      </c>
      <c r="H412" s="84">
        <f t="shared" si="267"/>
        <v>0</v>
      </c>
      <c r="I412" s="1179"/>
      <c r="J412" s="85"/>
      <c r="K412" s="1179"/>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9"/>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ht="15.6">
      <c r="A413" s="79"/>
      <c r="B413" s="1178"/>
      <c r="C413" s="1179"/>
      <c r="D413" s="2300"/>
      <c r="E413" s="81">
        <f t="shared" si="265"/>
        <v>0</v>
      </c>
      <c r="F413" s="82"/>
      <c r="G413" s="83">
        <f t="shared" si="266"/>
        <v>0</v>
      </c>
      <c r="H413" s="84">
        <f t="shared" si="267"/>
        <v>0</v>
      </c>
      <c r="I413" s="1179"/>
      <c r="J413" s="85"/>
      <c r="K413" s="1179"/>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9"/>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ht="15.6">
      <c r="A414" s="79"/>
      <c r="B414" s="1178"/>
      <c r="C414" s="1179"/>
      <c r="D414" s="2300"/>
      <c r="E414" s="81">
        <f t="shared" si="265"/>
        <v>0</v>
      </c>
      <c r="F414" s="82"/>
      <c r="G414" s="83">
        <f t="shared" si="266"/>
        <v>0</v>
      </c>
      <c r="H414" s="84">
        <f t="shared" si="267"/>
        <v>0</v>
      </c>
      <c r="I414" s="1179"/>
      <c r="J414" s="85"/>
      <c r="K414" s="1179"/>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9"/>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ht="15.6">
      <c r="A415" s="79"/>
      <c r="B415" s="1178"/>
      <c r="C415" s="1179"/>
      <c r="D415" s="2300"/>
      <c r="E415" s="81">
        <f t="shared" si="265"/>
        <v>0</v>
      </c>
      <c r="F415" s="82"/>
      <c r="G415" s="83">
        <f t="shared" si="266"/>
        <v>0</v>
      </c>
      <c r="H415" s="84">
        <f t="shared" si="267"/>
        <v>0</v>
      </c>
      <c r="I415" s="1179"/>
      <c r="J415" s="85"/>
      <c r="K415" s="1179"/>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9"/>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ht="15.6">
      <c r="A416" s="79"/>
      <c r="B416" s="1178"/>
      <c r="C416" s="1179"/>
      <c r="D416" s="2300"/>
      <c r="E416" s="81">
        <f t="shared" si="265"/>
        <v>0</v>
      </c>
      <c r="F416" s="82"/>
      <c r="G416" s="83">
        <f t="shared" si="266"/>
        <v>0</v>
      </c>
      <c r="H416" s="84">
        <f t="shared" si="267"/>
        <v>0</v>
      </c>
      <c r="I416" s="1179"/>
      <c r="J416" s="85"/>
      <c r="K416" s="1179"/>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9"/>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ht="15.6">
      <c r="A417" s="79"/>
      <c r="B417" s="1178"/>
      <c r="C417" s="1179"/>
      <c r="D417" s="2300"/>
      <c r="E417" s="81">
        <f t="shared" si="265"/>
        <v>0</v>
      </c>
      <c r="F417" s="82"/>
      <c r="G417" s="83">
        <f t="shared" si="266"/>
        <v>0</v>
      </c>
      <c r="H417" s="84">
        <f t="shared" si="267"/>
        <v>0</v>
      </c>
      <c r="I417" s="1179"/>
      <c r="J417" s="85"/>
      <c r="K417" s="1179"/>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9"/>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ht="15.6">
      <c r="A418" s="79"/>
      <c r="B418" s="1178"/>
      <c r="C418" s="1179"/>
      <c r="D418" s="2300"/>
      <c r="E418" s="81">
        <f t="shared" si="265"/>
        <v>0</v>
      </c>
      <c r="F418" s="82"/>
      <c r="G418" s="83">
        <f t="shared" si="266"/>
        <v>0</v>
      </c>
      <c r="H418" s="84">
        <f t="shared" si="267"/>
        <v>0</v>
      </c>
      <c r="I418" s="1179"/>
      <c r="J418" s="85"/>
      <c r="K418" s="1179"/>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9"/>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ht="15.6">
      <c r="A419" s="79"/>
      <c r="B419" s="1178"/>
      <c r="C419" s="1179"/>
      <c r="D419" s="2300"/>
      <c r="E419" s="81">
        <f t="shared" si="265"/>
        <v>0</v>
      </c>
      <c r="F419" s="82"/>
      <c r="G419" s="83">
        <f t="shared" si="266"/>
        <v>0</v>
      </c>
      <c r="H419" s="84">
        <f t="shared" si="267"/>
        <v>0</v>
      </c>
      <c r="I419" s="1179"/>
      <c r="J419" s="85"/>
      <c r="K419" s="1179"/>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9"/>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ht="15.6">
      <c r="A420" s="79"/>
      <c r="B420" s="1178"/>
      <c r="C420" s="1179"/>
      <c r="D420" s="2300"/>
      <c r="E420" s="81">
        <f t="shared" si="265"/>
        <v>0</v>
      </c>
      <c r="F420" s="82"/>
      <c r="G420" s="83">
        <f t="shared" si="266"/>
        <v>0</v>
      </c>
      <c r="H420" s="84">
        <f t="shared" si="267"/>
        <v>0</v>
      </c>
      <c r="I420" s="1179"/>
      <c r="J420" s="85"/>
      <c r="K420" s="1179"/>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9"/>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ht="15.6">
      <c r="A421" s="79"/>
      <c r="B421" s="1178"/>
      <c r="C421" s="1179"/>
      <c r="D421" s="2300"/>
      <c r="E421" s="81">
        <f t="shared" si="265"/>
        <v>0</v>
      </c>
      <c r="F421" s="82"/>
      <c r="G421" s="83">
        <f t="shared" si="266"/>
        <v>0</v>
      </c>
      <c r="H421" s="84">
        <f t="shared" si="267"/>
        <v>0</v>
      </c>
      <c r="I421" s="1179"/>
      <c r="J421" s="85"/>
      <c r="K421" s="1179"/>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9"/>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ht="15.6">
      <c r="A422" s="79"/>
      <c r="B422" s="1178"/>
      <c r="C422" s="1179"/>
      <c r="D422" s="2300"/>
      <c r="E422" s="81">
        <f t="shared" si="265"/>
        <v>0</v>
      </c>
      <c r="F422" s="82"/>
      <c r="G422" s="83">
        <f t="shared" si="266"/>
        <v>0</v>
      </c>
      <c r="H422" s="84">
        <f t="shared" si="267"/>
        <v>0</v>
      </c>
      <c r="I422" s="1179"/>
      <c r="J422" s="85"/>
      <c r="K422" s="1179"/>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9"/>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ht="15.6">
      <c r="A423" s="79"/>
      <c r="B423" s="1178"/>
      <c r="C423" s="1179"/>
      <c r="D423" s="2300"/>
      <c r="E423" s="81">
        <f t="shared" si="265"/>
        <v>0</v>
      </c>
      <c r="F423" s="82"/>
      <c r="G423" s="83">
        <f t="shared" si="266"/>
        <v>0</v>
      </c>
      <c r="H423" s="84">
        <f t="shared" si="267"/>
        <v>0</v>
      </c>
      <c r="I423" s="1179"/>
      <c r="J423" s="85"/>
      <c r="K423" s="1179"/>
      <c r="L423" s="85"/>
      <c r="M423" s="1179"/>
      <c r="N423" s="85"/>
      <c r="O423" s="85"/>
      <c r="P423" s="85"/>
      <c r="Q423" s="85"/>
      <c r="R423" s="85"/>
      <c r="S423" s="85"/>
      <c r="T423" s="85"/>
      <c r="U423" s="85"/>
      <c r="V423" s="85"/>
      <c r="W423" s="85"/>
      <c r="X423" s="85"/>
      <c r="Y423" s="85"/>
      <c r="Z423" s="85"/>
      <c r="AA423" s="85"/>
      <c r="AB423" s="85"/>
      <c r="AC423" s="81">
        <f t="shared" si="268"/>
        <v>0</v>
      </c>
      <c r="AD423" s="86"/>
      <c r="AE423" s="86"/>
      <c r="AF423" s="1179"/>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ht="15.6">
      <c r="A481" s="79"/>
      <c r="B481" s="1178"/>
      <c r="C481" s="1179"/>
      <c r="D481" s="2300"/>
      <c r="E481" s="81">
        <f t="shared" ref="E481:E504" si="319">IF($C$3="是",ROUND($A$3*G481/$B$3,2),ROUND($A$3*(G481-AT481)/$B$3,2))</f>
        <v>0</v>
      </c>
      <c r="F481" s="82"/>
      <c r="G481" s="83">
        <f t="shared" si="294"/>
        <v>0</v>
      </c>
      <c r="H481" s="84">
        <f t="shared" si="295"/>
        <v>0</v>
      </c>
      <c r="I481" s="1179"/>
      <c r="J481" s="85"/>
      <c r="K481" s="1179"/>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0"/>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ht="15.6">
      <c r="A482" s="79"/>
      <c r="B482" s="1178"/>
      <c r="C482" s="1179"/>
      <c r="D482" s="2300"/>
      <c r="E482" s="81">
        <f t="shared" si="319"/>
        <v>0</v>
      </c>
      <c r="F482" s="82"/>
      <c r="G482" s="83">
        <f t="shared" si="294"/>
        <v>0</v>
      </c>
      <c r="H482" s="84">
        <f t="shared" si="295"/>
        <v>0</v>
      </c>
      <c r="I482" s="1179"/>
      <c r="J482" s="85"/>
      <c r="K482" s="1179"/>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0"/>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ht="15.6">
      <c r="A483" s="79"/>
      <c r="B483" s="1178"/>
      <c r="C483" s="1179"/>
      <c r="D483" s="2300"/>
      <c r="E483" s="81">
        <f t="shared" si="319"/>
        <v>0</v>
      </c>
      <c r="F483" s="82"/>
      <c r="G483" s="83">
        <f t="shared" si="294"/>
        <v>0</v>
      </c>
      <c r="H483" s="84">
        <f t="shared" si="295"/>
        <v>0</v>
      </c>
      <c r="I483" s="1179"/>
      <c r="J483" s="85"/>
      <c r="K483" s="1179"/>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0"/>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ht="15.6">
      <c r="A484" s="79"/>
      <c r="B484" s="1178"/>
      <c r="C484" s="1179"/>
      <c r="D484" s="2300"/>
      <c r="E484" s="81">
        <f t="shared" si="319"/>
        <v>0</v>
      </c>
      <c r="F484" s="82"/>
      <c r="G484" s="83">
        <f t="shared" si="294"/>
        <v>0</v>
      </c>
      <c r="H484" s="84">
        <f t="shared" si="295"/>
        <v>0</v>
      </c>
      <c r="I484" s="1179"/>
      <c r="J484" s="85"/>
      <c r="K484" s="1179"/>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0"/>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ht="15.6">
      <c r="A485" s="79"/>
      <c r="B485" s="1178"/>
      <c r="C485" s="1179"/>
      <c r="D485" s="2300"/>
      <c r="E485" s="81">
        <f t="shared" si="319"/>
        <v>0</v>
      </c>
      <c r="F485" s="82"/>
      <c r="G485" s="83">
        <f t="shared" si="294"/>
        <v>0</v>
      </c>
      <c r="H485" s="84">
        <f t="shared" si="295"/>
        <v>0</v>
      </c>
      <c r="I485" s="1179"/>
      <c r="J485" s="85"/>
      <c r="K485" s="1179"/>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0"/>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ht="15.6">
      <c r="A486" s="79"/>
      <c r="B486" s="1178"/>
      <c r="C486" s="1179"/>
      <c r="D486" s="2300"/>
      <c r="E486" s="81">
        <f t="shared" si="319"/>
        <v>0</v>
      </c>
      <c r="F486" s="82"/>
      <c r="G486" s="83">
        <f t="shared" si="294"/>
        <v>0</v>
      </c>
      <c r="H486" s="84">
        <f t="shared" si="295"/>
        <v>0</v>
      </c>
      <c r="I486" s="1179"/>
      <c r="J486" s="85"/>
      <c r="K486" s="1179"/>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0"/>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ht="15.6">
      <c r="A487" s="79"/>
      <c r="B487" s="1178"/>
      <c r="C487" s="1179"/>
      <c r="D487" s="2300"/>
      <c r="E487" s="81">
        <f t="shared" si="319"/>
        <v>0</v>
      </c>
      <c r="F487" s="82"/>
      <c r="G487" s="83">
        <f t="shared" si="294"/>
        <v>0</v>
      </c>
      <c r="H487" s="84">
        <f t="shared" si="295"/>
        <v>0</v>
      </c>
      <c r="I487" s="1179"/>
      <c r="J487" s="85"/>
      <c r="K487" s="1179"/>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0"/>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ht="15.6">
      <c r="A488" s="79"/>
      <c r="B488" s="1178"/>
      <c r="C488" s="1179"/>
      <c r="D488" s="2300"/>
      <c r="E488" s="81">
        <f t="shared" si="319"/>
        <v>0</v>
      </c>
      <c r="F488" s="82"/>
      <c r="G488" s="83">
        <f t="shared" si="294"/>
        <v>0</v>
      </c>
      <c r="H488" s="84">
        <f t="shared" si="295"/>
        <v>0</v>
      </c>
      <c r="I488" s="1179"/>
      <c r="J488" s="85"/>
      <c r="K488" s="1179"/>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9"/>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ht="15.6">
      <c r="A489" s="79"/>
      <c r="B489" s="1178"/>
      <c r="C489" s="1179"/>
      <c r="D489" s="2300"/>
      <c r="E489" s="81">
        <f t="shared" si="319"/>
        <v>0</v>
      </c>
      <c r="F489" s="82"/>
      <c r="G489" s="83">
        <f t="shared" si="294"/>
        <v>0</v>
      </c>
      <c r="H489" s="84">
        <f t="shared" si="295"/>
        <v>0</v>
      </c>
      <c r="I489" s="1179"/>
      <c r="J489" s="85"/>
      <c r="K489" s="1179"/>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9"/>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ht="15.6">
      <c r="A490" s="79"/>
      <c r="B490" s="1178"/>
      <c r="C490" s="1179"/>
      <c r="D490" s="2300"/>
      <c r="E490" s="81">
        <f t="shared" si="319"/>
        <v>0</v>
      </c>
      <c r="F490" s="82"/>
      <c r="G490" s="83">
        <f t="shared" si="294"/>
        <v>0</v>
      </c>
      <c r="H490" s="84">
        <f t="shared" si="295"/>
        <v>0</v>
      </c>
      <c r="I490" s="1179"/>
      <c r="J490" s="85"/>
      <c r="K490" s="1179"/>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9"/>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ht="15.6">
      <c r="A491" s="79"/>
      <c r="B491" s="1178"/>
      <c r="C491" s="1179"/>
      <c r="D491" s="2300"/>
      <c r="E491" s="81">
        <f t="shared" si="319"/>
        <v>0</v>
      </c>
      <c r="F491" s="82"/>
      <c r="G491" s="83">
        <f t="shared" si="294"/>
        <v>0</v>
      </c>
      <c r="H491" s="84">
        <f t="shared" si="295"/>
        <v>0</v>
      </c>
      <c r="I491" s="1179"/>
      <c r="J491" s="85"/>
      <c r="K491" s="1179"/>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9"/>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ht="15.6">
      <c r="A492" s="79"/>
      <c r="B492" s="1178"/>
      <c r="C492" s="1179"/>
      <c r="D492" s="2300"/>
      <c r="E492" s="81">
        <f t="shared" si="319"/>
        <v>0</v>
      </c>
      <c r="F492" s="82"/>
      <c r="G492" s="83">
        <f t="shared" si="294"/>
        <v>0</v>
      </c>
      <c r="H492" s="84">
        <f t="shared" si="295"/>
        <v>0</v>
      </c>
      <c r="I492" s="1179"/>
      <c r="J492" s="85"/>
      <c r="K492" s="1179"/>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9"/>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ht="15.6">
      <c r="A493" s="79"/>
      <c r="B493" s="1178"/>
      <c r="C493" s="1179"/>
      <c r="D493" s="2300"/>
      <c r="E493" s="81">
        <f t="shared" si="319"/>
        <v>0</v>
      </c>
      <c r="F493" s="82"/>
      <c r="G493" s="83">
        <f t="shared" si="294"/>
        <v>0</v>
      </c>
      <c r="H493" s="84">
        <f t="shared" si="295"/>
        <v>0</v>
      </c>
      <c r="I493" s="1179"/>
      <c r="J493" s="85"/>
      <c r="K493" s="1179"/>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9"/>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ht="15.6">
      <c r="A494" s="79"/>
      <c r="B494" s="1178"/>
      <c r="C494" s="1179"/>
      <c r="D494" s="2300"/>
      <c r="E494" s="81">
        <f t="shared" si="319"/>
        <v>0</v>
      </c>
      <c r="F494" s="82"/>
      <c r="G494" s="83">
        <f t="shared" si="294"/>
        <v>0</v>
      </c>
      <c r="H494" s="84">
        <f t="shared" si="295"/>
        <v>0</v>
      </c>
      <c r="I494" s="1179"/>
      <c r="J494" s="85"/>
      <c r="K494" s="1179"/>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9"/>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ht="15.6">
      <c r="A495" s="79"/>
      <c r="B495" s="1178"/>
      <c r="C495" s="1179"/>
      <c r="D495" s="2300"/>
      <c r="E495" s="81">
        <f t="shared" si="319"/>
        <v>0</v>
      </c>
      <c r="F495" s="82"/>
      <c r="G495" s="83">
        <f t="shared" si="294"/>
        <v>0</v>
      </c>
      <c r="H495" s="84">
        <f t="shared" si="295"/>
        <v>0</v>
      </c>
      <c r="I495" s="1179"/>
      <c r="J495" s="85"/>
      <c r="K495" s="1179"/>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9"/>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ht="15.6">
      <c r="A496" s="79"/>
      <c r="B496" s="1178"/>
      <c r="C496" s="1179"/>
      <c r="D496" s="2300"/>
      <c r="E496" s="81">
        <f t="shared" si="319"/>
        <v>0</v>
      </c>
      <c r="F496" s="82"/>
      <c r="G496" s="83">
        <f t="shared" si="294"/>
        <v>0</v>
      </c>
      <c r="H496" s="84">
        <f t="shared" si="295"/>
        <v>0</v>
      </c>
      <c r="I496" s="1179"/>
      <c r="J496" s="85"/>
      <c r="K496" s="1179"/>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9"/>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ht="15.6">
      <c r="A497" s="79"/>
      <c r="B497" s="1178"/>
      <c r="C497" s="1179"/>
      <c r="D497" s="2300"/>
      <c r="E497" s="81">
        <f t="shared" si="319"/>
        <v>0</v>
      </c>
      <c r="F497" s="82"/>
      <c r="G497" s="83">
        <f t="shared" si="294"/>
        <v>0</v>
      </c>
      <c r="H497" s="84">
        <f t="shared" si="295"/>
        <v>0</v>
      </c>
      <c r="I497" s="1179"/>
      <c r="J497" s="85"/>
      <c r="K497" s="1179"/>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9"/>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ht="15.6">
      <c r="A498" s="79"/>
      <c r="B498" s="1178"/>
      <c r="C498" s="1179"/>
      <c r="D498" s="2300"/>
      <c r="E498" s="81">
        <f t="shared" si="319"/>
        <v>0</v>
      </c>
      <c r="F498" s="82"/>
      <c r="G498" s="83">
        <f t="shared" si="294"/>
        <v>0</v>
      </c>
      <c r="H498" s="84">
        <f t="shared" si="295"/>
        <v>0</v>
      </c>
      <c r="I498" s="1179"/>
      <c r="J498" s="85"/>
      <c r="K498" s="1179"/>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9"/>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ht="15.6">
      <c r="A499" s="79"/>
      <c r="B499" s="1178"/>
      <c r="C499" s="1179"/>
      <c r="D499" s="2300"/>
      <c r="E499" s="81">
        <f t="shared" si="319"/>
        <v>0</v>
      </c>
      <c r="F499" s="82"/>
      <c r="G499" s="83">
        <f t="shared" si="294"/>
        <v>0</v>
      </c>
      <c r="H499" s="84">
        <f t="shared" si="295"/>
        <v>0</v>
      </c>
      <c r="I499" s="1179"/>
      <c r="J499" s="85"/>
      <c r="K499" s="1179"/>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9"/>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ht="15.6">
      <c r="A500" s="79"/>
      <c r="B500" s="1178"/>
      <c r="C500" s="1179"/>
      <c r="D500" s="2300"/>
      <c r="E500" s="81">
        <f t="shared" si="319"/>
        <v>0</v>
      </c>
      <c r="F500" s="82"/>
      <c r="G500" s="83">
        <f t="shared" si="294"/>
        <v>0</v>
      </c>
      <c r="H500" s="84">
        <f t="shared" si="295"/>
        <v>0</v>
      </c>
      <c r="I500" s="1179"/>
      <c r="J500" s="85"/>
      <c r="K500" s="1179"/>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9"/>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ht="15.6">
      <c r="A501" s="79"/>
      <c r="B501" s="1178"/>
      <c r="C501" s="1179"/>
      <c r="D501" s="2300"/>
      <c r="E501" s="81">
        <f t="shared" si="319"/>
        <v>0</v>
      </c>
      <c r="F501" s="82"/>
      <c r="G501" s="83">
        <f t="shared" si="294"/>
        <v>0</v>
      </c>
      <c r="H501" s="84">
        <f t="shared" si="295"/>
        <v>0</v>
      </c>
      <c r="I501" s="1179"/>
      <c r="J501" s="85"/>
      <c r="K501" s="1179"/>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9"/>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ht="15.6">
      <c r="A502" s="79"/>
      <c r="B502" s="1178"/>
      <c r="C502" s="1179"/>
      <c r="D502" s="2300"/>
      <c r="E502" s="81">
        <f t="shared" si="319"/>
        <v>0</v>
      </c>
      <c r="F502" s="82"/>
      <c r="G502" s="83">
        <f t="shared" si="294"/>
        <v>0</v>
      </c>
      <c r="H502" s="84">
        <f t="shared" si="295"/>
        <v>0</v>
      </c>
      <c r="I502" s="1179"/>
      <c r="J502" s="85"/>
      <c r="K502" s="1179"/>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9"/>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ht="15.6">
      <c r="A503" s="79"/>
      <c r="B503" s="1178"/>
      <c r="C503" s="1179"/>
      <c r="D503" s="2300"/>
      <c r="E503" s="81">
        <f t="shared" si="319"/>
        <v>0</v>
      </c>
      <c r="F503" s="82"/>
      <c r="G503" s="83">
        <f t="shared" si="294"/>
        <v>0</v>
      </c>
      <c r="H503" s="84">
        <f t="shared" si="295"/>
        <v>0</v>
      </c>
      <c r="I503" s="1179"/>
      <c r="J503" s="85"/>
      <c r="K503" s="1179"/>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9"/>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ht="15.6">
      <c r="A504" s="79"/>
      <c r="B504" s="1178"/>
      <c r="C504" s="1179"/>
      <c r="D504" s="2300"/>
      <c r="E504" s="81">
        <f t="shared" si="319"/>
        <v>0</v>
      </c>
      <c r="F504" s="82"/>
      <c r="G504" s="83">
        <f t="shared" si="294"/>
        <v>0</v>
      </c>
      <c r="H504" s="84">
        <f t="shared" si="295"/>
        <v>0</v>
      </c>
      <c r="I504" s="1179"/>
      <c r="J504" s="85"/>
      <c r="K504" s="1179"/>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9"/>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ht="15.6">
      <c r="A505" s="79"/>
      <c r="B505" s="1178"/>
      <c r="C505" s="1179"/>
      <c r="D505" s="2300"/>
      <c r="E505" s="81">
        <f t="shared" ref="E505:E536" si="323">IF($C$3="是",ROUND($A$3*G505/$B$3,2),ROUND($A$3*(G505-AT505)/$B$3,2))</f>
        <v>0</v>
      </c>
      <c r="F505" s="82"/>
      <c r="G505" s="83">
        <f t="shared" si="294"/>
        <v>0</v>
      </c>
      <c r="H505" s="84">
        <f t="shared" si="295"/>
        <v>0</v>
      </c>
      <c r="I505" s="1179"/>
      <c r="J505" s="85"/>
      <c r="K505" s="1179"/>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9"/>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ht="15.6">
      <c r="A506" s="79"/>
      <c r="B506" s="1178"/>
      <c r="C506" s="1179"/>
      <c r="D506" s="2300"/>
      <c r="E506" s="81">
        <f t="shared" si="323"/>
        <v>0</v>
      </c>
      <c r="F506" s="82"/>
      <c r="G506" s="83">
        <f t="shared" si="294"/>
        <v>0</v>
      </c>
      <c r="H506" s="84">
        <f t="shared" si="295"/>
        <v>0</v>
      </c>
      <c r="I506" s="1179"/>
      <c r="J506" s="85"/>
      <c r="K506" s="1179"/>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9"/>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ht="15.6">
      <c r="A507" s="79"/>
      <c r="B507" s="1178"/>
      <c r="C507" s="1179"/>
      <c r="D507" s="2300"/>
      <c r="E507" s="81">
        <f t="shared" si="323"/>
        <v>0</v>
      </c>
      <c r="F507" s="82"/>
      <c r="G507" s="83">
        <f t="shared" si="294"/>
        <v>0</v>
      </c>
      <c r="H507" s="84">
        <f t="shared" si="295"/>
        <v>0</v>
      </c>
      <c r="I507" s="1179"/>
      <c r="J507" s="85"/>
      <c r="K507" s="1179"/>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9"/>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ht="15.6">
      <c r="A508" s="79"/>
      <c r="B508" s="1178"/>
      <c r="C508" s="1179"/>
      <c r="D508" s="2300"/>
      <c r="E508" s="81">
        <f t="shared" si="323"/>
        <v>0</v>
      </c>
      <c r="F508" s="82"/>
      <c r="G508" s="83">
        <f t="shared" si="294"/>
        <v>0</v>
      </c>
      <c r="H508" s="84">
        <f t="shared" si="295"/>
        <v>0</v>
      </c>
      <c r="I508" s="1179"/>
      <c r="J508" s="85"/>
      <c r="K508" s="1179"/>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9"/>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ht="15.6">
      <c r="A509" s="79"/>
      <c r="B509" s="1178"/>
      <c r="C509" s="1179"/>
      <c r="D509" s="2300"/>
      <c r="E509" s="81">
        <f t="shared" si="323"/>
        <v>0</v>
      </c>
      <c r="F509" s="82"/>
      <c r="G509" s="83">
        <f t="shared" si="294"/>
        <v>0</v>
      </c>
      <c r="H509" s="84">
        <f t="shared" si="295"/>
        <v>0</v>
      </c>
      <c r="I509" s="1179"/>
      <c r="J509" s="85"/>
      <c r="K509" s="1179"/>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9"/>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ht="15.6">
      <c r="A510" s="79"/>
      <c r="B510" s="1178"/>
      <c r="C510" s="1179"/>
      <c r="D510" s="2300"/>
      <c r="E510" s="81">
        <f t="shared" si="323"/>
        <v>0</v>
      </c>
      <c r="F510" s="82"/>
      <c r="G510" s="83">
        <f t="shared" ref="G510:G537" si="327">H510+AC510+AT510</f>
        <v>0</v>
      </c>
      <c r="H510" s="84">
        <f t="shared" ref="H510:H537" si="328">SUMIF(I$12:AB$12,"总值",I510:AB510)</f>
        <v>0</v>
      </c>
      <c r="I510" s="1179"/>
      <c r="J510" s="85"/>
      <c r="K510" s="1179"/>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9"/>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ht="15.6">
      <c r="A511" s="79"/>
      <c r="B511" s="1178"/>
      <c r="C511" s="1179"/>
      <c r="D511" s="2300"/>
      <c r="E511" s="81">
        <f t="shared" si="323"/>
        <v>0</v>
      </c>
      <c r="F511" s="82"/>
      <c r="G511" s="83">
        <f t="shared" si="327"/>
        <v>0</v>
      </c>
      <c r="H511" s="84">
        <f t="shared" si="328"/>
        <v>0</v>
      </c>
      <c r="I511" s="1179"/>
      <c r="J511" s="85"/>
      <c r="K511" s="1179"/>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9"/>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ht="15.6">
      <c r="A512" s="79"/>
      <c r="B512" s="1178"/>
      <c r="C512" s="1179"/>
      <c r="D512" s="2300"/>
      <c r="E512" s="81">
        <f t="shared" si="323"/>
        <v>0</v>
      </c>
      <c r="F512" s="82"/>
      <c r="G512" s="83">
        <f t="shared" si="327"/>
        <v>0</v>
      </c>
      <c r="H512" s="84">
        <f t="shared" si="328"/>
        <v>0</v>
      </c>
      <c r="I512" s="1179"/>
      <c r="J512" s="85"/>
      <c r="K512" s="1179"/>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9"/>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ht="15.6">
      <c r="A513" s="79"/>
      <c r="B513" s="1178"/>
      <c r="C513" s="1179"/>
      <c r="D513" s="2300"/>
      <c r="E513" s="81">
        <f t="shared" si="323"/>
        <v>0</v>
      </c>
      <c r="F513" s="82"/>
      <c r="G513" s="83">
        <f t="shared" si="327"/>
        <v>0</v>
      </c>
      <c r="H513" s="84">
        <f t="shared" si="328"/>
        <v>0</v>
      </c>
      <c r="I513" s="1179"/>
      <c r="J513" s="85"/>
      <c r="K513" s="1179"/>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9"/>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ht="15.6">
      <c r="A514" s="79"/>
      <c r="B514" s="1178"/>
      <c r="C514" s="1179"/>
      <c r="D514" s="2300"/>
      <c r="E514" s="81">
        <f t="shared" si="323"/>
        <v>0</v>
      </c>
      <c r="F514" s="82"/>
      <c r="G514" s="83">
        <f t="shared" si="327"/>
        <v>0</v>
      </c>
      <c r="H514" s="84">
        <f t="shared" si="328"/>
        <v>0</v>
      </c>
      <c r="I514" s="1179"/>
      <c r="J514" s="85"/>
      <c r="K514" s="1179"/>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9"/>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ht="15.6">
      <c r="A515" s="79"/>
      <c r="B515" s="1178"/>
      <c r="C515" s="1179"/>
      <c r="D515" s="2300"/>
      <c r="E515" s="81">
        <f t="shared" si="323"/>
        <v>0</v>
      </c>
      <c r="F515" s="82"/>
      <c r="G515" s="83">
        <f t="shared" si="327"/>
        <v>0</v>
      </c>
      <c r="H515" s="84">
        <f t="shared" si="328"/>
        <v>0</v>
      </c>
      <c r="I515" s="1179"/>
      <c r="J515" s="85"/>
      <c r="K515" s="1179"/>
      <c r="L515" s="85"/>
      <c r="M515" s="1179"/>
      <c r="N515" s="85"/>
      <c r="O515" s="85"/>
      <c r="P515" s="85"/>
      <c r="Q515" s="85"/>
      <c r="R515" s="85"/>
      <c r="S515" s="85"/>
      <c r="T515" s="85"/>
      <c r="U515" s="85"/>
      <c r="V515" s="85"/>
      <c r="W515" s="85"/>
      <c r="X515" s="85"/>
      <c r="Y515" s="85"/>
      <c r="Z515" s="85"/>
      <c r="AA515" s="85"/>
      <c r="AB515" s="85"/>
      <c r="AC515" s="81">
        <f t="shared" si="329"/>
        <v>0</v>
      </c>
      <c r="AD515" s="86"/>
      <c r="AE515" s="86"/>
      <c r="AF515" s="1179"/>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F21" sqref="F21"/>
    </sheetView>
  </sheetViews>
  <sheetFormatPr defaultColWidth="9.21875" defaultRowHeight="13.8"/>
  <cols>
    <col min="1" max="1" width="8.21875" style="1633" customWidth="1"/>
    <col min="2" max="2" width="10.21875" style="1633" customWidth="1"/>
    <col min="3" max="3" width="18.44140625" style="1633" customWidth="1"/>
    <col min="4" max="4" width="11.109375" style="1633" customWidth="1"/>
    <col min="5" max="5" width="13.33203125" style="1633" customWidth="1"/>
    <col min="6" max="8" width="11.44140625" style="1633" customWidth="1"/>
    <col min="9" max="9" width="10.33203125" style="1633" customWidth="1"/>
    <col min="10" max="10" width="3.109375" style="1633" customWidth="1"/>
    <col min="11" max="16" width="11.6640625" style="1633" customWidth="1"/>
    <col min="17" max="17" width="3.33203125" style="1633" customWidth="1"/>
    <col min="18" max="16384" width="9.21875" style="1633"/>
  </cols>
  <sheetData>
    <row r="1" spans="1:16" ht="17.399999999999999">
      <c r="A1" s="95" t="s">
        <v>168</v>
      </c>
      <c r="B1" s="1632"/>
      <c r="C1" s="1632"/>
      <c r="D1" s="1632"/>
      <c r="E1" s="1632"/>
      <c r="F1" s="1632"/>
      <c r="G1" s="1632"/>
      <c r="H1" s="1632"/>
      <c r="I1" s="1632"/>
      <c r="J1" s="1632"/>
      <c r="K1" s="1632"/>
      <c r="L1" s="1632"/>
      <c r="M1" s="1632"/>
      <c r="N1" s="1632"/>
      <c r="O1" s="1632"/>
      <c r="P1" s="1632"/>
    </row>
    <row r="2" spans="1:16" ht="14.4">
      <c r="A2" s="3518" t="s">
        <v>169</v>
      </c>
      <c r="B2" s="3518"/>
      <c r="C2" s="3518"/>
      <c r="D2" s="1630" t="s">
        <v>170</v>
      </c>
      <c r="E2" s="97" t="s">
        <v>171</v>
      </c>
      <c r="F2" s="2609"/>
      <c r="G2" s="1042"/>
      <c r="H2" s="1043"/>
      <c r="I2" s="1044" t="s">
        <v>795</v>
      </c>
      <c r="J2" s="2609"/>
      <c r="K2" s="2609"/>
      <c r="L2" s="2609"/>
      <c r="M2" s="2609"/>
      <c r="N2" s="2609"/>
      <c r="O2" s="2609"/>
      <c r="P2" s="2609"/>
    </row>
    <row r="3" spans="1:16" ht="15" thickBot="1">
      <c r="A3" s="3519" t="s">
        <v>172</v>
      </c>
      <c r="B3" s="3519"/>
      <c r="C3" s="3519"/>
      <c r="D3" s="98">
        <f>'数据-基础表'!AY6</f>
        <v>21555</v>
      </c>
      <c r="E3" s="98">
        <f>'数据-基础表'!AZ5</f>
        <v>28022</v>
      </c>
      <c r="F3" s="2609"/>
      <c r="G3" s="106" t="s">
        <v>796</v>
      </c>
      <c r="H3" s="102" t="s">
        <v>797</v>
      </c>
      <c r="I3" s="997">
        <f>ROUND('数据-基础表'!B3/'数据-基础表'!A3,2)</f>
        <v>1.3</v>
      </c>
      <c r="J3" s="2609"/>
      <c r="K3" s="2609"/>
      <c r="L3" s="2609"/>
      <c r="M3" s="2609"/>
      <c r="N3" s="2609"/>
      <c r="O3" s="2609"/>
      <c r="P3" s="2609"/>
    </row>
    <row r="4" spans="1:16" ht="14.4">
      <c r="A4" s="3520"/>
      <c r="B4" s="3521"/>
      <c r="C4" s="3522"/>
      <c r="D4" s="99" t="s">
        <v>170</v>
      </c>
      <c r="E4" s="100" t="s">
        <v>171</v>
      </c>
      <c r="F4" s="2609"/>
      <c r="G4" s="119"/>
      <c r="H4" s="102" t="s">
        <v>798</v>
      </c>
      <c r="I4" s="997">
        <f>ROUND(SUMIF('数据-基础表'!I9:AS9,"地上",'数据-基础表'!I5:AS5)/'数据-基础表'!A3,2)</f>
        <v>1.3</v>
      </c>
      <c r="J4" s="2609"/>
      <c r="K4" s="2609"/>
      <c r="L4" s="2609"/>
      <c r="M4" s="2609"/>
      <c r="N4" s="2609"/>
      <c r="O4" s="2609"/>
      <c r="P4" s="2609"/>
    </row>
    <row r="5" spans="1:16" ht="14.4">
      <c r="A5" s="101" t="s">
        <v>173</v>
      </c>
      <c r="B5" s="3523" t="s">
        <v>196</v>
      </c>
      <c r="C5" s="3523"/>
      <c r="D5" s="102">
        <f>ROUND($D$3*E5/$E$3,2)</f>
        <v>20692.8</v>
      </c>
      <c r="E5" s="103">
        <f>SUMIF('数据-基础表'!$11:$11,"住宅",'数据-基础表'!$5:$5)</f>
        <v>26901.119999999999</v>
      </c>
      <c r="F5" s="2609"/>
      <c r="G5" s="106" t="s">
        <v>799</v>
      </c>
      <c r="H5" s="102" t="s">
        <v>797</v>
      </c>
      <c r="I5" s="997">
        <f>ROUND(E31/D31,2)</f>
        <v>1.3</v>
      </c>
      <c r="J5" s="2609"/>
      <c r="K5" s="2609"/>
      <c r="L5" s="2609"/>
      <c r="M5" s="2609"/>
      <c r="N5" s="2609"/>
      <c r="O5" s="2609"/>
      <c r="P5" s="2609"/>
    </row>
    <row r="6" spans="1:16" ht="15" thickBot="1">
      <c r="A6" s="104"/>
      <c r="B6" s="3523" t="s">
        <v>174</v>
      </c>
      <c r="C6" s="3523"/>
      <c r="D6" s="102">
        <f>ROUND($D$3*E6/$E$3,2)</f>
        <v>862.2</v>
      </c>
      <c r="E6" s="103">
        <f>E3-E5</f>
        <v>1120.880000000001</v>
      </c>
      <c r="F6" s="2609"/>
      <c r="G6" s="119"/>
      <c r="H6" s="102" t="s">
        <v>798</v>
      </c>
      <c r="I6" s="997">
        <f>ROUND(F31/D31,2)</f>
        <v>1.3</v>
      </c>
      <c r="J6" s="2609"/>
      <c r="K6" s="2609"/>
      <c r="L6" s="2609"/>
      <c r="M6" s="2609"/>
      <c r="N6" s="2609"/>
      <c r="O6" s="2609"/>
      <c r="P6" s="2609"/>
    </row>
    <row r="7" spans="1:16" ht="14.4">
      <c r="A7" s="3515"/>
      <c r="B7" s="3516"/>
      <c r="C7" s="3517"/>
      <c r="D7" s="99" t="s">
        <v>170</v>
      </c>
      <c r="E7" s="105" t="s">
        <v>197</v>
      </c>
      <c r="F7" s="2609"/>
      <c r="G7" s="1002" t="s">
        <v>1180</v>
      </c>
      <c r="H7" s="1003"/>
      <c r="I7" s="127"/>
      <c r="J7" s="2609"/>
      <c r="K7" s="2609"/>
      <c r="L7" s="2609"/>
      <c r="M7" s="2609"/>
      <c r="N7" s="2609"/>
      <c r="O7" s="2609"/>
      <c r="P7" s="2609"/>
    </row>
    <row r="8" spans="1:16" ht="14.4">
      <c r="A8" s="101" t="s">
        <v>175</v>
      </c>
      <c r="B8" s="106" t="s">
        <v>176</v>
      </c>
      <c r="C8" s="102" t="s">
        <v>177</v>
      </c>
      <c r="D8" s="102">
        <f t="shared" ref="D8:D15" si="0">ROUND($D$3*E8/$E$3,2)</f>
        <v>21555</v>
      </c>
      <c r="E8" s="107">
        <f>SUMIF('数据-基础表'!BB10:BK10,"地上",'数据-基础表'!BB5:BK5)</f>
        <v>28022</v>
      </c>
      <c r="F8" s="2609"/>
      <c r="G8" s="2609"/>
      <c r="H8" s="2609"/>
      <c r="I8" s="2609"/>
      <c r="J8" s="2609"/>
      <c r="K8" s="2609"/>
      <c r="L8" s="2609"/>
      <c r="M8" s="2609"/>
      <c r="N8" s="2609"/>
      <c r="O8" s="2609"/>
      <c r="P8" s="2609"/>
    </row>
    <row r="9" spans="1:16" ht="14.4">
      <c r="A9" s="108"/>
      <c r="B9" s="109"/>
      <c r="C9" s="102" t="s">
        <v>178</v>
      </c>
      <c r="D9" s="102">
        <f t="shared" si="0"/>
        <v>0</v>
      </c>
      <c r="E9" s="110">
        <v>0</v>
      </c>
      <c r="F9" s="2609"/>
      <c r="G9" s="2609"/>
      <c r="H9" s="2609"/>
      <c r="I9" s="2609"/>
      <c r="J9" s="2609"/>
      <c r="K9" s="2609"/>
      <c r="L9" s="2609"/>
      <c r="M9" s="2609"/>
      <c r="N9" s="2609"/>
      <c r="O9" s="2609"/>
      <c r="P9" s="2609"/>
    </row>
    <row r="10" spans="1:16" ht="14.4">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ht="14.4">
      <c r="A11" s="108"/>
      <c r="B11" s="109"/>
      <c r="C11" s="1917" t="s">
        <v>1684</v>
      </c>
      <c r="D11" s="102">
        <f t="shared" si="0"/>
        <v>0</v>
      </c>
      <c r="E11" s="107">
        <f>SUMPRODUCT(('数据-基础表'!BB10:BK10="地下")*('数据-基础表'!BB11:BK11="办公")*('数据-基础表'!BB5:BK5))+'数据-基础表'!AJ5</f>
        <v>0</v>
      </c>
      <c r="F11" s="2609"/>
      <c r="G11" s="2609"/>
      <c r="H11" s="2609"/>
      <c r="I11" s="2609"/>
      <c r="J11" s="2609"/>
      <c r="K11" s="2609"/>
      <c r="L11" s="2609"/>
      <c r="M11" s="2609"/>
      <c r="N11" s="2609"/>
      <c r="O11" s="2609"/>
      <c r="P11" s="2609"/>
    </row>
    <row r="12" spans="1:16" ht="14.4">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ht="14.4">
      <c r="A13" s="108"/>
      <c r="B13" s="109"/>
      <c r="C13" s="1917" t="s">
        <v>1691</v>
      </c>
      <c r="D13" s="102">
        <f t="shared" si="0"/>
        <v>0</v>
      </c>
      <c r="E13" s="107">
        <f>SUMPRODUCT(('数据-基础表'!BB10:BK10="地下")*('数据-基础表'!BB11:BK11="车库")*('数据-基础表'!BB5:BK5))</f>
        <v>0</v>
      </c>
      <c r="F13" s="2609"/>
      <c r="G13" s="2609"/>
      <c r="H13" s="2609"/>
      <c r="I13" s="2609"/>
      <c r="J13" s="2609"/>
      <c r="K13" s="2609"/>
      <c r="L13" s="2609"/>
      <c r="M13" s="2609"/>
      <c r="N13" s="2609"/>
      <c r="O13" s="2609"/>
      <c r="P13" s="2609"/>
    </row>
    <row r="14" spans="1:16" ht="14.4">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 thickBot="1">
      <c r="A16" s="104"/>
      <c r="B16" s="109"/>
      <c r="C16" s="106" t="s">
        <v>181</v>
      </c>
      <c r="D16" s="106">
        <f>SUM(D8:D15)</f>
        <v>21555</v>
      </c>
      <c r="E16" s="111">
        <f>SUM(E8:E15)</f>
        <v>28022</v>
      </c>
      <c r="F16" s="2609"/>
      <c r="G16" s="2609"/>
      <c r="H16" s="883" t="s">
        <v>185</v>
      </c>
      <c r="I16" s="884"/>
      <c r="J16" s="1632"/>
      <c r="K16" s="3509" t="s">
        <v>1849</v>
      </c>
      <c r="L16" s="3510"/>
      <c r="M16" s="3510"/>
      <c r="N16" s="3510"/>
      <c r="O16" s="3510"/>
      <c r="P16" s="3511"/>
    </row>
    <row r="17" spans="1:19" ht="14.4">
      <c r="A17" s="112" t="s">
        <v>182</v>
      </c>
      <c r="B17" s="113" t="s">
        <v>183</v>
      </c>
      <c r="C17" s="1885" t="s">
        <v>1670</v>
      </c>
      <c r="D17" s="99" t="s">
        <v>170</v>
      </c>
      <c r="E17" s="115" t="s">
        <v>171</v>
      </c>
      <c r="F17" s="116"/>
      <c r="G17" s="1159"/>
      <c r="H17" s="885" t="s">
        <v>184</v>
      </c>
      <c r="I17" s="886" t="s">
        <v>1669</v>
      </c>
      <c r="J17" s="1632"/>
      <c r="K17" s="3512" t="s">
        <v>1850</v>
      </c>
      <c r="L17" s="3513"/>
      <c r="M17" s="3514"/>
      <c r="N17" s="3512" t="s">
        <v>1851</v>
      </c>
      <c r="O17" s="3513"/>
      <c r="P17" s="3514"/>
      <c r="R17" s="1886" t="s">
        <v>1668</v>
      </c>
      <c r="S17" s="125"/>
    </row>
    <row r="18" spans="1:19" ht="14.4">
      <c r="A18" s="108"/>
      <c r="B18" s="119"/>
      <c r="C18" s="96"/>
      <c r="D18" s="1630"/>
      <c r="E18" s="120" t="s">
        <v>186</v>
      </c>
      <c r="F18" s="121" t="s">
        <v>187</v>
      </c>
      <c r="G18" s="1160" t="s">
        <v>188</v>
      </c>
      <c r="H18" s="887" t="s">
        <v>189</v>
      </c>
      <c r="I18" s="888" t="s">
        <v>190</v>
      </c>
      <c r="J18" s="1632"/>
      <c r="K18" s="2062" t="s">
        <v>1852</v>
      </c>
      <c r="L18" s="2063" t="s">
        <v>1853</v>
      </c>
      <c r="M18" s="2064" t="s">
        <v>1854</v>
      </c>
      <c r="N18" s="2062" t="s">
        <v>1852</v>
      </c>
      <c r="O18" s="2063" t="s">
        <v>1853</v>
      </c>
      <c r="P18" s="2064" t="s">
        <v>1854</v>
      </c>
      <c r="R18" s="1887" t="s">
        <v>1666</v>
      </c>
      <c r="S18" s="1887" t="s">
        <v>1667</v>
      </c>
    </row>
    <row r="19" spans="1:19" ht="14.4">
      <c r="A19" s="123"/>
      <c r="B19" s="106" t="s">
        <v>191</v>
      </c>
      <c r="C19" s="2309" t="s">
        <v>3341</v>
      </c>
      <c r="D19" s="102">
        <f t="shared" ref="D19:D26" si="1">ROUND($D$3*E19/$E$3,2)</f>
        <v>20692.8</v>
      </c>
      <c r="E19" s="124">
        <f t="shared" ref="E19:E26" si="2">SUM(F19:G19)</f>
        <v>26901.119999999999</v>
      </c>
      <c r="F19" s="2610">
        <f>'数据-基础表'!I13</f>
        <v>26901.119999999999</v>
      </c>
      <c r="G19" s="2611"/>
      <c r="H19" s="889">
        <f>ROUND($D$3*I19/$E$3,2)</f>
        <v>0</v>
      </c>
      <c r="I19" s="107">
        <f>IF($I$17="自定义",P19,M19)</f>
        <v>0</v>
      </c>
      <c r="J19" s="1632"/>
      <c r="K19" s="889">
        <f t="shared" ref="K19:K26" si="3">ROUND(E$28*E19/E$27,2)</f>
        <v>0</v>
      </c>
      <c r="L19" s="102">
        <f t="shared" ref="L19:L26" si="4">ROUND(IF(COUNTIF(C19,"*住宅*")&gt;0,E$29*E19/E$32,0),2)</f>
        <v>0</v>
      </c>
      <c r="M19" s="107">
        <f>K19+L19</f>
        <v>0</v>
      </c>
      <c r="N19" s="2065"/>
      <c r="O19" s="2066"/>
      <c r="P19" s="2067">
        <f>N19+O19</f>
        <v>0</v>
      </c>
      <c r="R19" s="102">
        <f t="shared" ref="R19:S26" si="5">D19+H19</f>
        <v>20692.8</v>
      </c>
      <c r="S19" s="124">
        <f t="shared" si="5"/>
        <v>26901.119999999999</v>
      </c>
    </row>
    <row r="20" spans="1:19" ht="14.4">
      <c r="A20" s="123"/>
      <c r="B20" s="106" t="s">
        <v>192</v>
      </c>
      <c r="C20" s="2309" t="s">
        <v>3342</v>
      </c>
      <c r="D20" s="102">
        <f t="shared" si="1"/>
        <v>862.2</v>
      </c>
      <c r="E20" s="124">
        <f t="shared" si="2"/>
        <v>1120.8800000000001</v>
      </c>
      <c r="F20" s="2610">
        <f>'数据-基础表'!K13</f>
        <v>1120.8800000000001</v>
      </c>
      <c r="G20" s="2611"/>
      <c r="H20" s="889">
        <f t="shared" ref="H20:H26" si="6">ROUND($D$3*I20/$E$3,2)</f>
        <v>0</v>
      </c>
      <c r="I20" s="107">
        <f t="shared" ref="I20:I26" si="7">IF($I$17="自定义",P20,M20)</f>
        <v>0</v>
      </c>
      <c r="J20" s="1632"/>
      <c r="K20" s="889">
        <f t="shared" si="3"/>
        <v>0</v>
      </c>
      <c r="L20" s="102">
        <f t="shared" si="4"/>
        <v>0</v>
      </c>
      <c r="M20" s="107">
        <f t="shared" ref="M20:M26" si="8">K20+L20</f>
        <v>0</v>
      </c>
      <c r="N20" s="2065"/>
      <c r="O20" s="2066"/>
      <c r="P20" s="2067">
        <f t="shared" ref="P20:P26" si="9">N20+O20</f>
        <v>0</v>
      </c>
      <c r="R20" s="102">
        <f t="shared" si="5"/>
        <v>862.2</v>
      </c>
      <c r="S20" s="124">
        <f t="shared" si="5"/>
        <v>1120.8800000000001</v>
      </c>
    </row>
    <row r="21" spans="1:19" ht="14.4">
      <c r="A21" s="123"/>
      <c r="B21" s="106" t="s">
        <v>192</v>
      </c>
      <c r="C21" s="2309"/>
      <c r="D21" s="102">
        <f t="shared" si="1"/>
        <v>0</v>
      </c>
      <c r="E21" s="124">
        <f t="shared" si="2"/>
        <v>0</v>
      </c>
      <c r="F21" s="2610"/>
      <c r="G21" s="2611"/>
      <c r="H21" s="889">
        <f t="shared" si="6"/>
        <v>0</v>
      </c>
      <c r="I21" s="107">
        <f t="shared" si="7"/>
        <v>0</v>
      </c>
      <c r="J21" s="1632"/>
      <c r="K21" s="889">
        <f t="shared" si="3"/>
        <v>0</v>
      </c>
      <c r="L21" s="102">
        <f t="shared" si="4"/>
        <v>0</v>
      </c>
      <c r="M21" s="107">
        <f t="shared" si="8"/>
        <v>0</v>
      </c>
      <c r="N21" s="2065"/>
      <c r="O21" s="2066"/>
      <c r="P21" s="2067">
        <f t="shared" si="9"/>
        <v>0</v>
      </c>
      <c r="R21" s="102">
        <f t="shared" si="5"/>
        <v>0</v>
      </c>
      <c r="S21" s="124">
        <f t="shared" si="5"/>
        <v>0</v>
      </c>
    </row>
    <row r="22" spans="1:19" ht="14.4">
      <c r="A22" s="123"/>
      <c r="B22" s="106" t="s">
        <v>192</v>
      </c>
      <c r="C22" s="3082"/>
      <c r="D22" s="102">
        <f t="shared" si="1"/>
        <v>0</v>
      </c>
      <c r="E22" s="124">
        <f t="shared" si="2"/>
        <v>0</v>
      </c>
      <c r="F22" s="2612"/>
      <c r="G22" s="2613"/>
      <c r="H22" s="889">
        <f t="shared" si="6"/>
        <v>0</v>
      </c>
      <c r="I22" s="107">
        <f t="shared" si="7"/>
        <v>0</v>
      </c>
      <c r="J22" s="1632"/>
      <c r="K22" s="889">
        <f t="shared" si="3"/>
        <v>0</v>
      </c>
      <c r="L22" s="102">
        <f t="shared" si="4"/>
        <v>0</v>
      </c>
      <c r="M22" s="107">
        <f t="shared" si="8"/>
        <v>0</v>
      </c>
      <c r="N22" s="2065"/>
      <c r="O22" s="2066"/>
      <c r="P22" s="2067">
        <f t="shared" si="9"/>
        <v>0</v>
      </c>
      <c r="R22" s="102">
        <f t="shared" si="5"/>
        <v>0</v>
      </c>
      <c r="S22" s="124">
        <f t="shared" si="5"/>
        <v>0</v>
      </c>
    </row>
    <row r="23" spans="1:19" ht="14.4">
      <c r="A23" s="123"/>
      <c r="B23" s="106" t="s">
        <v>192</v>
      </c>
      <c r="C23" s="3082"/>
      <c r="D23" s="102">
        <f>ROUND($D$3*E23/$E$3,2)</f>
        <v>0</v>
      </c>
      <c r="E23" s="124">
        <f>SUM(F23:G23)</f>
        <v>0</v>
      </c>
      <c r="F23" s="2612"/>
      <c r="G23" s="2613"/>
      <c r="H23" s="889">
        <f>ROUND($D$3*I23/$E$3,2)</f>
        <v>0</v>
      </c>
      <c r="I23" s="107">
        <f t="shared" si="7"/>
        <v>0</v>
      </c>
      <c r="J23" s="1632"/>
      <c r="K23" s="889">
        <f t="shared" si="3"/>
        <v>0</v>
      </c>
      <c r="L23" s="102">
        <f t="shared" si="4"/>
        <v>0</v>
      </c>
      <c r="M23" s="107">
        <f t="shared" si="8"/>
        <v>0</v>
      </c>
      <c r="N23" s="2065"/>
      <c r="O23" s="2066"/>
      <c r="P23" s="2067">
        <f t="shared" si="9"/>
        <v>0</v>
      </c>
      <c r="R23" s="102">
        <f t="shared" si="5"/>
        <v>0</v>
      </c>
      <c r="S23" s="124">
        <f t="shared" si="5"/>
        <v>0</v>
      </c>
    </row>
    <row r="24" spans="1:19" ht="14.4">
      <c r="A24" s="123"/>
      <c r="B24" s="106" t="s">
        <v>192</v>
      </c>
      <c r="C24" s="3082"/>
      <c r="D24" s="102">
        <f>ROUND($D$3*E24/$E$3,2)</f>
        <v>0</v>
      </c>
      <c r="E24" s="124">
        <f>SUM(F24:G24)</f>
        <v>0</v>
      </c>
      <c r="F24" s="2612"/>
      <c r="G24" s="2613"/>
      <c r="H24" s="889">
        <f>ROUND($D$3*I24/$E$3,2)</f>
        <v>0</v>
      </c>
      <c r="I24" s="107">
        <f t="shared" si="7"/>
        <v>0</v>
      </c>
      <c r="J24" s="1632"/>
      <c r="K24" s="889">
        <f t="shared" si="3"/>
        <v>0</v>
      </c>
      <c r="L24" s="102">
        <f t="shared" si="4"/>
        <v>0</v>
      </c>
      <c r="M24" s="107">
        <f t="shared" si="8"/>
        <v>0</v>
      </c>
      <c r="N24" s="2065"/>
      <c r="O24" s="2066"/>
      <c r="P24" s="2067">
        <f t="shared" si="9"/>
        <v>0</v>
      </c>
      <c r="R24" s="102">
        <f t="shared" si="5"/>
        <v>0</v>
      </c>
      <c r="S24" s="124">
        <f t="shared" si="5"/>
        <v>0</v>
      </c>
    </row>
    <row r="25" spans="1:19" ht="14.4">
      <c r="A25" s="123"/>
      <c r="B25" s="106" t="s">
        <v>192</v>
      </c>
      <c r="C25" s="3082"/>
      <c r="D25" s="102">
        <f t="shared" si="1"/>
        <v>0</v>
      </c>
      <c r="E25" s="124">
        <f t="shared" si="2"/>
        <v>0</v>
      </c>
      <c r="F25" s="2612"/>
      <c r="G25" s="2613"/>
      <c r="H25" s="101">
        <f t="shared" si="6"/>
        <v>0</v>
      </c>
      <c r="I25" s="107">
        <f t="shared" si="7"/>
        <v>0</v>
      </c>
      <c r="J25" s="1632"/>
      <c r="K25" s="889">
        <f t="shared" si="3"/>
        <v>0</v>
      </c>
      <c r="L25" s="102">
        <f t="shared" si="4"/>
        <v>0</v>
      </c>
      <c r="M25" s="107">
        <f t="shared" si="8"/>
        <v>0</v>
      </c>
      <c r="N25" s="2065"/>
      <c r="O25" s="2066"/>
      <c r="P25" s="2067">
        <f t="shared" si="9"/>
        <v>0</v>
      </c>
      <c r="R25" s="102">
        <f t="shared" si="5"/>
        <v>0</v>
      </c>
      <c r="S25" s="124">
        <f t="shared" si="5"/>
        <v>0</v>
      </c>
    </row>
    <row r="26" spans="1:19" ht="14.4">
      <c r="A26" s="123"/>
      <c r="B26" s="106" t="s">
        <v>192</v>
      </c>
      <c r="C26" s="128"/>
      <c r="D26" s="102">
        <f t="shared" si="1"/>
        <v>0</v>
      </c>
      <c r="E26" s="124">
        <f t="shared" si="2"/>
        <v>0</v>
      </c>
      <c r="F26" s="2612"/>
      <c r="G26" s="2613"/>
      <c r="H26" s="101">
        <f t="shared" si="6"/>
        <v>0</v>
      </c>
      <c r="I26" s="107">
        <f t="shared" si="7"/>
        <v>0</v>
      </c>
      <c r="J26" s="1632"/>
      <c r="K26" s="101">
        <f t="shared" si="3"/>
        <v>0</v>
      </c>
      <c r="L26" s="106">
        <f t="shared" si="4"/>
        <v>0</v>
      </c>
      <c r="M26" s="111">
        <f t="shared" si="8"/>
        <v>0</v>
      </c>
      <c r="N26" s="2068"/>
      <c r="O26" s="2069"/>
      <c r="P26" s="2070">
        <f t="shared" si="9"/>
        <v>0</v>
      </c>
      <c r="R26" s="102">
        <f t="shared" si="5"/>
        <v>0</v>
      </c>
      <c r="S26" s="124">
        <f t="shared" si="5"/>
        <v>0</v>
      </c>
    </row>
    <row r="27" spans="1:19" ht="15" thickBot="1">
      <c r="A27" s="123"/>
      <c r="B27" s="102"/>
      <c r="C27" s="118" t="s">
        <v>181</v>
      </c>
      <c r="D27" s="124">
        <f>SUM(D19:D26)</f>
        <v>21555</v>
      </c>
      <c r="E27" s="129">
        <f>IF(SUM(E19:E26)='数据-基础表'!BA5,SUM(E19:E26),IF(F27="地上面积有误","面积有误","地下面积有误"))</f>
        <v>28022</v>
      </c>
      <c r="F27" s="124">
        <f>IF(SUM(F19:F26)=E8,SUM(F19:F26),"地上面积有误")</f>
        <v>28022</v>
      </c>
      <c r="G27" s="103">
        <f>SUM(G19:G26)</f>
        <v>0</v>
      </c>
      <c r="H27" s="890">
        <f>SUM(H19:H26)</f>
        <v>0</v>
      </c>
      <c r="I27" s="891">
        <f>SUM(I19:I26)</f>
        <v>0</v>
      </c>
      <c r="J27" s="1632"/>
      <c r="K27" s="2071">
        <f t="shared" ref="K27:P27" si="10">SUM(K19:K26)</f>
        <v>0</v>
      </c>
      <c r="L27" s="2072">
        <f t="shared" si="10"/>
        <v>0</v>
      </c>
      <c r="M27" s="2073">
        <f t="shared" si="10"/>
        <v>0</v>
      </c>
      <c r="N27" s="2071">
        <f t="shared" si="10"/>
        <v>0</v>
      </c>
      <c r="O27" s="2072">
        <f t="shared" si="10"/>
        <v>0</v>
      </c>
      <c r="P27" s="194">
        <f t="shared" si="10"/>
        <v>0</v>
      </c>
      <c r="R27" s="1891">
        <f>IF(SUM(R19:R26)=$D$3,SUM(R19:R26),SUM(R19:R26)&amp;"误差"&amp;ROUND(SUM(R19:R26)-$D$3,2))</f>
        <v>21555</v>
      </c>
      <c r="S27" s="102">
        <f>IF(SUM(S19:S26)=$E$3,SUM(S19:S26),SUM(S19:S26)&amp;"误差"&amp;ROUND(SUM(S19:S26)-E3,2))</f>
        <v>28022</v>
      </c>
    </row>
    <row r="28" spans="1:19" ht="14.4">
      <c r="A28" s="123"/>
      <c r="B28" s="106" t="s">
        <v>193</v>
      </c>
      <c r="C28" s="125" t="s">
        <v>194</v>
      </c>
      <c r="D28" s="102">
        <f>ROUND($D$3*E28/$E$3,2)</f>
        <v>0</v>
      </c>
      <c r="E28" s="124">
        <f>SUM(F28:G28)</f>
        <v>0</v>
      </c>
      <c r="F28" s="125">
        <f>'数据-基础表'!BQ5+'数据-基础表'!BS5</f>
        <v>0</v>
      </c>
      <c r="G28" s="130">
        <f>'数据-基础表'!BR5+'数据-基础表'!BT5</f>
        <v>0</v>
      </c>
      <c r="H28" s="2609"/>
      <c r="I28" s="2609"/>
      <c r="J28" s="2609"/>
      <c r="K28" s="2609"/>
      <c r="L28" s="2609"/>
      <c r="M28" s="2609"/>
      <c r="N28" s="2609"/>
      <c r="O28" s="2609"/>
      <c r="P28" s="2609"/>
    </row>
    <row r="29" spans="1:19" ht="14.4">
      <c r="A29" s="123"/>
      <c r="B29" s="106" t="s">
        <v>193</v>
      </c>
      <c r="C29" s="1899" t="s">
        <v>1677</v>
      </c>
      <c r="D29" s="102">
        <f>ROUND($D$3*E29/$E$3,2)</f>
        <v>0</v>
      </c>
      <c r="E29" s="124">
        <f>SUM(F29:G29)</f>
        <v>0</v>
      </c>
      <c r="F29" s="125">
        <f>'数据-基础表'!BM5+'数据-基础表'!BO5</f>
        <v>0</v>
      </c>
      <c r="G29" s="111">
        <f>'数据-基础表'!BN5+'数据-基础表'!BP5</f>
        <v>0</v>
      </c>
      <c r="H29" s="2609"/>
      <c r="I29" s="2609"/>
      <c r="J29" s="2609"/>
      <c r="K29" s="2609"/>
      <c r="L29" s="2609"/>
      <c r="M29" s="2609"/>
      <c r="N29" s="2609"/>
      <c r="O29" s="2609"/>
      <c r="P29" s="2609"/>
    </row>
    <row r="30" spans="1:19" ht="14.4">
      <c r="A30" s="123"/>
      <c r="B30" s="102"/>
      <c r="C30" s="131" t="s">
        <v>181</v>
      </c>
      <c r="D30" s="124">
        <f>SUM(D28:D29)</f>
        <v>0</v>
      </c>
      <c r="E30" s="124">
        <f>SUM(E28:E29)</f>
        <v>0</v>
      </c>
      <c r="F30" s="124">
        <f>SUM(F28:F29)</f>
        <v>0</v>
      </c>
      <c r="G30" s="103">
        <f>SUM(G28:G29)</f>
        <v>0</v>
      </c>
      <c r="H30" s="2609"/>
      <c r="I30" s="2609"/>
      <c r="J30" s="2609"/>
      <c r="K30" s="2609"/>
      <c r="L30" s="2609"/>
      <c r="M30" s="2609"/>
      <c r="N30" s="2609"/>
      <c r="O30" s="2609"/>
      <c r="P30" s="2609"/>
    </row>
    <row r="31" spans="1:19" ht="32.25" customHeight="1" thickBot="1">
      <c r="A31" s="1161"/>
      <c r="B31" s="1162" t="s">
        <v>195</v>
      </c>
      <c r="C31" s="1916" t="s">
        <v>1679</v>
      </c>
      <c r="D31" s="1163">
        <f>D27+D30</f>
        <v>21555</v>
      </c>
      <c r="E31" s="1163">
        <f>E27+E30</f>
        <v>28022</v>
      </c>
      <c r="F31" s="1164">
        <f>F27+F30</f>
        <v>28022</v>
      </c>
      <c r="G31" s="1165">
        <f>G27+G30</f>
        <v>0</v>
      </c>
      <c r="H31" s="2609"/>
      <c r="I31" s="2609"/>
      <c r="J31" s="2609"/>
      <c r="K31" s="2609"/>
      <c r="L31" s="2609"/>
      <c r="M31" s="2609"/>
      <c r="N31" s="2609"/>
      <c r="O31" s="2609"/>
      <c r="P31" s="2609"/>
    </row>
    <row r="32" spans="1:19" ht="14.4">
      <c r="A32" s="1632"/>
      <c r="B32" s="1928" t="s">
        <v>1678</v>
      </c>
      <c r="C32" s="2086"/>
      <c r="D32" s="119"/>
      <c r="E32" s="119">
        <f>SUMIF(C19:C26,"*住宅*",E19:E26)</f>
        <v>26901.119999999999</v>
      </c>
      <c r="F32" s="119"/>
      <c r="G32" s="119"/>
      <c r="H32" s="2609"/>
      <c r="I32" s="2609"/>
      <c r="J32" s="2609"/>
      <c r="K32" s="2609"/>
      <c r="L32" s="2609"/>
      <c r="M32" s="2609"/>
      <c r="N32" s="2609"/>
      <c r="O32" s="2609"/>
      <c r="P32" s="2609"/>
    </row>
    <row r="33" spans="4:4">
      <c r="D33" s="163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Normal="100" workbookViewId="0">
      <pane xSplit="3" ySplit="5" topLeftCell="D12" activePane="bottomRight" state="frozen"/>
      <selection pane="topRight" activeCell="D1" sqref="D1"/>
      <selection pane="bottomLeft" activeCell="A4" sqref="A4"/>
      <selection pane="bottomRight" activeCell="L10" sqref="L10"/>
    </sheetView>
  </sheetViews>
  <sheetFormatPr defaultColWidth="13.77734375" defaultRowHeight="13.2"/>
  <cols>
    <col min="1" max="1" width="20.88671875" style="1056" customWidth="1"/>
    <col min="2" max="3" width="12" style="1045" customWidth="1"/>
    <col min="4" max="4" width="9.109375" style="1057" customWidth="1"/>
    <col min="5" max="5" width="15" style="1045" bestFit="1" customWidth="1"/>
    <col min="6" max="10" width="8.88671875" style="1045" customWidth="1"/>
    <col min="11" max="12" width="12.33203125" style="1058" customWidth="1"/>
    <col min="13" max="13" width="8.6640625" style="1045" customWidth="1"/>
    <col min="14" max="14" width="9.77734375" style="1045" customWidth="1"/>
    <col min="15" max="16" width="9.6640625" style="1045" customWidth="1"/>
    <col min="17" max="17" width="10.88671875" style="1045" customWidth="1"/>
    <col min="18" max="19" width="12.44140625" style="1045" customWidth="1"/>
    <col min="20" max="20" width="12.109375" style="1045" customWidth="1"/>
    <col min="21" max="21" width="7.44140625" style="1045" customWidth="1"/>
    <col min="22" max="22" width="6.33203125" style="1045" customWidth="1"/>
    <col min="23" max="24" width="6.77734375" style="1045" customWidth="1"/>
    <col min="25" max="25" width="8.109375" style="1045" customWidth="1"/>
    <col min="26" max="30" width="6.77734375" style="1045" customWidth="1"/>
    <col min="31" max="31" width="6.44140625" style="1045" customWidth="1"/>
    <col min="32" max="34" width="7.21875" style="1045" customWidth="1"/>
    <col min="35" max="39" width="8" style="1045" customWidth="1"/>
    <col min="40" max="41" width="13.77734375" style="237"/>
    <col min="42" max="42" width="13.77734375" style="237" customWidth="1"/>
    <col min="43" max="83" width="13.77734375" style="237"/>
    <col min="84" max="16384" width="13.77734375" style="1045"/>
  </cols>
  <sheetData>
    <row r="1" spans="1:83" ht="18" thickBot="1">
      <c r="A1" s="132" t="s">
        <v>200</v>
      </c>
      <c r="B1" s="287"/>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15"/>
      <c r="AO1" s="2615"/>
      <c r="AP1" s="2615"/>
      <c r="AQ1" s="2615"/>
      <c r="AR1" s="2615"/>
      <c r="AS1" s="2615"/>
      <c r="AT1" s="2615"/>
      <c r="AU1" s="2615"/>
      <c r="AV1" s="2615"/>
      <c r="AW1" s="2615"/>
      <c r="AX1" s="2615"/>
      <c r="AY1" s="2615"/>
      <c r="AZ1" s="2615"/>
    </row>
    <row r="2" spans="1:83" s="1047" customFormat="1" ht="15" thickBot="1">
      <c r="A2" s="133" t="s">
        <v>201</v>
      </c>
      <c r="B2" s="1924">
        <f>项目基本情况!D3</f>
        <v>45849</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9"/>
      <c r="AO2" s="2609"/>
      <c r="AP2" s="2609"/>
      <c r="AQ2" s="2609"/>
      <c r="AR2" s="2609"/>
      <c r="AS2" s="2609"/>
      <c r="AT2" s="2609"/>
      <c r="AU2" s="2609"/>
      <c r="AV2" s="2609"/>
      <c r="AW2" s="2609"/>
      <c r="AX2" s="2609"/>
      <c r="AY2" s="2609"/>
      <c r="AZ2" s="2609"/>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7" customFormat="1" ht="14.4" thickBot="1">
      <c r="A3" s="1048"/>
      <c r="B3" s="96"/>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9"/>
      <c r="AO3" s="2609"/>
      <c r="AP3" s="2609"/>
      <c r="AQ3" s="2609"/>
      <c r="AR3" s="2609"/>
      <c r="AS3" s="2609"/>
      <c r="AT3" s="2609"/>
      <c r="AU3" s="2609"/>
      <c r="AV3" s="2609"/>
      <c r="AW3" s="2609"/>
      <c r="AX3" s="2609"/>
      <c r="AY3" s="2609"/>
      <c r="AZ3" s="2609"/>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3" customFormat="1" ht="57.6">
      <c r="A5" s="1890"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3242</v>
      </c>
      <c r="O5" s="147" t="s">
        <v>212</v>
      </c>
      <c r="P5" s="149" t="s">
        <v>213</v>
      </c>
      <c r="Q5" s="150" t="s">
        <v>214</v>
      </c>
      <c r="R5" s="151" t="s">
        <v>215</v>
      </c>
      <c r="S5" s="2074" t="s">
        <v>1855</v>
      </c>
      <c r="T5" s="152" t="s">
        <v>216</v>
      </c>
      <c r="U5" s="153" t="s">
        <v>217</v>
      </c>
      <c r="V5" s="143" t="s">
        <v>218</v>
      </c>
      <c r="W5" s="143" t="s">
        <v>219</v>
      </c>
      <c r="X5" s="1509"/>
      <c r="Y5" s="154" t="s">
        <v>220</v>
      </c>
      <c r="Z5" s="155" t="s">
        <v>221</v>
      </c>
      <c r="AA5" s="143" t="s">
        <v>218</v>
      </c>
      <c r="AB5" s="143" t="s">
        <v>219</v>
      </c>
      <c r="AC5" s="1510"/>
      <c r="AD5" s="156" t="s">
        <v>220</v>
      </c>
      <c r="AE5" s="1" t="s">
        <v>808</v>
      </c>
      <c r="AF5" s="143" t="s">
        <v>222</v>
      </c>
      <c r="AG5" s="154" t="s">
        <v>223</v>
      </c>
      <c r="AH5" s="1510" t="s">
        <v>1680</v>
      </c>
      <c r="AI5" s="155" t="s">
        <v>1649</v>
      </c>
      <c r="AJ5" s="155" t="s">
        <v>224</v>
      </c>
      <c r="AK5" s="143" t="s">
        <v>225</v>
      </c>
      <c r="AL5" s="143" t="s">
        <v>226</v>
      </c>
      <c r="AM5" s="156" t="s">
        <v>227</v>
      </c>
      <c r="AN5" s="1949" t="s">
        <v>1727</v>
      </c>
      <c r="AO5" s="2627"/>
      <c r="AP5" s="2614" t="s">
        <v>2264</v>
      </c>
      <c r="AQ5" s="2627"/>
      <c r="AR5" s="2627"/>
      <c r="AS5" s="2627"/>
      <c r="AT5" s="2627"/>
      <c r="AU5" s="2627"/>
      <c r="AV5" s="2627"/>
      <c r="AW5" s="2627"/>
      <c r="AX5" s="2627"/>
      <c r="AY5" s="2627"/>
      <c r="AZ5" s="2627"/>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7" customFormat="1" ht="14.4">
      <c r="A6" s="1888" t="str">
        <f>'数据-汇总表'!C19</f>
        <v>住宅</v>
      </c>
      <c r="B6" s="1923" t="str">
        <f>IF(A6=0,"","经营性")</f>
        <v>经营性</v>
      </c>
      <c r="C6" s="157" t="s">
        <v>851</v>
      </c>
      <c r="D6" s="1894">
        <f>SUMIF(项目基本情况!C$15:I$15,C6,项目基本情况!C$18:I$18)</f>
        <v>70</v>
      </c>
      <c r="E6" s="1895">
        <f>IF(B6="","",SUMIF(项目基本情况!C$15:I$15,C6,项目基本情况!C$17:I$17))</f>
        <v>70551</v>
      </c>
      <c r="F6" s="158">
        <f>SUMIF(项目基本情况!C$15:I$15,C6,项目基本情况!C$19:I$19)</f>
        <v>67.67</v>
      </c>
      <c r="G6" s="159">
        <f t="shared" ref="G6:G13" si="0">IF(ISERROR(ROUND(POWER(1+H6,D6-F6)*(POWER(1+H6,F6)-1)/(POWER(1+H6,D6)-1),3)),0,ROUND(POWER(1+H6,D6-F6)*(POWER(1+H6,F6)-1)/(POWER(1+H6,D6)-1),3))</f>
        <v>0.996</v>
      </c>
      <c r="H6" s="2310">
        <v>0.05</v>
      </c>
      <c r="I6" s="2310">
        <v>5.5E-2</v>
      </c>
      <c r="J6" s="160">
        <v>7.0000000000000007E-2</v>
      </c>
      <c r="K6" s="163">
        <f>SUMIF('数据-汇总表'!C$19:C$33,'数据-取费表'!A6,'数据-汇总表'!E$19:E$33)</f>
        <v>26901.119999999999</v>
      </c>
      <c r="L6" s="3431">
        <v>2000</v>
      </c>
      <c r="M6" s="161">
        <f t="shared" ref="M6:M14" si="1">ROUND(K6*L6/10000,0)</f>
        <v>5380</v>
      </c>
      <c r="N6" s="2312">
        <v>0</v>
      </c>
      <c r="O6" s="161">
        <f>IF($N$5="成新度","——",ROUND(M6*N6,0))</f>
        <v>0</v>
      </c>
      <c r="P6" s="162">
        <f>IF($N$5="成新度","——",M6-O6)</f>
        <v>5380</v>
      </c>
      <c r="Q6" s="2313">
        <v>0.1</v>
      </c>
      <c r="R6" s="163">
        <f>SUMIF('数据-汇总表'!C$19:C$33,A6,'数据-汇总表'!R$19:R$33)</f>
        <v>20692.8</v>
      </c>
      <c r="S6" s="122">
        <f>IF('数据-汇总表'!$I$17="按面积比例",SUMIF('数据-汇总表'!C$19:C$33,A6,'数据-汇总表'!K$19:K$33),SUMIF('数据-汇总表'!C$19:C$33,A6,'数据-汇总表'!N$19:N$33))</f>
        <v>0</v>
      </c>
      <c r="T6" s="1826" t="str">
        <f>IF($T$4="按面积比例",IF(ISERROR(ROUND($M$14*S6/S$16,0)),"0",ROUND($M$14*S6/S$16,0)),"需自行计算录入")</f>
        <v>0</v>
      </c>
      <c r="U6" s="164"/>
      <c r="V6" s="165"/>
      <c r="W6" s="165"/>
      <c r="X6" s="1907"/>
      <c r="Y6" s="166"/>
      <c r="Z6" s="167"/>
      <c r="AA6" s="160"/>
      <c r="AB6" s="160"/>
      <c r="AC6" s="1910"/>
      <c r="AD6" s="168"/>
      <c r="AE6" s="887">
        <f ca="1">IF(AN6="",0,SUMIF(INDIRECT("'"&amp;AN6&amp;"'"&amp;"!E:E"),$AE$5,INDIRECT("'"&amp;AN6&amp;"'"&amp;"!F:F")))</f>
        <v>0</v>
      </c>
      <c r="AF6" s="127"/>
      <c r="AG6" s="1054">
        <f>IF(AF6="",0,AE6-AF6)</f>
        <v>0</v>
      </c>
      <c r="AH6" s="127"/>
      <c r="AI6" s="171"/>
      <c r="AJ6" s="127"/>
      <c r="AK6" s="172"/>
      <c r="AL6" s="173"/>
      <c r="AM6" s="2321"/>
      <c r="AN6" s="1125"/>
      <c r="AO6" s="2609"/>
      <c r="AP6" s="96">
        <f>ROUND(1-1/(1+H6)^F6,3)</f>
        <v>0.96299999999999997</v>
      </c>
      <c r="AQ6" s="2609"/>
      <c r="AR6" s="2609"/>
      <c r="AS6" s="2609"/>
      <c r="AT6" s="2609"/>
      <c r="AU6" s="2609"/>
      <c r="AV6" s="2609"/>
      <c r="AW6" s="2609"/>
      <c r="AX6" s="2609"/>
      <c r="AY6" s="2609"/>
      <c r="AZ6" s="2609"/>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7" customFormat="1" ht="14.4">
      <c r="A7" s="1888" t="str">
        <f>'数据-汇总表'!C20</f>
        <v>商业</v>
      </c>
      <c r="B7" s="1923" t="str">
        <f t="shared" ref="B7:B13" si="2">IF(A7=0,"","经营性")</f>
        <v>经营性</v>
      </c>
      <c r="C7" s="157" t="s">
        <v>2738</v>
      </c>
      <c r="D7" s="1894">
        <f>SUMIF(项目基本情况!C$15:I$15,C7,项目基本情况!C$18:I$18)</f>
        <v>40</v>
      </c>
      <c r="E7" s="1895">
        <f>IF(B7="","",SUMIF(项目基本情况!C$15:I$15,C7,项目基本情况!C$17:I$17))</f>
        <v>59593</v>
      </c>
      <c r="F7" s="158">
        <f>SUMIF(项目基本情况!C$15:I$15,C7,项目基本情况!C$19:I$19)</f>
        <v>37.65</v>
      </c>
      <c r="G7" s="159">
        <f t="shared" si="0"/>
        <v>0.98</v>
      </c>
      <c r="H7" s="2310">
        <f>H6</f>
        <v>0.05</v>
      </c>
      <c r="I7" s="2310">
        <f>I6</f>
        <v>5.5E-2</v>
      </c>
      <c r="J7" s="160">
        <f>J6</f>
        <v>7.0000000000000007E-2</v>
      </c>
      <c r="K7" s="163">
        <f>SUMIF('数据-汇总表'!C$19:C$33,'数据-取费表'!A7,'数据-汇总表'!E$19:E$33)</f>
        <v>1120.8800000000001</v>
      </c>
      <c r="L7" s="3431">
        <f>信息!G5</f>
        <v>2000</v>
      </c>
      <c r="M7" s="161">
        <f t="shared" si="1"/>
        <v>224</v>
      </c>
      <c r="N7" s="2312">
        <f>N6</f>
        <v>0</v>
      </c>
      <c r="O7" s="161">
        <f t="shared" ref="O7:O14" si="3">IF($N$5="成新度","——",ROUND(M7*N7,0))</f>
        <v>0</v>
      </c>
      <c r="P7" s="162">
        <f t="shared" ref="P7:P14" si="4">IF($N$5="成新度","——",M7-O7)</f>
        <v>224</v>
      </c>
      <c r="Q7" s="2313">
        <v>0.1</v>
      </c>
      <c r="R7" s="163">
        <f>SUMIF('数据-汇总表'!C$19:C$33,A7,'数据-汇总表'!R$19:R$33)</f>
        <v>862.2</v>
      </c>
      <c r="S7" s="122">
        <f>IF('数据-汇总表'!$I$17="按面积比例",SUMIF('数据-汇总表'!C$19:C$33,A7,'数据-汇总表'!K$19:K$33),SUMIF('数据-汇总表'!C$19:C$33,A7,'数据-汇总表'!N$19:N$33))</f>
        <v>0</v>
      </c>
      <c r="T7" s="1826" t="str">
        <f t="shared" ref="T7:T13" si="5">IF($T$4="按面积比例",IF(ISERROR(ROUND($M$14*S7/S$16,0)),"0",ROUND($M$14*S7/S$16,0)),"需自行计算录入")</f>
        <v>0</v>
      </c>
      <c r="U7" s="164">
        <v>1.7</v>
      </c>
      <c r="V7" s="165">
        <v>0.02</v>
      </c>
      <c r="W7" s="165">
        <v>0.1</v>
      </c>
      <c r="X7" s="1907"/>
      <c r="Y7" s="166">
        <v>1</v>
      </c>
      <c r="Z7" s="167"/>
      <c r="AA7" s="160"/>
      <c r="AB7" s="160"/>
      <c r="AC7" s="1910"/>
      <c r="AD7" s="168"/>
      <c r="AE7" s="887">
        <f t="shared" ref="AE7:AE13" ca="1" si="6">IF(AN7="",0,SUMIF(INDIRECT("'"&amp;AN7&amp;"'"&amp;"!E:E"),$AE$5,INDIRECT("'"&amp;AN7&amp;"'"&amp;"!F:F")))</f>
        <v>37.65</v>
      </c>
      <c r="AF7" s="127"/>
      <c r="AG7" s="1054">
        <f t="shared" ref="AG7:AG13" si="7">IF(AF7="",0,AE7-AF7)</f>
        <v>0</v>
      </c>
      <c r="AH7" s="127"/>
      <c r="AI7" s="171">
        <v>365</v>
      </c>
      <c r="AJ7" s="127"/>
      <c r="AK7" s="172">
        <v>5.0000000000000001E-3</v>
      </c>
      <c r="AL7" s="173">
        <v>1E-3</v>
      </c>
      <c r="AM7" s="2321">
        <v>0.01</v>
      </c>
      <c r="AN7" s="1125" t="s">
        <v>3343</v>
      </c>
      <c r="AO7" s="2609"/>
      <c r="AP7" s="96">
        <f t="shared" ref="AP7:AP13" si="8">ROUND(1-1/(1+H7)^F7,3)</f>
        <v>0.84099999999999997</v>
      </c>
      <c r="AQ7" s="2609"/>
      <c r="AR7" s="2609"/>
      <c r="AS7" s="2609"/>
      <c r="AT7" s="2609"/>
      <c r="AU7" s="2609"/>
      <c r="AV7" s="2609"/>
      <c r="AW7" s="2609"/>
      <c r="AX7" s="2609"/>
      <c r="AY7" s="2609"/>
      <c r="AZ7" s="2609"/>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7" customFormat="1" ht="14.4">
      <c r="A8" s="1888">
        <f>'数据-汇总表'!C21</f>
        <v>0</v>
      </c>
      <c r="B8" s="1923" t="str">
        <f t="shared" si="2"/>
        <v/>
      </c>
      <c r="C8" s="157"/>
      <c r="D8" s="1894">
        <f>SUMIF(项目基本情况!C$15:I$15,C8,项目基本情况!C$18:I$18)</f>
        <v>0</v>
      </c>
      <c r="E8" s="1895" t="str">
        <f>IF(B8="","",SUMIF(项目基本情况!C$15:I$15,C8,项目基本情况!C$17:I$17))</f>
        <v/>
      </c>
      <c r="F8" s="158">
        <f>SUMIF(项目基本情况!C$15:I$15,C8,项目基本情况!C$19:I$19)</f>
        <v>0</v>
      </c>
      <c r="G8" s="159">
        <f t="shared" si="0"/>
        <v>0</v>
      </c>
      <c r="H8" s="2310"/>
      <c r="I8" s="2310"/>
      <c r="J8" s="160"/>
      <c r="K8" s="163">
        <f>SUMIF('数据-汇总表'!C$19:C$33,'数据-取费表'!A8,'数据-汇总表'!E$19:E$33)</f>
        <v>0</v>
      </c>
      <c r="L8" s="2311"/>
      <c r="M8" s="161">
        <f>ROUND(K8*L8/10000,0)</f>
        <v>0</v>
      </c>
      <c r="N8" s="2312"/>
      <c r="O8" s="161">
        <f t="shared" si="3"/>
        <v>0</v>
      </c>
      <c r="P8" s="162">
        <f t="shared" si="4"/>
        <v>0</v>
      </c>
      <c r="Q8" s="2313"/>
      <c r="R8" s="163">
        <f>SUMIF('数据-汇总表'!C$19:C$33,A8,'数据-汇总表'!R$19:R$33)</f>
        <v>0</v>
      </c>
      <c r="S8" s="122">
        <f>IF('数据-汇总表'!$I$17="按面积比例",SUMIF('数据-汇总表'!C$19:C$33,A8,'数据-汇总表'!K$19:K$33),SUMIF('数据-汇总表'!C$19:C$33,A8,'数据-汇总表'!N$19:N$33))</f>
        <v>0</v>
      </c>
      <c r="T8" s="1826" t="str">
        <f t="shared" si="5"/>
        <v>0</v>
      </c>
      <c r="U8" s="164"/>
      <c r="V8" s="165"/>
      <c r="W8" s="165"/>
      <c r="X8" s="1907"/>
      <c r="Y8" s="166"/>
      <c r="Z8" s="167"/>
      <c r="AA8" s="160"/>
      <c r="AB8" s="160"/>
      <c r="AC8" s="1910"/>
      <c r="AD8" s="168"/>
      <c r="AE8" s="887">
        <f t="shared" ca="1" si="6"/>
        <v>0</v>
      </c>
      <c r="AF8" s="127"/>
      <c r="AG8" s="1054">
        <f t="shared" si="7"/>
        <v>0</v>
      </c>
      <c r="AH8" s="127"/>
      <c r="AI8" s="171"/>
      <c r="AJ8" s="127"/>
      <c r="AK8" s="172"/>
      <c r="AL8" s="173"/>
      <c r="AM8" s="2321"/>
      <c r="AN8" s="1125"/>
      <c r="AO8" s="2609"/>
      <c r="AP8" s="96">
        <f t="shared" si="8"/>
        <v>0</v>
      </c>
      <c r="AQ8" s="2609"/>
      <c r="AR8" s="2609"/>
      <c r="AS8" s="2609"/>
      <c r="AT8" s="2609"/>
      <c r="AU8" s="2609"/>
      <c r="AV8" s="2609"/>
      <c r="AW8" s="2609"/>
      <c r="AX8" s="2609"/>
      <c r="AY8" s="2609"/>
      <c r="AZ8" s="2609"/>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7" customFormat="1" ht="14.4">
      <c r="A9" s="1888">
        <f>'数据-汇总表'!C22</f>
        <v>0</v>
      </c>
      <c r="B9" s="1923" t="str">
        <f t="shared" si="2"/>
        <v/>
      </c>
      <c r="C9" s="157"/>
      <c r="D9" s="1894">
        <f>SUMIF(项目基本情况!C$15:I$15,C9,项目基本情况!C$18:I$18)</f>
        <v>0</v>
      </c>
      <c r="E9" s="1895"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1"/>
      <c r="M9" s="161">
        <f t="shared" si="1"/>
        <v>0</v>
      </c>
      <c r="N9" s="2312"/>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6" t="str">
        <f t="shared" si="5"/>
        <v>0</v>
      </c>
      <c r="U9" s="164"/>
      <c r="V9" s="165"/>
      <c r="W9" s="165"/>
      <c r="X9" s="1907"/>
      <c r="Y9" s="166"/>
      <c r="Z9" s="167"/>
      <c r="AA9" s="160"/>
      <c r="AB9" s="160"/>
      <c r="AC9" s="1910"/>
      <c r="AD9" s="168"/>
      <c r="AE9" s="887">
        <f t="shared" ca="1" si="6"/>
        <v>0</v>
      </c>
      <c r="AF9" s="127"/>
      <c r="AG9" s="1054">
        <f t="shared" si="7"/>
        <v>0</v>
      </c>
      <c r="AH9" s="127"/>
      <c r="AI9" s="171"/>
      <c r="AJ9" s="127"/>
      <c r="AK9" s="172"/>
      <c r="AL9" s="173"/>
      <c r="AM9" s="2321"/>
      <c r="AN9" s="1125"/>
      <c r="AO9" s="2609"/>
      <c r="AP9" s="96">
        <f t="shared" si="8"/>
        <v>0</v>
      </c>
      <c r="AQ9" s="2609"/>
      <c r="AR9" s="2609"/>
      <c r="AS9" s="2609"/>
      <c r="AT9" s="2609"/>
      <c r="AU9" s="2609"/>
      <c r="AV9" s="2609"/>
      <c r="AW9" s="2609"/>
      <c r="AX9" s="2609"/>
      <c r="AY9" s="2609"/>
      <c r="AZ9" s="2609"/>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7" customFormat="1" ht="14.4">
      <c r="A10" s="1888">
        <f>'数据-汇总表'!C23</f>
        <v>0</v>
      </c>
      <c r="B10" s="1923" t="str">
        <f t="shared" si="2"/>
        <v/>
      </c>
      <c r="C10" s="157"/>
      <c r="D10" s="1894">
        <f>SUMIF(项目基本情况!C$15:I$15,C10,项目基本情况!C$18:I$18)</f>
        <v>0</v>
      </c>
      <c r="E10" s="1895"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1"/>
      <c r="M10" s="161">
        <f t="shared" si="1"/>
        <v>0</v>
      </c>
      <c r="N10" s="2312"/>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6" t="str">
        <f t="shared" si="5"/>
        <v>0</v>
      </c>
      <c r="U10" s="164"/>
      <c r="V10" s="165"/>
      <c r="W10" s="165"/>
      <c r="X10" s="1907"/>
      <c r="Y10" s="166"/>
      <c r="Z10" s="167"/>
      <c r="AA10" s="160"/>
      <c r="AB10" s="160"/>
      <c r="AC10" s="1910"/>
      <c r="AD10" s="168"/>
      <c r="AE10" s="887">
        <f t="shared" ca="1" si="6"/>
        <v>0</v>
      </c>
      <c r="AF10" s="127"/>
      <c r="AG10" s="1054">
        <f t="shared" si="7"/>
        <v>0</v>
      </c>
      <c r="AH10" s="127"/>
      <c r="AI10" s="171"/>
      <c r="AJ10" s="127"/>
      <c r="AK10" s="172"/>
      <c r="AL10" s="173"/>
      <c r="AM10" s="2321"/>
      <c r="AN10" s="1125"/>
      <c r="AO10" s="2609"/>
      <c r="AP10" s="96">
        <f t="shared" si="8"/>
        <v>0</v>
      </c>
      <c r="AQ10" s="2609"/>
      <c r="AR10" s="2609"/>
      <c r="AS10" s="2609"/>
      <c r="AT10" s="2609"/>
      <c r="AU10" s="2609"/>
      <c r="AV10" s="2609"/>
      <c r="AW10" s="2609"/>
      <c r="AX10" s="2609"/>
      <c r="AY10" s="2609"/>
      <c r="AZ10" s="2609"/>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7" customFormat="1" ht="14.4">
      <c r="A11" s="1888">
        <f>'数据-汇总表'!C24</f>
        <v>0</v>
      </c>
      <c r="B11" s="1923" t="str">
        <f t="shared" si="2"/>
        <v/>
      </c>
      <c r="C11" s="157"/>
      <c r="D11" s="1894">
        <f>SUMIF(项目基本情况!C$15:I$15,C11,项目基本情况!C$18:I$18)</f>
        <v>0</v>
      </c>
      <c r="E11" s="1895"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6" t="str">
        <f t="shared" si="5"/>
        <v>0</v>
      </c>
      <c r="U11" s="169"/>
      <c r="V11" s="165"/>
      <c r="W11" s="160"/>
      <c r="X11" s="1910"/>
      <c r="Y11" s="166"/>
      <c r="Z11" s="178"/>
      <c r="AA11" s="160"/>
      <c r="AB11" s="160"/>
      <c r="AC11" s="1910"/>
      <c r="AD11" s="168"/>
      <c r="AE11" s="887">
        <f t="shared" ca="1" si="6"/>
        <v>0</v>
      </c>
      <c r="AF11" s="127"/>
      <c r="AG11" s="1054">
        <f t="shared" si="7"/>
        <v>0</v>
      </c>
      <c r="AH11" s="127"/>
      <c r="AI11" s="171"/>
      <c r="AJ11" s="127"/>
      <c r="AK11" s="172"/>
      <c r="AL11" s="173"/>
      <c r="AM11" s="2321"/>
      <c r="AN11" s="1125"/>
      <c r="AO11" s="2609"/>
      <c r="AP11" s="96">
        <f t="shared" si="8"/>
        <v>0</v>
      </c>
      <c r="AQ11" s="2609"/>
      <c r="AR11" s="2609"/>
      <c r="AS11" s="2609"/>
      <c r="AT11" s="2609"/>
      <c r="AU11" s="2609"/>
      <c r="AV11" s="2609"/>
      <c r="AW11" s="2609"/>
      <c r="AX11" s="2609"/>
      <c r="AY11" s="2609"/>
      <c r="AZ11" s="2609"/>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7" customFormat="1" ht="14.4">
      <c r="A12" s="1888">
        <f>'数据-汇总表'!C25</f>
        <v>0</v>
      </c>
      <c r="B12" s="1923" t="str">
        <f t="shared" si="2"/>
        <v/>
      </c>
      <c r="C12" s="157"/>
      <c r="D12" s="1894">
        <f>SUMIF(项目基本情况!C$15:I$15,C12,项目基本情况!C$18:I$18)</f>
        <v>0</v>
      </c>
      <c r="E12" s="1895"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6" t="str">
        <f t="shared" si="5"/>
        <v>0</v>
      </c>
      <c r="U12" s="169"/>
      <c r="V12" s="165"/>
      <c r="W12" s="160"/>
      <c r="X12" s="1910"/>
      <c r="Y12" s="166"/>
      <c r="Z12" s="178"/>
      <c r="AA12" s="160"/>
      <c r="AB12" s="160"/>
      <c r="AC12" s="1910"/>
      <c r="AD12" s="168"/>
      <c r="AE12" s="887">
        <f t="shared" ca="1" si="6"/>
        <v>0</v>
      </c>
      <c r="AF12" s="127"/>
      <c r="AG12" s="1054">
        <f t="shared" si="7"/>
        <v>0</v>
      </c>
      <c r="AH12" s="127"/>
      <c r="AI12" s="171"/>
      <c r="AJ12" s="127"/>
      <c r="AK12" s="172"/>
      <c r="AL12" s="173"/>
      <c r="AM12" s="2321"/>
      <c r="AN12" s="1125"/>
      <c r="AO12" s="2609"/>
      <c r="AP12" s="96">
        <f t="shared" si="8"/>
        <v>0</v>
      </c>
      <c r="AQ12" s="2609"/>
      <c r="AR12" s="2609"/>
      <c r="AS12" s="2609"/>
      <c r="AT12" s="2609"/>
      <c r="AU12" s="2609"/>
      <c r="AV12" s="2609"/>
      <c r="AW12" s="2609"/>
      <c r="AX12" s="2609"/>
      <c r="AY12" s="2609"/>
      <c r="AZ12" s="2609"/>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7" customFormat="1" ht="14.4">
      <c r="A13" s="1888">
        <f>'数据-汇总表'!C26</f>
        <v>0</v>
      </c>
      <c r="B13" s="1923" t="str">
        <f t="shared" si="2"/>
        <v/>
      </c>
      <c r="C13" s="157"/>
      <c r="D13" s="1894">
        <f>SUMIF(项目基本情况!C$15:I$15,C13,项目基本情况!C$18:I$18)</f>
        <v>0</v>
      </c>
      <c r="E13" s="1895"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6" t="str">
        <f t="shared" si="5"/>
        <v>0</v>
      </c>
      <c r="U13" s="164"/>
      <c r="V13" s="165"/>
      <c r="W13" s="165"/>
      <c r="X13" s="1907"/>
      <c r="Y13" s="166"/>
      <c r="Z13" s="167"/>
      <c r="AA13" s="160"/>
      <c r="AB13" s="160"/>
      <c r="AC13" s="1910"/>
      <c r="AD13" s="168"/>
      <c r="AE13" s="887">
        <f t="shared" ca="1" si="6"/>
        <v>0</v>
      </c>
      <c r="AF13" s="127"/>
      <c r="AG13" s="1054">
        <f t="shared" si="7"/>
        <v>0</v>
      </c>
      <c r="AH13" s="127"/>
      <c r="AI13" s="171"/>
      <c r="AJ13" s="127"/>
      <c r="AK13" s="172"/>
      <c r="AL13" s="173"/>
      <c r="AM13" s="1948"/>
      <c r="AN13" s="1125"/>
      <c r="AO13" s="2609"/>
      <c r="AP13" s="96">
        <f t="shared" si="8"/>
        <v>0</v>
      </c>
      <c r="AQ13" s="2609"/>
      <c r="AR13" s="2609"/>
      <c r="AS13" s="2609"/>
      <c r="AT13" s="2609"/>
      <c r="AU13" s="2609"/>
      <c r="AV13" s="2609"/>
      <c r="AW13" s="2609"/>
      <c r="AX13" s="2609"/>
      <c r="AY13" s="2609"/>
      <c r="AZ13" s="2609"/>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7" customFormat="1" ht="13.8">
      <c r="A14" s="1889" t="s">
        <v>1671</v>
      </c>
      <c r="B14" s="1892" t="s">
        <v>1213</v>
      </c>
      <c r="C14" s="1893" t="s">
        <v>1671</v>
      </c>
      <c r="D14" s="1894"/>
      <c r="E14" s="1895"/>
      <c r="F14" s="158"/>
      <c r="G14" s="159"/>
      <c r="H14" s="1896"/>
      <c r="I14" s="1896"/>
      <c r="J14" s="1896"/>
      <c r="K14" s="163">
        <f>SUMIF('数据-汇总表'!C$19:C$33,'数据-取费表'!A14,'数据-汇总表'!E$19:E$33)</f>
        <v>0</v>
      </c>
      <c r="L14" s="176"/>
      <c r="M14" s="161">
        <f t="shared" si="1"/>
        <v>0</v>
      </c>
      <c r="N14" s="177"/>
      <c r="O14" s="161">
        <f t="shared" si="3"/>
        <v>0</v>
      </c>
      <c r="P14" s="162">
        <f t="shared" si="4"/>
        <v>0</v>
      </c>
      <c r="Q14" s="1904"/>
      <c r="R14" s="163"/>
      <c r="S14" s="122"/>
      <c r="T14" s="1903"/>
      <c r="U14" s="889"/>
      <c r="V14" s="1906"/>
      <c r="W14" s="1906"/>
      <c r="X14" s="1907"/>
      <c r="Y14" s="1908"/>
      <c r="Z14" s="125"/>
      <c r="AA14" s="1909"/>
      <c r="AB14" s="1909"/>
      <c r="AC14" s="1910"/>
      <c r="AD14" s="1907"/>
      <c r="AE14" s="887"/>
      <c r="AF14" s="997"/>
      <c r="AG14" s="1054"/>
      <c r="AH14" s="997"/>
      <c r="AI14" s="997"/>
      <c r="AJ14" s="997"/>
      <c r="AK14" s="1911"/>
      <c r="AL14" s="1912"/>
      <c r="AM14" s="1913"/>
      <c r="AN14" s="2609"/>
      <c r="AO14" s="2609"/>
      <c r="AP14" s="2609"/>
      <c r="AQ14" s="2609"/>
      <c r="AR14" s="2609"/>
      <c r="AS14" s="2609"/>
      <c r="AT14" s="2609"/>
      <c r="AU14" s="2609"/>
      <c r="AV14" s="2609"/>
      <c r="AW14" s="2609"/>
      <c r="AX14" s="2609"/>
      <c r="AY14" s="2609"/>
      <c r="AZ14" s="2609"/>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7" customFormat="1" ht="28.8">
      <c r="A15" s="1898" t="s">
        <v>1673</v>
      </c>
      <c r="B15" s="1892" t="s">
        <v>1213</v>
      </c>
      <c r="C15" s="1893" t="s">
        <v>1672</v>
      </c>
      <c r="D15" s="1894"/>
      <c r="E15" s="1895"/>
      <c r="F15" s="158"/>
      <c r="G15" s="159"/>
      <c r="H15" s="1896"/>
      <c r="I15" s="1896"/>
      <c r="J15" s="1896"/>
      <c r="K15" s="163">
        <f>SUMIF('数据-汇总表'!C$19:C$33,'数据-取费表'!A15,'数据-汇总表'!E$19:E$33)</f>
        <v>0</v>
      </c>
      <c r="L15" s="1902"/>
      <c r="M15" s="161"/>
      <c r="N15" s="1905"/>
      <c r="O15" s="161"/>
      <c r="P15" s="162"/>
      <c r="Q15" s="1904"/>
      <c r="R15" s="163"/>
      <c r="S15" s="122"/>
      <c r="T15" s="1903"/>
      <c r="U15" s="889"/>
      <c r="V15" s="1906"/>
      <c r="W15" s="1906"/>
      <c r="X15" s="1907"/>
      <c r="Y15" s="1908"/>
      <c r="Z15" s="125"/>
      <c r="AA15" s="1909"/>
      <c r="AB15" s="1909"/>
      <c r="AC15" s="1910"/>
      <c r="AD15" s="1907"/>
      <c r="AE15" s="887"/>
      <c r="AF15" s="997"/>
      <c r="AG15" s="1054"/>
      <c r="AH15" s="997"/>
      <c r="AI15" s="997"/>
      <c r="AJ15" s="997"/>
      <c r="AK15" s="1911"/>
      <c r="AL15" s="1912"/>
      <c r="AM15" s="1913"/>
      <c r="AN15" s="2609"/>
      <c r="AO15" s="2609"/>
      <c r="AP15" s="2609"/>
      <c r="AQ15" s="2609"/>
      <c r="AR15" s="2609"/>
      <c r="AS15" s="2609"/>
      <c r="AT15" s="2609"/>
      <c r="AU15" s="2609"/>
      <c r="AV15" s="2609"/>
      <c r="AW15" s="2609"/>
      <c r="AX15" s="2609"/>
      <c r="AY15" s="2609"/>
      <c r="AZ15" s="2609"/>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s="1047" customFormat="1" ht="15" thickBot="1">
      <c r="A16" s="179" t="s">
        <v>228</v>
      </c>
      <c r="B16" s="180"/>
      <c r="C16" s="181"/>
      <c r="D16" s="182"/>
      <c r="E16" s="180"/>
      <c r="F16" s="180"/>
      <c r="G16" s="183">
        <f>ROUND(SUMPRODUCT(G6:G13,K6:K13)/SUMPRODUCT((G6:G13&gt;0)*(K6:K13)),3)</f>
        <v>0.995</v>
      </c>
      <c r="H16" s="184">
        <f>ROUND(SUMPRODUCT(H6:H13,K6:K13)/SUMPRODUCT((H6:H13&gt;0)*(K6:K13)),3)</f>
        <v>0.05</v>
      </c>
      <c r="I16" s="185"/>
      <c r="J16" s="185"/>
      <c r="K16" s="186">
        <f>SUM(K6:K15)</f>
        <v>28022</v>
      </c>
      <c r="L16" s="187">
        <f>ROUND(M16*10000/SUM(K6:K14),0)</f>
        <v>2000</v>
      </c>
      <c r="M16" s="187">
        <f>SUM(M6:M14)</f>
        <v>5604</v>
      </c>
      <c r="N16" s="188">
        <f>ROUND(SUMPRODUCT(M6:M14,N6:N14)/M16,3)</f>
        <v>0</v>
      </c>
      <c r="O16" s="187">
        <f>SUM(O6:O14)</f>
        <v>0</v>
      </c>
      <c r="P16" s="187">
        <f>SUM(P6:P14)</f>
        <v>5604</v>
      </c>
      <c r="Q16" s="189">
        <f>ROUND(SUMPRODUCT(Q6:Q13,K6:K13)/SUMPRODUCT((Q6:Q13&gt;0)*(K6:K13)),2)</f>
        <v>0.1</v>
      </c>
      <c r="R16" s="1897">
        <f>SUM(R6:R13)</f>
        <v>21555</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0.95799999999999996</v>
      </c>
      <c r="AQ16" s="2609"/>
      <c r="AR16" s="2609"/>
      <c r="AS16" s="2609"/>
      <c r="AT16" s="2609"/>
      <c r="AU16" s="2609"/>
      <c r="AV16" s="2609"/>
      <c r="AW16" s="2609"/>
      <c r="AX16" s="2609"/>
      <c r="AY16" s="2609"/>
      <c r="AZ16" s="2609"/>
      <c r="BA16" s="1633"/>
      <c r="BB16" s="1633"/>
      <c r="BC16" s="1633"/>
      <c r="BD16" s="1633"/>
      <c r="BE16" s="1633"/>
      <c r="BF16" s="1633"/>
      <c r="BG16" s="1633"/>
      <c r="BH16" s="1633"/>
      <c r="BI16" s="1633"/>
      <c r="BJ16" s="1633"/>
      <c r="BK16" s="1633"/>
      <c r="BL16" s="1633"/>
      <c r="BM16" s="1633"/>
      <c r="BN16" s="1633"/>
      <c r="BO16" s="1633"/>
      <c r="BP16" s="1633"/>
      <c r="BQ16" s="1633"/>
      <c r="BR16" s="1633"/>
      <c r="BS16" s="1633"/>
      <c r="BT16" s="1633"/>
      <c r="BU16" s="1633"/>
      <c r="BV16" s="1633"/>
      <c r="BW16" s="1633"/>
      <c r="BX16" s="1633"/>
      <c r="BY16" s="1633"/>
      <c r="BZ16" s="1633"/>
      <c r="CA16" s="1633"/>
      <c r="CB16" s="1633"/>
      <c r="CC16" s="1633"/>
      <c r="CD16" s="1633"/>
      <c r="CE16" s="1633"/>
    </row>
    <row r="17" spans="1:52" ht="13.8" thickBot="1">
      <c r="A17" s="1055"/>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4">
      <c r="A19" s="198" t="s">
        <v>230</v>
      </c>
      <c r="B19" s="199">
        <v>0</v>
      </c>
      <c r="C19" s="2628" t="s">
        <v>2272</v>
      </c>
      <c r="D19" s="2618"/>
      <c r="E19" s="2609"/>
      <c r="F19" s="2609"/>
      <c r="G19" s="2609"/>
      <c r="H19" s="2609"/>
      <c r="I19" s="2609"/>
      <c r="J19" s="2609"/>
      <c r="K19" s="2617"/>
      <c r="L19" s="2617"/>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4">
      <c r="A20" s="200" t="s">
        <v>231</v>
      </c>
      <c r="B20" s="201">
        <v>2</v>
      </c>
      <c r="C20" s="2628" t="s">
        <v>1692</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4">
      <c r="A21" s="202" t="s">
        <v>232</v>
      </c>
      <c r="B21" s="201">
        <v>0</v>
      </c>
      <c r="C21" s="2609"/>
      <c r="D21" s="2618"/>
      <c r="E21" s="2609"/>
      <c r="F21" s="2609"/>
      <c r="G21" s="2609"/>
      <c r="H21" s="2609"/>
      <c r="I21" s="2609"/>
      <c r="J21" s="2609"/>
      <c r="K21" s="2617"/>
      <c r="L21" s="2617"/>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4">
      <c r="A22" s="200" t="s">
        <v>233</v>
      </c>
      <c r="B22" s="203">
        <f>B19+B20</f>
        <v>2</v>
      </c>
      <c r="C22" s="2609"/>
      <c r="D22" s="2618"/>
      <c r="E22" s="2609"/>
      <c r="F22" s="2609"/>
      <c r="G22" s="2609"/>
      <c r="H22" s="2609"/>
      <c r="I22" s="2609"/>
      <c r="J22" s="2609"/>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4">
      <c r="A23" s="202" t="s">
        <v>234</v>
      </c>
      <c r="B23" s="203">
        <f>B19+B21</f>
        <v>0</v>
      </c>
      <c r="C23" s="2609"/>
      <c r="D23" s="2618"/>
      <c r="E23" s="2609"/>
      <c r="F23" s="2609"/>
      <c r="G23" s="2609"/>
      <c r="H23" s="2609"/>
      <c r="I23" s="2609"/>
      <c r="J23" s="2609"/>
      <c r="K23" s="2617"/>
      <c r="L23" s="2617"/>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2</v>
      </c>
      <c r="C24" s="2609"/>
      <c r="D24" s="2618"/>
      <c r="E24" s="2609"/>
      <c r="F24" s="2609"/>
      <c r="G24" s="2609"/>
      <c r="H24" s="2609"/>
      <c r="I24" s="2609"/>
      <c r="J24" s="2609"/>
      <c r="K24" s="2617"/>
      <c r="L24" s="2617"/>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4.4" thickBot="1">
      <c r="A25" s="1048"/>
      <c r="B25" s="96"/>
      <c r="C25" s="2609"/>
      <c r="D25" s="2618"/>
      <c r="E25" s="2609"/>
      <c r="F25" s="2609"/>
      <c r="G25" s="2609"/>
      <c r="H25" s="2609"/>
      <c r="I25" s="2609"/>
      <c r="J25" s="2609"/>
      <c r="K25" s="2617"/>
      <c r="L25" s="2617"/>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c r="K26" s="2617"/>
      <c r="L26" s="2617"/>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8.8">
      <c r="A27" s="207" t="s">
        <v>1694</v>
      </c>
      <c r="B27" s="208">
        <v>105</v>
      </c>
      <c r="C27" s="2629" t="s">
        <v>2273</v>
      </c>
      <c r="D27" s="2621"/>
      <c r="E27" s="2622"/>
      <c r="F27" s="2622"/>
      <c r="G27" s="2609"/>
      <c r="H27" s="2609"/>
      <c r="I27" s="2609"/>
      <c r="J27" s="2609"/>
      <c r="K27" s="2617"/>
      <c r="L27" s="2617"/>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8.8">
      <c r="A28" s="209" t="s">
        <v>1695</v>
      </c>
      <c r="B28" s="210">
        <v>105</v>
      </c>
      <c r="C28" s="2623"/>
      <c r="D28" s="2615" t="s">
        <v>3344</v>
      </c>
      <c r="E28" s="2622"/>
      <c r="F28" s="2622"/>
      <c r="G28" s="2609"/>
      <c r="H28" s="2609"/>
      <c r="I28" s="2609"/>
      <c r="J28" s="2609"/>
      <c r="K28" s="2617"/>
      <c r="L28" s="2617"/>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9.4" thickBot="1">
      <c r="A29" s="212" t="s">
        <v>1693</v>
      </c>
      <c r="B29" s="213"/>
      <c r="C29" s="2630" t="s">
        <v>1696</v>
      </c>
      <c r="D29" s="3410" t="s">
        <v>3345</v>
      </c>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8.8">
      <c r="A30" s="216" t="s">
        <v>239</v>
      </c>
      <c r="B30" s="893">
        <v>200</v>
      </c>
      <c r="C30" s="2623"/>
      <c r="D30" s="2621"/>
      <c r="E30" s="2622"/>
      <c r="F30" s="2622"/>
      <c r="G30" s="2609"/>
      <c r="H30" s="2609"/>
      <c r="I30" s="2609"/>
      <c r="J30" s="2609"/>
      <c r="K30" s="2617"/>
      <c r="L30" s="2617"/>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8.8">
      <c r="A31" s="209" t="s">
        <v>240</v>
      </c>
      <c r="B31" s="211">
        <f>B30-B32</f>
        <v>100</v>
      </c>
      <c r="C31" s="2620"/>
      <c r="D31" s="2621"/>
      <c r="E31" s="2622"/>
      <c r="F31" s="2622"/>
      <c r="G31" s="2609"/>
      <c r="H31" s="2609"/>
      <c r="I31" s="2609"/>
      <c r="J31" s="2609"/>
      <c r="K31" s="2617"/>
      <c r="L31" s="2617"/>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9.4" thickBot="1">
      <c r="A32" s="218" t="s">
        <v>241</v>
      </c>
      <c r="B32" s="1167">
        <v>100</v>
      </c>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4">
      <c r="A33" s="207" t="s">
        <v>244</v>
      </c>
      <c r="B33" s="1168">
        <v>0.03</v>
      </c>
      <c r="C33" s="2631" t="s">
        <v>3268</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4">
      <c r="A34" s="209" t="s">
        <v>245</v>
      </c>
      <c r="B34" s="214">
        <v>0.05</v>
      </c>
      <c r="C34" s="2631" t="s">
        <v>2265</v>
      </c>
      <c r="D34" s="2632" t="s">
        <v>2270</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4">
      <c r="A35" s="209" t="s">
        <v>242</v>
      </c>
      <c r="B35" s="210">
        <v>200</v>
      </c>
      <c r="C35" s="2631" t="s">
        <v>2266</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v>0.02</v>
      </c>
      <c r="C36" s="2631" t="s">
        <v>3311</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4">
      <c r="A37" s="216" t="s">
        <v>246</v>
      </c>
      <c r="B37" s="217">
        <v>1.4999999999999999E-2</v>
      </c>
      <c r="C37" s="2631" t="s">
        <v>3269</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4">
      <c r="A38" s="209" t="s">
        <v>247</v>
      </c>
      <c r="B38" s="214">
        <v>0.02</v>
      </c>
      <c r="C38" s="2631" t="s">
        <v>3270</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4">
      <c r="A39" s="1992" t="s">
        <v>1801</v>
      </c>
      <c r="B39" s="735">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8" t="s">
        <v>2287</v>
      </c>
      <c r="B40" s="1990">
        <f ca="1">IF(A40="利息：取LPR",存贷款利率!E2,存贷款利率!E2+C40)</f>
        <v>0.03</v>
      </c>
      <c r="C40" s="2779">
        <v>5.0000000000000001E-3</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4">
      <c r="A41" s="207" t="s">
        <v>248</v>
      </c>
      <c r="B41" s="219">
        <f>B42+B43</f>
        <v>5.5000000000000007E-2</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4">
      <c r="A42" s="894" t="s">
        <v>249</v>
      </c>
      <c r="B42" s="221">
        <v>0.05</v>
      </c>
      <c r="C42" s="2633">
        <f>IF(B2&lt;DATE(2016,5,1),0,B42)</f>
        <v>0.05</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4">
      <c r="A43" s="894" t="s">
        <v>250</v>
      </c>
      <c r="B43" s="222">
        <f>B42*(B44+B45+B46)+B47</f>
        <v>5.000000000000001E-3</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4">
      <c r="A44" s="220" t="s">
        <v>251</v>
      </c>
      <c r="B44" s="223">
        <v>0.05</v>
      </c>
      <c r="C44" s="2631" t="s">
        <v>3271</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4">
      <c r="A45" s="220" t="s">
        <v>252</v>
      </c>
      <c r="B45" s="221">
        <v>0.03</v>
      </c>
      <c r="C45" s="2634" t="s">
        <v>2267</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4">
      <c r="A46" s="220" t="s">
        <v>253</v>
      </c>
      <c r="B46" s="221">
        <v>0.02</v>
      </c>
      <c r="C46" s="2634" t="s">
        <v>2268</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c r="C47" s="2629" t="s">
        <v>2274</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4">
      <c r="A48" s="226" t="s">
        <v>255</v>
      </c>
      <c r="B48" s="227">
        <v>0.03</v>
      </c>
      <c r="C48" s="2634" t="s">
        <v>2267</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v>5.0000000000000001E-4</v>
      </c>
      <c r="C49" s="2634" t="s">
        <v>2269</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4">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t="s">
        <v>3346</v>
      </c>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4">
      <c r="A52" s="228" t="s">
        <v>259</v>
      </c>
      <c r="B52" s="231">
        <f>SUMIF(A54:A63,B53,B54:B63)</f>
        <v>1.5</v>
      </c>
      <c r="C52" s="2623"/>
      <c r="D52" s="2618"/>
      <c r="E52" s="3411" t="s">
        <v>3347</v>
      </c>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8.8">
      <c r="A53" s="209" t="s">
        <v>260</v>
      </c>
      <c r="B53" s="232" t="s">
        <v>1152</v>
      </c>
      <c r="C53" s="2625" t="s">
        <v>2167</v>
      </c>
      <c r="D53" s="2635" t="s">
        <v>2271</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4">
      <c r="A54" s="2341" t="s">
        <v>2168</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4">
      <c r="A55" s="2341" t="s">
        <v>2169</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4">
      <c r="A56" s="2341" t="s">
        <v>2170</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4">
      <c r="A57" s="2341" t="s">
        <v>2171</v>
      </c>
      <c r="B57" s="170"/>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4">
      <c r="A58" s="2341" t="s">
        <v>2172</v>
      </c>
      <c r="B58" s="170">
        <v>1.5</v>
      </c>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4">
      <c r="A59" s="2341" t="s">
        <v>2173</v>
      </c>
      <c r="B59" s="170"/>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4">
      <c r="A60" s="2341" t="s">
        <v>2174</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4">
      <c r="A61" s="2341" t="s">
        <v>2175</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4">
      <c r="A62" s="2341" t="s">
        <v>2176</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2177</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0"/>
      <c r="K64" s="53"/>
      <c r="L64" s="53"/>
    </row>
    <row r="65" spans="1:12" s="237" customFormat="1">
      <c r="A65" s="234"/>
      <c r="D65" s="1640"/>
      <c r="K65" s="53"/>
      <c r="L65" s="53"/>
    </row>
    <row r="66" spans="1:12" s="237" customFormat="1">
      <c r="A66" s="234"/>
      <c r="D66" s="1640"/>
      <c r="K66" s="53"/>
      <c r="L66" s="53"/>
    </row>
    <row r="67" spans="1:12" s="237" customFormat="1">
      <c r="A67" s="234"/>
      <c r="D67" s="1640"/>
      <c r="K67" s="53"/>
      <c r="L67" s="53"/>
    </row>
    <row r="68" spans="1:12" s="237" customFormat="1">
      <c r="A68" s="234"/>
      <c r="D68" s="1640"/>
      <c r="K68" s="53"/>
      <c r="L68" s="53"/>
    </row>
    <row r="69" spans="1:12" s="237" customFormat="1">
      <c r="A69" s="234"/>
      <c r="D69" s="1640"/>
      <c r="K69" s="53"/>
      <c r="L69" s="53"/>
    </row>
    <row r="70" spans="1:12" s="237" customFormat="1">
      <c r="A70" s="234"/>
      <c r="D70" s="1640"/>
      <c r="K70" s="53"/>
      <c r="L70" s="53"/>
    </row>
    <row r="71" spans="1:12" s="237" customFormat="1">
      <c r="A71" s="234"/>
      <c r="D71" s="1640"/>
      <c r="K71" s="53"/>
      <c r="L71" s="53"/>
    </row>
    <row r="72" spans="1:12" s="237" customFormat="1">
      <c r="A72" s="234"/>
      <c r="D72" s="1640"/>
      <c r="K72" s="53"/>
      <c r="L72" s="53"/>
    </row>
    <row r="73" spans="1:12" s="237" customFormat="1">
      <c r="A73" s="234"/>
      <c r="D73" s="1640"/>
      <c r="K73" s="53"/>
      <c r="L73" s="53"/>
    </row>
    <row r="74" spans="1:12" s="237" customFormat="1">
      <c r="A74" s="234"/>
      <c r="D74" s="1640"/>
      <c r="K74" s="53"/>
      <c r="L74" s="53"/>
    </row>
    <row r="75" spans="1:12" s="237" customFormat="1">
      <c r="A75" s="234"/>
      <c r="D75" s="1640"/>
      <c r="K75" s="53"/>
      <c r="L75" s="53"/>
    </row>
    <row r="76" spans="1:12" s="237" customFormat="1">
      <c r="A76" s="234"/>
      <c r="D76" s="1640"/>
      <c r="K76" s="53"/>
      <c r="L76" s="53"/>
    </row>
    <row r="77" spans="1:12" s="237" customFormat="1">
      <c r="A77" s="234"/>
      <c r="D77" s="1640"/>
      <c r="K77" s="53"/>
      <c r="L77" s="53"/>
    </row>
    <row r="78" spans="1:12" s="237" customFormat="1">
      <c r="A78" s="234"/>
      <c r="D78" s="1640"/>
      <c r="K78" s="53"/>
      <c r="L78" s="53"/>
    </row>
    <row r="79" spans="1:12" s="237" customFormat="1">
      <c r="A79" s="234"/>
      <c r="D79" s="1640"/>
      <c r="K79" s="53"/>
      <c r="L79" s="53"/>
    </row>
    <row r="80" spans="1:12" s="237" customFormat="1">
      <c r="A80" s="234"/>
      <c r="D80" s="1640"/>
      <c r="K80" s="53"/>
      <c r="L80" s="53"/>
    </row>
    <row r="81" spans="1:12" s="237" customFormat="1">
      <c r="A81" s="234"/>
      <c r="D81" s="1640"/>
      <c r="K81" s="53"/>
      <c r="L81" s="53"/>
    </row>
    <row r="82" spans="1:12" s="237" customFormat="1">
      <c r="A82" s="234"/>
      <c r="D82" s="1640"/>
      <c r="K82" s="53"/>
      <c r="L82" s="53"/>
    </row>
    <row r="83" spans="1:12" s="237" customFormat="1">
      <c r="A83" s="234"/>
      <c r="D83" s="1640"/>
      <c r="K83" s="53"/>
      <c r="L83" s="53"/>
    </row>
    <row r="84" spans="1:12" s="237" customFormat="1">
      <c r="A84" s="234"/>
      <c r="D84" s="1640"/>
      <c r="K84" s="53"/>
      <c r="L84" s="53"/>
    </row>
    <row r="85" spans="1:12" s="237" customFormat="1">
      <c r="A85" s="234"/>
      <c r="D85" s="1640"/>
      <c r="K85" s="53"/>
      <c r="L85" s="53"/>
    </row>
    <row r="86" spans="1:12" s="237" customFormat="1">
      <c r="A86" s="234"/>
      <c r="D86" s="1640"/>
      <c r="K86" s="53"/>
      <c r="L86" s="53"/>
    </row>
    <row r="87" spans="1:12" s="237" customFormat="1">
      <c r="A87" s="234"/>
      <c r="D87" s="1640"/>
      <c r="K87" s="53"/>
      <c r="L87" s="53"/>
    </row>
    <row r="88" spans="1:12" s="237" customFormat="1">
      <c r="A88" s="234"/>
      <c r="D88" s="1640"/>
      <c r="K88" s="53"/>
      <c r="L88" s="53"/>
    </row>
    <row r="89" spans="1:12" s="237" customFormat="1">
      <c r="A89" s="234"/>
      <c r="D89" s="1640"/>
      <c r="K89" s="53"/>
      <c r="L89" s="53"/>
    </row>
    <row r="90" spans="1:12" s="237" customFormat="1">
      <c r="A90" s="234"/>
      <c r="D90" s="1640"/>
      <c r="K90" s="53"/>
      <c r="L90" s="53"/>
    </row>
    <row r="91" spans="1:12" s="237" customFormat="1">
      <c r="A91" s="234"/>
      <c r="D91" s="1640"/>
      <c r="K91" s="53"/>
      <c r="L91" s="53"/>
    </row>
    <row r="92" spans="1:12" s="237" customFormat="1">
      <c r="A92" s="234"/>
      <c r="D92" s="1640"/>
      <c r="K92" s="53"/>
      <c r="L92" s="53"/>
    </row>
    <row r="93" spans="1:12" s="237" customFormat="1">
      <c r="A93" s="234"/>
      <c r="D93" s="1640"/>
      <c r="K93" s="53"/>
      <c r="L93" s="53"/>
    </row>
    <row r="94" spans="1:12" s="237" customFormat="1">
      <c r="A94" s="234"/>
      <c r="D94" s="1640"/>
      <c r="K94" s="53"/>
      <c r="L94" s="53"/>
    </row>
    <row r="95" spans="1:12" s="237" customFormat="1">
      <c r="A95" s="234"/>
      <c r="D95" s="1640"/>
      <c r="K95" s="53"/>
      <c r="L95" s="53"/>
    </row>
    <row r="96" spans="1:12" s="237" customFormat="1">
      <c r="A96" s="234"/>
      <c r="D96" s="1640"/>
      <c r="K96" s="53"/>
      <c r="L96" s="53"/>
    </row>
    <row r="97" spans="1:12" s="237" customFormat="1">
      <c r="A97" s="234"/>
      <c r="D97" s="1640"/>
      <c r="K97" s="53"/>
      <c r="L97" s="53"/>
    </row>
    <row r="98" spans="1:12" s="237" customFormat="1">
      <c r="A98" s="234"/>
      <c r="D98" s="1640"/>
      <c r="K98" s="53"/>
      <c r="L98" s="53"/>
    </row>
    <row r="99" spans="1:12" s="237" customFormat="1">
      <c r="A99" s="234"/>
      <c r="D99" s="1640"/>
      <c r="K99" s="53"/>
      <c r="L99" s="53"/>
    </row>
    <row r="100" spans="1:12" s="237" customFormat="1">
      <c r="A100" s="234"/>
      <c r="D100" s="1640"/>
      <c r="K100" s="53"/>
      <c r="L100" s="53"/>
    </row>
    <row r="101" spans="1:12" s="237" customFormat="1">
      <c r="A101" s="234"/>
      <c r="D101" s="1640"/>
      <c r="K101" s="53"/>
      <c r="L101" s="53"/>
    </row>
    <row r="102" spans="1:12" s="237" customFormat="1">
      <c r="A102" s="234"/>
      <c r="D102" s="1640"/>
      <c r="K102" s="53"/>
      <c r="L102" s="53"/>
    </row>
    <row r="103" spans="1:12" s="237" customFormat="1">
      <c r="A103" s="234"/>
      <c r="D103" s="1640"/>
      <c r="K103" s="53"/>
      <c r="L103" s="53"/>
    </row>
    <row r="104" spans="1:12" s="237" customFormat="1">
      <c r="A104" s="234"/>
      <c r="D104" s="1640"/>
      <c r="K104" s="53"/>
      <c r="L104" s="53"/>
    </row>
    <row r="105" spans="1:12" s="237" customFormat="1">
      <c r="A105" s="234"/>
      <c r="D105" s="1640"/>
      <c r="K105" s="53"/>
      <c r="L105" s="53"/>
    </row>
    <row r="106" spans="1:12" s="237" customFormat="1">
      <c r="A106" s="234"/>
      <c r="D106" s="1640"/>
      <c r="K106" s="53"/>
      <c r="L106" s="53"/>
    </row>
    <row r="107" spans="1:12" s="237" customFormat="1">
      <c r="A107" s="234"/>
      <c r="D107" s="1640"/>
      <c r="K107" s="53"/>
      <c r="L107" s="53"/>
    </row>
    <row r="108" spans="1:12" s="237" customFormat="1">
      <c r="A108" s="234"/>
      <c r="D108" s="1640"/>
      <c r="K108" s="53"/>
      <c r="L108" s="53"/>
    </row>
    <row r="109" spans="1:12" s="237" customFormat="1">
      <c r="A109" s="234"/>
      <c r="D109" s="1640"/>
      <c r="K109" s="53"/>
      <c r="L109" s="53"/>
    </row>
    <row r="110" spans="1:12" s="237" customFormat="1">
      <c r="A110" s="234"/>
      <c r="D110" s="1640"/>
      <c r="K110" s="53"/>
      <c r="L110" s="53"/>
    </row>
    <row r="111" spans="1:12" s="237" customFormat="1">
      <c r="A111" s="234"/>
      <c r="D111" s="1640"/>
      <c r="K111" s="53"/>
      <c r="L111" s="53"/>
    </row>
    <row r="112" spans="1:12" s="237" customFormat="1">
      <c r="A112" s="234"/>
      <c r="D112" s="1640"/>
      <c r="K112" s="53"/>
      <c r="L112" s="53"/>
    </row>
    <row r="113" spans="1:12" s="237" customFormat="1">
      <c r="A113" s="234"/>
      <c r="D113" s="1640"/>
      <c r="K113" s="53"/>
      <c r="L113" s="53"/>
    </row>
    <row r="114" spans="1:12" s="237" customFormat="1">
      <c r="A114" s="234"/>
      <c r="D114" s="1640"/>
      <c r="K114" s="53"/>
      <c r="L114" s="53"/>
    </row>
    <row r="115" spans="1:12" s="237" customFormat="1">
      <c r="A115" s="234"/>
      <c r="D115" s="1640"/>
      <c r="K115" s="53"/>
      <c r="L115" s="53"/>
    </row>
    <row r="116" spans="1:12" s="237" customFormat="1">
      <c r="A116" s="234"/>
      <c r="D116" s="1640"/>
      <c r="K116" s="53"/>
      <c r="L116" s="53"/>
    </row>
    <row r="117" spans="1:12" s="237" customFormat="1">
      <c r="A117" s="234"/>
      <c r="D117" s="1640"/>
      <c r="K117" s="53"/>
      <c r="L117" s="53"/>
    </row>
    <row r="118" spans="1:12" s="237" customFormat="1">
      <c r="A118" s="234"/>
      <c r="D118" s="1640"/>
      <c r="K118" s="53"/>
      <c r="L118" s="53"/>
    </row>
    <row r="119" spans="1:12" s="237" customFormat="1">
      <c r="A119" s="234"/>
      <c r="D119" s="1640"/>
      <c r="K119" s="53"/>
      <c r="L119" s="53"/>
    </row>
    <row r="120" spans="1:12" s="237" customFormat="1">
      <c r="A120" s="234"/>
      <c r="D120" s="1640"/>
      <c r="K120" s="53"/>
      <c r="L120" s="53"/>
    </row>
    <row r="121" spans="1:12" s="237" customFormat="1">
      <c r="A121" s="234"/>
      <c r="D121" s="1640"/>
      <c r="K121" s="53"/>
      <c r="L121" s="53"/>
    </row>
    <row r="122" spans="1:12" s="237" customFormat="1">
      <c r="A122" s="234"/>
      <c r="D122" s="1640"/>
      <c r="K122" s="53"/>
      <c r="L122" s="53"/>
    </row>
    <row r="123" spans="1:12" s="237" customFormat="1">
      <c r="A123" s="234"/>
      <c r="D123" s="1640"/>
      <c r="K123" s="53"/>
      <c r="L123" s="53"/>
    </row>
    <row r="124" spans="1:12" s="237" customFormat="1">
      <c r="A124" s="234"/>
      <c r="D124" s="1640"/>
      <c r="K124" s="53"/>
      <c r="L124" s="53"/>
    </row>
    <row r="125" spans="1:12" s="237" customFormat="1">
      <c r="A125" s="234"/>
      <c r="D125" s="1640"/>
      <c r="K125" s="53"/>
      <c r="L125" s="53"/>
    </row>
    <row r="126" spans="1:12" s="237" customFormat="1">
      <c r="A126" s="234"/>
      <c r="D126" s="1640"/>
      <c r="K126" s="53"/>
      <c r="L126" s="53"/>
    </row>
    <row r="127" spans="1:12" s="237" customFormat="1">
      <c r="A127" s="234"/>
      <c r="D127" s="1640"/>
      <c r="K127" s="53"/>
      <c r="L127" s="53"/>
    </row>
    <row r="128" spans="1:12" s="237" customFormat="1">
      <c r="A128" s="234"/>
      <c r="D128" s="1640"/>
      <c r="K128" s="53"/>
      <c r="L128" s="53"/>
    </row>
    <row r="129" spans="1:12" s="237" customFormat="1">
      <c r="A129" s="234"/>
      <c r="D129" s="1640"/>
      <c r="K129" s="53"/>
      <c r="L129" s="53"/>
    </row>
    <row r="130" spans="1:12" s="237" customFormat="1">
      <c r="A130" s="234"/>
      <c r="D130" s="1640"/>
      <c r="K130" s="53"/>
      <c r="L130" s="53"/>
    </row>
    <row r="131" spans="1:12" s="237" customFormat="1">
      <c r="A131" s="234"/>
      <c r="D131" s="1640"/>
      <c r="K131" s="53"/>
      <c r="L131" s="53"/>
    </row>
    <row r="132" spans="1:12" s="237" customFormat="1">
      <c r="A132" s="234"/>
      <c r="D132" s="1640"/>
      <c r="K132" s="53"/>
      <c r="L132" s="53"/>
    </row>
    <row r="133" spans="1:12" s="237" customFormat="1">
      <c r="A133" s="234"/>
      <c r="D133" s="1640"/>
      <c r="K133" s="53"/>
      <c r="L133" s="53"/>
    </row>
    <row r="134" spans="1:12" s="237" customFormat="1">
      <c r="A134" s="234"/>
      <c r="D134" s="1640"/>
      <c r="K134" s="53"/>
      <c r="L134" s="53"/>
    </row>
    <row r="135" spans="1:12" s="237" customFormat="1">
      <c r="A135" s="234"/>
      <c r="D135" s="1640"/>
      <c r="K135" s="53"/>
      <c r="L135" s="53"/>
    </row>
    <row r="136" spans="1:12" s="237" customFormat="1">
      <c r="A136" s="234"/>
      <c r="D136" s="1640"/>
      <c r="K136" s="53"/>
      <c r="L136" s="53"/>
    </row>
    <row r="137" spans="1:12" s="237" customFormat="1">
      <c r="A137" s="234"/>
      <c r="D137" s="1640"/>
      <c r="K137" s="53"/>
      <c r="L137" s="53"/>
    </row>
    <row r="138" spans="1:12" s="237" customFormat="1">
      <c r="A138" s="234"/>
      <c r="D138" s="1640"/>
      <c r="K138" s="53"/>
      <c r="L138" s="53"/>
    </row>
    <row r="139" spans="1:12" s="237" customFormat="1">
      <c r="A139" s="234"/>
      <c r="D139" s="1640"/>
      <c r="K139" s="53"/>
      <c r="L139" s="53"/>
    </row>
    <row r="140" spans="1:12" s="237" customFormat="1">
      <c r="A140" s="234"/>
      <c r="D140" s="1640"/>
      <c r="K140" s="53"/>
      <c r="L140" s="53"/>
    </row>
    <row r="141" spans="1:12" s="237" customFormat="1">
      <c r="A141" s="234"/>
      <c r="D141" s="1640"/>
      <c r="K141" s="53"/>
      <c r="L141" s="53"/>
    </row>
    <row r="142" spans="1:12" s="237" customFormat="1">
      <c r="A142" s="234"/>
      <c r="D142" s="1640"/>
      <c r="K142" s="53"/>
      <c r="L142" s="53"/>
    </row>
    <row r="143" spans="1:12" s="237" customFormat="1">
      <c r="A143" s="234"/>
      <c r="D143" s="1640"/>
      <c r="K143" s="53"/>
      <c r="L143" s="53"/>
    </row>
    <row r="144" spans="1:12" s="237" customFormat="1">
      <c r="A144" s="234"/>
      <c r="D144" s="1640"/>
      <c r="K144" s="53"/>
      <c r="L144" s="53"/>
    </row>
    <row r="145" spans="1:12" s="237" customFormat="1">
      <c r="A145" s="234"/>
      <c r="D145" s="1640"/>
      <c r="K145" s="53"/>
      <c r="L145" s="53"/>
    </row>
    <row r="146" spans="1:12" s="237" customFormat="1">
      <c r="A146" s="234"/>
      <c r="D146" s="1640"/>
      <c r="K146" s="53"/>
      <c r="L146" s="53"/>
    </row>
    <row r="147" spans="1:12" s="237" customFormat="1">
      <c r="A147" s="234"/>
      <c r="D147" s="1640"/>
      <c r="K147" s="53"/>
      <c r="L147" s="53"/>
    </row>
    <row r="148" spans="1:12" s="237" customFormat="1">
      <c r="A148" s="234"/>
      <c r="D148" s="1640"/>
      <c r="K148" s="53"/>
      <c r="L148" s="53"/>
    </row>
    <row r="149" spans="1:12" s="237" customFormat="1">
      <c r="A149" s="234"/>
      <c r="D149" s="1640"/>
      <c r="K149" s="53"/>
      <c r="L149" s="53"/>
    </row>
    <row r="150" spans="1:12" s="237" customFormat="1">
      <c r="A150" s="234"/>
      <c r="D150" s="1640"/>
      <c r="K150" s="53"/>
      <c r="L150" s="53"/>
    </row>
    <row r="151" spans="1:12" s="237" customFormat="1">
      <c r="A151" s="234"/>
      <c r="D151" s="1640"/>
      <c r="K151" s="53"/>
      <c r="L151" s="53"/>
    </row>
    <row r="152" spans="1:12" s="237" customFormat="1">
      <c r="A152" s="234"/>
      <c r="D152" s="1640"/>
      <c r="K152" s="53"/>
      <c r="L152" s="53"/>
    </row>
    <row r="153" spans="1:12" s="237" customFormat="1">
      <c r="A153" s="234"/>
      <c r="D153" s="1640"/>
      <c r="K153" s="53"/>
      <c r="L153" s="53"/>
    </row>
    <row r="154" spans="1:12" s="237" customFormat="1">
      <c r="A154" s="234"/>
      <c r="D154" s="1640"/>
      <c r="K154" s="53"/>
      <c r="L154" s="53"/>
    </row>
    <row r="155" spans="1:12" s="237" customFormat="1">
      <c r="A155" s="234"/>
      <c r="D155" s="1640"/>
      <c r="K155" s="53"/>
      <c r="L155" s="53"/>
    </row>
    <row r="156" spans="1:12" s="237" customFormat="1">
      <c r="A156" s="234"/>
      <c r="D156" s="1640"/>
      <c r="K156" s="53"/>
      <c r="L156" s="53"/>
    </row>
    <row r="157" spans="1:12" s="237" customFormat="1">
      <c r="A157" s="234"/>
      <c r="D157" s="1640"/>
      <c r="K157" s="53"/>
      <c r="L157" s="53"/>
    </row>
    <row r="158" spans="1:12" s="237" customFormat="1">
      <c r="A158" s="234"/>
      <c r="D158" s="1640"/>
      <c r="K158" s="53"/>
      <c r="L158" s="53"/>
    </row>
    <row r="159" spans="1:12" s="237" customFormat="1">
      <c r="A159" s="234"/>
      <c r="D159" s="1640"/>
      <c r="K159" s="53"/>
      <c r="L159" s="53"/>
    </row>
    <row r="160" spans="1:12" s="237" customFormat="1">
      <c r="A160" s="234"/>
      <c r="D160" s="1640"/>
      <c r="K160" s="53"/>
      <c r="L160" s="53"/>
    </row>
    <row r="161" spans="1:12" s="237" customFormat="1">
      <c r="A161" s="234"/>
      <c r="D161" s="1640"/>
      <c r="K161" s="53"/>
      <c r="L161" s="53"/>
    </row>
    <row r="162" spans="1:12" s="237" customFormat="1">
      <c r="A162" s="234"/>
      <c r="D162" s="1640"/>
      <c r="K162" s="53"/>
      <c r="L162" s="53"/>
    </row>
    <row r="163" spans="1:12" s="237" customFormat="1">
      <c r="A163" s="234"/>
      <c r="D163" s="1640"/>
      <c r="K163" s="53"/>
      <c r="L163" s="53"/>
    </row>
    <row r="164" spans="1:12" s="237" customFormat="1">
      <c r="A164" s="234"/>
      <c r="D164" s="1640"/>
      <c r="K164" s="53"/>
      <c r="L164" s="53"/>
    </row>
    <row r="165" spans="1:12" s="237" customFormat="1">
      <c r="A165" s="234"/>
      <c r="D165" s="1640"/>
      <c r="K165" s="53"/>
      <c r="L165" s="53"/>
    </row>
    <row r="166" spans="1:12" s="237" customFormat="1">
      <c r="A166" s="234"/>
      <c r="D166" s="1640"/>
      <c r="K166" s="53"/>
      <c r="L166" s="53"/>
    </row>
    <row r="167" spans="1:12" s="237" customFormat="1">
      <c r="A167" s="234"/>
      <c r="D167" s="1640"/>
      <c r="K167" s="53"/>
      <c r="L167" s="53"/>
    </row>
    <row r="168" spans="1:12" s="237" customFormat="1">
      <c r="A168" s="234"/>
      <c r="D168" s="1640"/>
      <c r="K168" s="53"/>
      <c r="L168" s="53"/>
    </row>
    <row r="169" spans="1:12" s="237" customFormat="1">
      <c r="A169" s="234"/>
      <c r="D169" s="1640"/>
      <c r="K169" s="53"/>
      <c r="L169" s="53"/>
    </row>
    <row r="170" spans="1:12" s="237" customFormat="1">
      <c r="A170" s="234"/>
      <c r="D170" s="1640"/>
      <c r="K170" s="53"/>
      <c r="L170" s="53"/>
    </row>
    <row r="171" spans="1:12" s="237" customFormat="1">
      <c r="A171" s="234"/>
      <c r="D171" s="1640"/>
      <c r="K171" s="53"/>
      <c r="L171" s="53"/>
    </row>
    <row r="172" spans="1:12" s="237" customFormat="1">
      <c r="A172" s="234"/>
      <c r="D172" s="1640"/>
      <c r="K172" s="53"/>
      <c r="L172" s="53"/>
    </row>
    <row r="173" spans="1:12" s="237" customFormat="1">
      <c r="A173" s="234"/>
      <c r="D173" s="1640"/>
      <c r="K173" s="53"/>
      <c r="L173" s="53"/>
    </row>
    <row r="174" spans="1:12" s="237" customFormat="1">
      <c r="A174" s="234"/>
      <c r="D174" s="1640"/>
      <c r="K174" s="53"/>
      <c r="L174" s="53"/>
    </row>
    <row r="175" spans="1:12" s="237" customFormat="1">
      <c r="A175" s="234"/>
      <c r="D175" s="1640"/>
      <c r="K175" s="53"/>
      <c r="L175" s="53"/>
    </row>
    <row r="176" spans="1:12" s="237" customFormat="1">
      <c r="A176" s="234"/>
      <c r="D176" s="1640"/>
      <c r="K176" s="53"/>
      <c r="L176" s="53"/>
    </row>
    <row r="177" spans="1:12" s="237" customFormat="1">
      <c r="A177" s="234"/>
      <c r="D177" s="1640"/>
      <c r="K177" s="53"/>
      <c r="L177" s="53"/>
    </row>
    <row r="178" spans="1:12" s="237" customFormat="1">
      <c r="A178" s="234"/>
      <c r="D178" s="1640"/>
      <c r="K178" s="53"/>
      <c r="L178" s="53"/>
    </row>
    <row r="179" spans="1:12" s="237" customFormat="1">
      <c r="A179" s="234"/>
      <c r="D179" s="1640"/>
      <c r="K179" s="53"/>
      <c r="L179" s="53"/>
    </row>
    <row r="180" spans="1:12" s="237" customFormat="1">
      <c r="A180" s="234"/>
      <c r="D180" s="1640"/>
      <c r="K180" s="53"/>
      <c r="L180" s="53"/>
    </row>
    <row r="181" spans="1:12" s="237" customFormat="1">
      <c r="A181" s="234"/>
      <c r="D181" s="1640"/>
      <c r="K181" s="53"/>
      <c r="L181" s="53"/>
    </row>
    <row r="182" spans="1:12" s="237" customFormat="1">
      <c r="A182" s="234"/>
      <c r="D182" s="1640"/>
      <c r="K182" s="53"/>
      <c r="L182" s="53"/>
    </row>
    <row r="183" spans="1:12" s="237" customFormat="1">
      <c r="A183" s="234"/>
      <c r="D183" s="1640"/>
      <c r="K183" s="53"/>
      <c r="L183" s="53"/>
    </row>
    <row r="184" spans="1:12" s="237" customFormat="1">
      <c r="A184" s="234"/>
      <c r="D184" s="1640"/>
      <c r="K184" s="53"/>
      <c r="L184" s="53"/>
    </row>
    <row r="185" spans="1:12" s="237" customFormat="1">
      <c r="A185" s="234"/>
      <c r="D185" s="1640"/>
      <c r="K185" s="53"/>
      <c r="L185" s="53"/>
    </row>
    <row r="186" spans="1:12" s="237" customFormat="1">
      <c r="A186" s="234"/>
      <c r="D186" s="1640"/>
      <c r="K186" s="53"/>
      <c r="L186" s="53"/>
    </row>
    <row r="187" spans="1:12" s="237" customFormat="1">
      <c r="A187" s="234"/>
      <c r="D187" s="1640"/>
      <c r="K187" s="53"/>
      <c r="L187" s="53"/>
    </row>
    <row r="188" spans="1:12" s="237" customFormat="1">
      <c r="A188" s="234"/>
      <c r="D188" s="1640"/>
      <c r="K188" s="53"/>
      <c r="L188" s="53"/>
    </row>
    <row r="189" spans="1:12" s="237" customFormat="1">
      <c r="A189" s="234"/>
      <c r="D189" s="1640"/>
      <c r="K189" s="53"/>
      <c r="L189" s="53"/>
    </row>
    <row r="190" spans="1:12" s="237" customFormat="1">
      <c r="A190" s="234"/>
      <c r="D190" s="1640"/>
      <c r="K190" s="53"/>
      <c r="L190" s="53"/>
    </row>
    <row r="191" spans="1:12" s="237" customFormat="1">
      <c r="A191" s="234"/>
      <c r="D191" s="1640"/>
      <c r="K191" s="53"/>
      <c r="L191" s="53"/>
    </row>
    <row r="192" spans="1:12" s="237" customFormat="1">
      <c r="A192" s="234"/>
      <c r="D192" s="1640"/>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644" customWidth="1"/>
    <col min="2" max="2" width="23.44140625" style="2665" customWidth="1"/>
    <col min="3" max="3" width="32.21875" style="2665" customWidth="1"/>
    <col min="4" max="4" width="2.6640625" style="2665" customWidth="1"/>
    <col min="5" max="5" width="5.88671875" style="2665" customWidth="1"/>
    <col min="6" max="6" width="23.6640625" style="2665" customWidth="1"/>
    <col min="7" max="7" width="33.33203125" style="2665" customWidth="1"/>
    <col min="8" max="8" width="11.88671875" style="2665" customWidth="1"/>
    <col min="9" max="9" width="16.77734375" style="2665" customWidth="1"/>
    <col min="10" max="10" width="2.6640625" style="2665" customWidth="1"/>
    <col min="11" max="11" width="11.88671875" style="2665" customWidth="1"/>
    <col min="12" max="12" width="16.77734375" style="2665" customWidth="1"/>
    <col min="13" max="13" width="2.6640625" style="2665" customWidth="1"/>
    <col min="14" max="14" width="11.88671875" style="2665" customWidth="1"/>
    <col min="15" max="15" width="16.77734375" style="2665" customWidth="1"/>
    <col min="16" max="16" width="2.6640625" style="2665" customWidth="1"/>
    <col min="17" max="17" width="11.88671875" style="2665" customWidth="1"/>
    <col min="18" max="18" width="16.77734375" style="2644" customWidth="1"/>
    <col min="19" max="16384" width="9" style="2644"/>
  </cols>
  <sheetData>
    <row r="1" spans="1:18" s="2638" customFormat="1" ht="18" thickBot="1">
      <c r="A1" s="3524" t="s">
        <v>1198</v>
      </c>
      <c r="B1" s="3525"/>
      <c r="C1" s="3525"/>
      <c r="D1" s="3525"/>
      <c r="E1" s="3525"/>
      <c r="F1" s="3525"/>
      <c r="G1" s="3525"/>
      <c r="H1" s="2636"/>
      <c r="I1" s="2636"/>
      <c r="J1" s="2636"/>
      <c r="K1" s="2636"/>
      <c r="L1" s="2636"/>
      <c r="M1" s="2636"/>
      <c r="N1" s="2636"/>
      <c r="O1" s="2636"/>
      <c r="P1" s="2636"/>
      <c r="Q1" s="2637"/>
    </row>
    <row r="2" spans="1:18" ht="15" thickBot="1">
      <c r="A2" s="2639"/>
      <c r="B2" s="2640"/>
      <c r="C2" s="2641" t="s">
        <v>1199</v>
      </c>
      <c r="D2" s="2642"/>
      <c r="E2" s="2639"/>
      <c r="F2" s="2643"/>
      <c r="G2" s="2641" t="s">
        <v>1200</v>
      </c>
      <c r="H2" s="2644"/>
      <c r="I2" s="2644"/>
      <c r="J2" s="2644"/>
      <c r="K2" s="2644"/>
      <c r="L2" s="2644"/>
      <c r="M2" s="2644"/>
      <c r="N2" s="2644"/>
      <c r="O2" s="2644"/>
      <c r="P2" s="2644"/>
      <c r="Q2" s="2644"/>
    </row>
    <row r="3" spans="1:18" ht="43.2">
      <c r="A3" s="2645" t="s">
        <v>1201</v>
      </c>
      <c r="B3" s="2646" t="s">
        <v>1188</v>
      </c>
      <c r="C3" s="2647" t="s">
        <v>2184</v>
      </c>
      <c r="D3" s="2648"/>
      <c r="E3" s="2649" t="s">
        <v>1201</v>
      </c>
      <c r="F3" s="2650" t="s">
        <v>1189</v>
      </c>
      <c r="G3" s="2651" t="s">
        <v>2183</v>
      </c>
      <c r="H3" s="2644"/>
      <c r="I3" s="2644"/>
      <c r="J3" s="2644"/>
      <c r="K3" s="2644"/>
      <c r="L3" s="2644"/>
      <c r="M3" s="2644"/>
      <c r="N3" s="2644"/>
      <c r="O3" s="2644"/>
      <c r="P3" s="2644"/>
      <c r="Q3" s="2644"/>
    </row>
    <row r="4" spans="1:18" ht="43.2">
      <c r="A4" s="2649"/>
      <c r="B4" s="2652" t="s">
        <v>1202</v>
      </c>
      <c r="C4" s="2653" t="s">
        <v>2185</v>
      </c>
      <c r="D4" s="2648"/>
      <c r="E4" s="2654"/>
      <c r="F4" s="2655" t="s">
        <v>1203</v>
      </c>
      <c r="G4" s="2656" t="s">
        <v>2180</v>
      </c>
      <c r="H4" s="2644"/>
      <c r="I4" s="2644"/>
      <c r="J4" s="2644"/>
      <c r="K4" s="2644"/>
      <c r="L4" s="2644"/>
      <c r="M4" s="2644"/>
      <c r="N4" s="2644"/>
      <c r="O4" s="2644"/>
      <c r="P4" s="2644"/>
      <c r="Q4" s="2644"/>
    </row>
    <row r="5" spans="1:18" ht="43.2">
      <c r="A5" s="2649"/>
      <c r="B5" s="2652" t="s">
        <v>1204</v>
      </c>
      <c r="C5" s="2653" t="s">
        <v>2186</v>
      </c>
      <c r="D5" s="2648"/>
      <c r="E5" s="2654"/>
      <c r="F5" s="2652" t="s">
        <v>1829</v>
      </c>
      <c r="G5" s="2656" t="s">
        <v>2181</v>
      </c>
      <c r="H5" s="2644"/>
      <c r="I5" s="2644"/>
      <c r="J5" s="2644"/>
      <c r="K5" s="2644"/>
      <c r="L5" s="2644"/>
      <c r="M5" s="2644"/>
      <c r="N5" s="2644"/>
      <c r="O5" s="2644"/>
      <c r="P5" s="2644"/>
      <c r="Q5" s="2644"/>
    </row>
    <row r="6" spans="1:18" ht="43.2">
      <c r="A6" s="2649"/>
      <c r="B6" s="2652" t="s">
        <v>1190</v>
      </c>
      <c r="C6" s="2656" t="s">
        <v>2180</v>
      </c>
      <c r="D6" s="2648"/>
      <c r="E6" s="2654"/>
      <c r="F6" s="2652" t="s">
        <v>1830</v>
      </c>
      <c r="G6" s="2656" t="s">
        <v>2178</v>
      </c>
      <c r="H6" s="2644"/>
      <c r="I6" s="2644"/>
      <c r="J6" s="2644"/>
      <c r="K6" s="2644"/>
      <c r="L6" s="2644"/>
      <c r="M6" s="2644"/>
      <c r="N6" s="2644"/>
      <c r="O6" s="2644"/>
      <c r="P6" s="2644"/>
      <c r="Q6" s="2644"/>
    </row>
    <row r="7" spans="1:18" ht="29.4" thickBot="1">
      <c r="A7" s="2649"/>
      <c r="B7" s="2652" t="s">
        <v>1829</v>
      </c>
      <c r="C7" s="2656" t="s">
        <v>2181</v>
      </c>
      <c r="D7" s="2657"/>
      <c r="E7" s="2658"/>
      <c r="F7" s="2659" t="s">
        <v>1205</v>
      </c>
      <c r="G7" s="2660" t="s">
        <v>2182</v>
      </c>
      <c r="H7" s="2644"/>
      <c r="I7" s="2644"/>
      <c r="J7" s="2644"/>
      <c r="K7" s="2644"/>
      <c r="L7" s="2644"/>
      <c r="M7" s="2644"/>
      <c r="N7" s="2644"/>
      <c r="O7" s="2644"/>
      <c r="P7" s="2644"/>
      <c r="Q7" s="2644"/>
    </row>
    <row r="8" spans="1:18">
      <c r="A8" s="2649"/>
      <c r="B8" s="2652" t="s">
        <v>1830</v>
      </c>
      <c r="C8" s="2656" t="s">
        <v>2178</v>
      </c>
      <c r="D8" s="2657"/>
      <c r="E8" s="2657"/>
      <c r="F8" s="2661"/>
      <c r="G8" s="2661"/>
      <c r="H8" s="2644"/>
      <c r="I8" s="2644"/>
      <c r="J8" s="2644"/>
      <c r="K8" s="2644"/>
      <c r="L8" s="2644"/>
      <c r="M8" s="2644"/>
      <c r="N8" s="2644"/>
      <c r="O8" s="2644"/>
      <c r="P8" s="2644"/>
      <c r="Q8" s="2644"/>
    </row>
    <row r="9" spans="1:18" ht="28.8">
      <c r="A9" s="2649"/>
      <c r="B9" s="2652" t="s">
        <v>1191</v>
      </c>
      <c r="C9" s="2653" t="s">
        <v>2179</v>
      </c>
      <c r="D9" s="2648"/>
      <c r="E9" s="2657"/>
      <c r="F9" s="2661"/>
      <c r="G9" s="2661"/>
      <c r="H9" s="2644"/>
      <c r="I9" s="2644"/>
      <c r="J9" s="2644"/>
      <c r="K9" s="2644"/>
      <c r="L9" s="2644"/>
      <c r="M9" s="2644"/>
      <c r="N9" s="2644"/>
      <c r="O9" s="2644"/>
      <c r="P9" s="2644"/>
      <c r="Q9" s="2644"/>
    </row>
    <row r="10" spans="1:18" ht="15" thickBot="1">
      <c r="A10" s="2662"/>
      <c r="B10" s="2663" t="s">
        <v>1206</v>
      </c>
      <c r="C10" s="2664"/>
      <c r="D10" s="2648"/>
      <c r="E10" s="2648"/>
      <c r="F10" s="2661"/>
      <c r="G10" s="2661"/>
      <c r="J10" s="2666"/>
      <c r="M10" s="2666"/>
      <c r="P10" s="2666"/>
      <c r="R10" s="2665"/>
    </row>
    <row r="11" spans="1:18">
      <c r="A11" s="2667"/>
      <c r="B11" s="2657"/>
      <c r="C11" s="2648"/>
      <c r="D11" s="2648"/>
      <c r="E11" s="2648"/>
      <c r="F11" s="2657"/>
      <c r="G11" s="2657"/>
      <c r="J11" s="2666"/>
      <c r="M11" s="2666"/>
      <c r="P11" s="2666"/>
      <c r="R11" s="2665"/>
    </row>
    <row r="12" spans="1:18" s="2638" customFormat="1" ht="17.399999999999999">
      <c r="A12" s="2667"/>
      <c r="B12" s="2657"/>
      <c r="C12" s="2648"/>
      <c r="D12" s="2668"/>
      <c r="E12" s="2648"/>
      <c r="F12" s="2657"/>
      <c r="G12" s="2657"/>
      <c r="H12" s="2669"/>
      <c r="I12" s="2669"/>
      <c r="J12" s="2669"/>
      <c r="K12" s="2669"/>
      <c r="L12" s="2670"/>
      <c r="M12" s="2669"/>
      <c r="N12" s="2671"/>
      <c r="O12" s="2671"/>
      <c r="P12" s="2671"/>
      <c r="Q12" s="2671"/>
    </row>
    <row r="13" spans="1:18" ht="18" thickBot="1">
      <c r="A13" s="2672" t="s">
        <v>1207</v>
      </c>
      <c r="B13" s="2668"/>
      <c r="C13" s="2668"/>
      <c r="D13" s="2642"/>
      <c r="E13" s="2668"/>
      <c r="F13" s="2668"/>
      <c r="G13" s="2668"/>
    </row>
    <row r="14" spans="1:18" ht="15" thickBot="1">
      <c r="A14" s="2673"/>
      <c r="B14" s="2673"/>
      <c r="C14" s="2674" t="s">
        <v>1199</v>
      </c>
      <c r="D14" s="2648"/>
      <c r="E14" s="2675"/>
      <c r="F14" s="2675"/>
      <c r="G14" s="2641" t="s">
        <v>1200</v>
      </c>
    </row>
    <row r="15" spans="1:18" ht="43.2">
      <c r="A15" s="2676" t="s">
        <v>1192</v>
      </c>
      <c r="B15" s="2677" t="s">
        <v>1188</v>
      </c>
      <c r="C15" s="2678" t="str">
        <f>C3</f>
        <v>估价对象周边居住用地比例、居住小区规模和社区发展完善程度，综合评价居住社区成熟度一般</v>
      </c>
      <c r="D15" s="2648"/>
      <c r="E15" s="2679" t="s">
        <v>1193</v>
      </c>
      <c r="F15" s="2677" t="s">
        <v>1208</v>
      </c>
      <c r="G15" s="2680" t="str">
        <f>G3</f>
        <v>估价对象位于XX开发区，园区建设成熟度XX，产业集聚程度XX</v>
      </c>
    </row>
    <row r="16" spans="1:18" ht="43.2">
      <c r="A16" s="2681"/>
      <c r="B16" s="2682" t="s">
        <v>1202</v>
      </c>
      <c r="C16" s="2683" t="str">
        <f>C4</f>
        <v>估价对象位于XX商圈，周边商业氛围成熟，人流量大，商业繁华度好</v>
      </c>
      <c r="D16" s="2648"/>
      <c r="E16" s="2684"/>
      <c r="F16" s="2685" t="s">
        <v>1203</v>
      </c>
      <c r="G16" s="2686" t="str">
        <f>G4</f>
        <v>估价对象周边道路状况、公共交通通达情况、停车便捷程度，综合评价交通便捷度较好</v>
      </c>
    </row>
    <row r="17" spans="1:7" ht="43.2">
      <c r="A17" s="2681"/>
      <c r="B17" s="2682" t="s">
        <v>1204</v>
      </c>
      <c r="C17" s="2683" t="str">
        <f>C5</f>
        <v>估价对象位于XX商圈，周边办公楼项目较多，入驻率高，办公集聚程度较好</v>
      </c>
      <c r="D17" s="2657"/>
      <c r="E17" s="2684"/>
      <c r="F17" s="2685" t="s">
        <v>1209</v>
      </c>
      <c r="G17" s="2687"/>
    </row>
    <row r="18" spans="1:7" ht="43.2">
      <c r="A18" s="2681"/>
      <c r="B18" s="2685" t="s">
        <v>1190</v>
      </c>
      <c r="C18" s="2686" t="str">
        <f>C6</f>
        <v>估价对象周边道路状况、公共交通通达情况、停车便捷程度，综合评价交通便捷度较好</v>
      </c>
      <c r="D18" s="2657"/>
      <c r="E18" s="2684"/>
      <c r="F18" s="2685" t="s">
        <v>1205</v>
      </c>
      <c r="G18" s="2686" t="str">
        <f>G7</f>
        <v>该园区内是否有污染型企业，绿化情况，卫生条件，整体环境状况判断</v>
      </c>
    </row>
    <row r="19" spans="1:7" ht="28.8">
      <c r="A19" s="2681"/>
      <c r="B19" s="2685" t="s">
        <v>1194</v>
      </c>
      <c r="C19" s="2687"/>
      <c r="D19" s="2648"/>
      <c r="E19" s="2684"/>
      <c r="F19" s="2652" t="s">
        <v>1829</v>
      </c>
      <c r="G19" s="2686" t="str">
        <f>G5</f>
        <v>估价对象所在区域公共配套设施齐备情况</v>
      </c>
    </row>
    <row r="20" spans="1:7" ht="28.8">
      <c r="A20" s="2681"/>
      <c r="B20" s="2685" t="s">
        <v>1195</v>
      </c>
      <c r="C20" s="2683" t="str">
        <f>C9</f>
        <v>区域自然环境：；人文环境；综合评价环境状况一般</v>
      </c>
      <c r="D20" s="2657"/>
      <c r="E20" s="2684"/>
      <c r="F20" s="2652" t="s">
        <v>1830</v>
      </c>
      <c r="G20" s="2686" t="str">
        <f>G6</f>
        <v>估价对象所在区域基础设施水平</v>
      </c>
    </row>
    <row r="21" spans="1:7" ht="28.8">
      <c r="A21" s="2681"/>
      <c r="B21" s="2652" t="s">
        <v>1829</v>
      </c>
      <c r="C21" s="2686" t="str">
        <f>C7</f>
        <v>估价对象所在区域公共配套设施齐备情况</v>
      </c>
      <c r="D21" s="2648"/>
      <c r="E21" s="2684"/>
      <c r="F21" s="2685" t="s">
        <v>1196</v>
      </c>
      <c r="G21" s="2688"/>
    </row>
    <row r="22" spans="1:7">
      <c r="A22" s="2681"/>
      <c r="B22" s="2652" t="s">
        <v>1830</v>
      </c>
      <c r="C22" s="2686" t="str">
        <f>C8</f>
        <v>估价对象所在区域基础设施水平</v>
      </c>
      <c r="D22" s="2648"/>
      <c r="E22" s="2684"/>
      <c r="F22" s="2685" t="s">
        <v>1206</v>
      </c>
      <c r="G22" s="2687"/>
    </row>
    <row r="23" spans="1:7" ht="15" thickBot="1">
      <c r="A23" s="2681"/>
      <c r="B23" s="2685" t="s">
        <v>1196</v>
      </c>
      <c r="C23" s="2688"/>
      <c r="E23" s="2689"/>
      <c r="F23" s="2690" t="s">
        <v>1210</v>
      </c>
      <c r="G23" s="2691"/>
    </row>
    <row r="24" spans="1:7" ht="15" thickBot="1">
      <c r="A24" s="2692"/>
      <c r="B24" s="2690" t="s">
        <v>1197</v>
      </c>
      <c r="C24" s="2693">
        <f>C10</f>
        <v>0</v>
      </c>
      <c r="E24" s="2657"/>
      <c r="F24" s="2657"/>
      <c r="G24" s="2657"/>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F14" sqref="F14"/>
    </sheetView>
  </sheetViews>
  <sheetFormatPr defaultColWidth="14.6640625" defaultRowHeight="14.4"/>
  <cols>
    <col min="1" max="1" width="24.33203125" style="2695" customWidth="1"/>
    <col min="2" max="16384" width="14.6640625" style="2695"/>
  </cols>
  <sheetData>
    <row r="1" spans="1:10" ht="15.6">
      <c r="A1" s="2694" t="s">
        <v>2118</v>
      </c>
      <c r="B1" s="2694">
        <f>SUM(B14:B23)</f>
        <v>28022</v>
      </c>
      <c r="C1" s="2702"/>
      <c r="D1" s="2702"/>
      <c r="E1" s="2702"/>
      <c r="F1" s="2702"/>
      <c r="G1" s="2703"/>
      <c r="H1" s="2703"/>
      <c r="I1" s="2703"/>
      <c r="J1" s="2703"/>
    </row>
    <row r="2" spans="1:10" ht="15.6">
      <c r="A2" s="2694" t="s">
        <v>2119</v>
      </c>
      <c r="B2" s="2694">
        <f>SUM(C14:C23)</f>
        <v>21555</v>
      </c>
      <c r="C2" s="2702"/>
      <c r="D2" s="2702"/>
      <c r="E2" s="2702"/>
      <c r="F2" s="2702"/>
      <c r="G2" s="2703"/>
      <c r="H2" s="2703"/>
      <c r="I2" s="2703"/>
      <c r="J2" s="2703"/>
    </row>
    <row r="3" spans="1:10" ht="15.6">
      <c r="A3" s="2694" t="s">
        <v>2120</v>
      </c>
      <c r="B3" s="2696">
        <f>项目基本情况!D3</f>
        <v>45849</v>
      </c>
      <c r="C3" s="2702"/>
      <c r="D3" s="2702"/>
      <c r="E3" s="2702"/>
      <c r="F3" s="2702"/>
      <c r="G3" s="2703"/>
      <c r="H3" s="2703"/>
      <c r="I3" s="2703"/>
      <c r="J3" s="2703"/>
    </row>
    <row r="4" spans="1:10" ht="31.2">
      <c r="A4" s="2694" t="s">
        <v>2121</v>
      </c>
      <c r="B4" s="2694" t="s">
        <v>2122</v>
      </c>
      <c r="C4" s="2694" t="s">
        <v>2123</v>
      </c>
      <c r="D4" s="2694" t="s">
        <v>2124</v>
      </c>
      <c r="E4" s="2702"/>
      <c r="F4" s="2702"/>
      <c r="G4" s="2703"/>
      <c r="H4" s="2703"/>
      <c r="I4" s="2703"/>
      <c r="J4" s="2703"/>
    </row>
    <row r="5" spans="1:10" ht="15.6">
      <c r="A5" s="2694" t="s">
        <v>2125</v>
      </c>
      <c r="B5" s="2694">
        <f ca="1">SUM(D14:D23)</f>
        <v>16020</v>
      </c>
      <c r="C5" s="2694">
        <f ca="1">ROUND(B5*10000/$B$1,0)</f>
        <v>5717</v>
      </c>
      <c r="D5" s="2694">
        <f ca="1">ROUND(B5*10000/$B$2,0)</f>
        <v>7432</v>
      </c>
      <c r="E5" s="2702"/>
      <c r="F5" s="2702"/>
      <c r="G5" s="2703"/>
      <c r="H5" s="2703"/>
      <c r="I5" s="2703"/>
      <c r="J5" s="2703"/>
    </row>
    <row r="6" spans="1:10" ht="15.6">
      <c r="A6" s="2694" t="s">
        <v>2126</v>
      </c>
      <c r="B6" s="2694">
        <f ca="1">SUM(G14:G23)</f>
        <v>16020</v>
      </c>
      <c r="C6" s="2694">
        <f ca="1">ROUND(B6*10000/$B$1,0)</f>
        <v>5717</v>
      </c>
      <c r="D6" s="2694">
        <f ca="1">ROUND(B6*10000/$B$2,0)</f>
        <v>7432</v>
      </c>
      <c r="E6" s="2702"/>
      <c r="F6" s="2702"/>
      <c r="G6" s="2703"/>
      <c r="H6" s="2703"/>
      <c r="I6" s="2703"/>
      <c r="J6" s="2703"/>
    </row>
    <row r="7" spans="1:10" ht="15.6">
      <c r="A7" s="2694" t="s">
        <v>2127</v>
      </c>
      <c r="B7" s="2694">
        <f>SUM(H14:H23)</f>
        <v>0</v>
      </c>
      <c r="C7" s="2694">
        <f>ROUND(B7*10000/$B$1,0)</f>
        <v>0</v>
      </c>
      <c r="D7" s="2694">
        <f>ROUND(B7*10000/$B$2,0)</f>
        <v>0</v>
      </c>
      <c r="E7" s="2702"/>
      <c r="F7" s="2702"/>
      <c r="G7" s="2703"/>
      <c r="H7" s="2703"/>
      <c r="I7" s="2703"/>
      <c r="J7" s="2703"/>
    </row>
    <row r="8" spans="1:10" ht="15.6">
      <c r="A8" s="2694" t="s">
        <v>2128</v>
      </c>
      <c r="B8" s="2694">
        <f>SUM(I14:I23)</f>
        <v>0</v>
      </c>
      <c r="C8" s="2694">
        <f>ROUND(B8*10000/$B$1,0)</f>
        <v>0</v>
      </c>
      <c r="D8" s="2694">
        <f>ROUND(B8*10000/$B$2,0)</f>
        <v>0</v>
      </c>
      <c r="E8" s="2702"/>
      <c r="F8" s="2702"/>
      <c r="G8" s="2703"/>
      <c r="H8" s="2703"/>
      <c r="I8" s="2703"/>
      <c r="J8" s="2703"/>
    </row>
    <row r="9" spans="1:10" ht="15.6">
      <c r="A9" s="2694" t="s">
        <v>2129</v>
      </c>
      <c r="B9" s="2325"/>
      <c r="C9" s="2702"/>
      <c r="D9" s="2702"/>
      <c r="E9" s="2702"/>
      <c r="F9" s="2702"/>
      <c r="G9" s="2703"/>
      <c r="H9" s="2703"/>
      <c r="I9" s="2703"/>
      <c r="J9" s="2703"/>
    </row>
    <row r="10" spans="1:10" ht="15.6">
      <c r="A10" s="2694" t="s">
        <v>2130</v>
      </c>
      <c r="B10" s="2325"/>
      <c r="C10" s="2702"/>
      <c r="D10" s="2702"/>
      <c r="E10" s="2702"/>
      <c r="F10" s="2702"/>
      <c r="G10" s="2703"/>
      <c r="H10" s="2703"/>
      <c r="I10" s="2703"/>
      <c r="J10" s="2703"/>
    </row>
    <row r="11" spans="1:10" ht="15.6">
      <c r="A11" s="2694" t="s">
        <v>2147</v>
      </c>
      <c r="B11" s="2325"/>
      <c r="C11" s="2702"/>
      <c r="D11" s="2702"/>
      <c r="E11" s="2702"/>
      <c r="F11" s="2702"/>
      <c r="G11" s="2703"/>
      <c r="H11" s="2703"/>
      <c r="I11" s="2703"/>
      <c r="J11" s="2703"/>
    </row>
    <row r="12" spans="1:10" ht="15.6">
      <c r="A12" s="2702"/>
      <c r="B12" s="2702"/>
      <c r="C12" s="2702"/>
      <c r="D12" s="2702"/>
      <c r="E12" s="2702"/>
      <c r="F12" s="2702"/>
      <c r="G12" s="2703"/>
      <c r="H12" s="2703"/>
      <c r="I12" s="2703"/>
      <c r="J12" s="2703"/>
    </row>
    <row r="13" spans="1:10" ht="31.2">
      <c r="A13" s="2697" t="s">
        <v>2146</v>
      </c>
      <c r="B13" s="2698" t="s">
        <v>2118</v>
      </c>
      <c r="C13" s="2698" t="s">
        <v>2119</v>
      </c>
      <c r="D13" s="2698" t="s">
        <v>2131</v>
      </c>
      <c r="E13" s="2694" t="s">
        <v>2145</v>
      </c>
      <c r="F13" s="2694" t="s">
        <v>2124</v>
      </c>
      <c r="G13" s="2698" t="s">
        <v>2132</v>
      </c>
      <c r="H13" s="2698" t="s">
        <v>2133</v>
      </c>
      <c r="I13" s="2698" t="s">
        <v>2134</v>
      </c>
      <c r="J13" s="2703"/>
    </row>
    <row r="14" spans="1:10" ht="15.6">
      <c r="A14" s="2699" t="s">
        <v>2144</v>
      </c>
      <c r="B14" s="2700">
        <f>'数据-汇总表'!E3</f>
        <v>28022</v>
      </c>
      <c r="C14" s="2700">
        <f>'数据-汇总表'!D3</f>
        <v>21555</v>
      </c>
      <c r="D14" s="2700">
        <f ca="1">结果表!G19</f>
        <v>16020</v>
      </c>
      <c r="E14" s="2700">
        <f ca="1">ROUND(D14*10000/B14,0)</f>
        <v>5717</v>
      </c>
      <c r="F14" s="2700">
        <f ca="1">ROUND(D14*10000/C14,0)</f>
        <v>7432</v>
      </c>
      <c r="G14" s="2700">
        <f ca="1">D14</f>
        <v>16020</v>
      </c>
      <c r="H14" s="2700"/>
      <c r="I14" s="2700"/>
      <c r="J14" s="2703"/>
    </row>
    <row r="15" spans="1:10" ht="15.6">
      <c r="A15" s="2699" t="s">
        <v>2135</v>
      </c>
      <c r="B15" s="2701"/>
      <c r="C15" s="2701"/>
      <c r="D15" s="2701"/>
      <c r="E15" s="2700" t="e">
        <f t="shared" ref="E15:E23" si="0">ROUND(D15*10000/B15,0)</f>
        <v>#DIV/0!</v>
      </c>
      <c r="F15" s="2700" t="e">
        <f t="shared" ref="F15:F23" si="1">ROUND(D15*10000/C15,0)</f>
        <v>#DIV/0!</v>
      </c>
      <c r="G15" s="2325"/>
      <c r="H15" s="2325"/>
      <c r="I15" s="2701"/>
      <c r="J15" s="2703"/>
    </row>
    <row r="16" spans="1:10" ht="15.6">
      <c r="A16" s="2699" t="s">
        <v>2136</v>
      </c>
      <c r="B16" s="2701"/>
      <c r="C16" s="2701"/>
      <c r="D16" s="2701"/>
      <c r="E16" s="2700" t="e">
        <f t="shared" si="0"/>
        <v>#DIV/0!</v>
      </c>
      <c r="F16" s="2700" t="e">
        <f t="shared" si="1"/>
        <v>#DIV/0!</v>
      </c>
      <c r="G16" s="2325"/>
      <c r="H16" s="2325"/>
      <c r="I16" s="2701"/>
      <c r="J16" s="2703"/>
    </row>
    <row r="17" spans="1:10" ht="15.6">
      <c r="A17" s="2699" t="s">
        <v>2137</v>
      </c>
      <c r="B17" s="2701"/>
      <c r="C17" s="2701"/>
      <c r="D17" s="2701"/>
      <c r="E17" s="2700" t="e">
        <f t="shared" si="0"/>
        <v>#DIV/0!</v>
      </c>
      <c r="F17" s="2700" t="e">
        <f t="shared" si="1"/>
        <v>#DIV/0!</v>
      </c>
      <c r="G17" s="2325"/>
      <c r="H17" s="2325"/>
      <c r="I17" s="2701"/>
      <c r="J17" s="2703"/>
    </row>
    <row r="18" spans="1:10" ht="15.6">
      <c r="A18" s="2699" t="s">
        <v>2138</v>
      </c>
      <c r="B18" s="2701"/>
      <c r="C18" s="2701"/>
      <c r="D18" s="2701"/>
      <c r="E18" s="2700" t="e">
        <f t="shared" si="0"/>
        <v>#DIV/0!</v>
      </c>
      <c r="F18" s="2700" t="e">
        <f t="shared" si="1"/>
        <v>#DIV/0!</v>
      </c>
      <c r="G18" s="2701"/>
      <c r="H18" s="2701"/>
      <c r="I18" s="2701"/>
      <c r="J18" s="2703"/>
    </row>
    <row r="19" spans="1:10" ht="15.6">
      <c r="A19" s="2699" t="s">
        <v>2139</v>
      </c>
      <c r="B19" s="2701"/>
      <c r="C19" s="2701"/>
      <c r="D19" s="2701"/>
      <c r="E19" s="2700" t="e">
        <f t="shared" si="0"/>
        <v>#DIV/0!</v>
      </c>
      <c r="F19" s="2700" t="e">
        <f t="shared" si="1"/>
        <v>#DIV/0!</v>
      </c>
      <c r="G19" s="2701"/>
      <c r="H19" s="2701"/>
      <c r="I19" s="2701"/>
      <c r="J19" s="2703"/>
    </row>
    <row r="20" spans="1:10" ht="15.6">
      <c r="A20" s="2699" t="s">
        <v>2140</v>
      </c>
      <c r="B20" s="2701"/>
      <c r="C20" s="2701"/>
      <c r="D20" s="2701"/>
      <c r="E20" s="2700" t="e">
        <f t="shared" si="0"/>
        <v>#DIV/0!</v>
      </c>
      <c r="F20" s="2700" t="e">
        <f t="shared" si="1"/>
        <v>#DIV/0!</v>
      </c>
      <c r="G20" s="2701"/>
      <c r="H20" s="2701"/>
      <c r="I20" s="2701"/>
      <c r="J20" s="2703"/>
    </row>
    <row r="21" spans="1:10" ht="15.6">
      <c r="A21" s="2699" t="s">
        <v>2141</v>
      </c>
      <c r="B21" s="2701"/>
      <c r="C21" s="2701"/>
      <c r="D21" s="2701"/>
      <c r="E21" s="2700" t="e">
        <f t="shared" si="0"/>
        <v>#DIV/0!</v>
      </c>
      <c r="F21" s="2700" t="e">
        <f t="shared" si="1"/>
        <v>#DIV/0!</v>
      </c>
      <c r="G21" s="2701"/>
      <c r="H21" s="2701"/>
      <c r="I21" s="2701"/>
      <c r="J21" s="2703"/>
    </row>
    <row r="22" spans="1:10" ht="15.6">
      <c r="A22" s="2699" t="s">
        <v>2142</v>
      </c>
      <c r="B22" s="2701"/>
      <c r="C22" s="2701"/>
      <c r="D22" s="2701"/>
      <c r="E22" s="2700" t="e">
        <f t="shared" si="0"/>
        <v>#DIV/0!</v>
      </c>
      <c r="F22" s="2700" t="e">
        <f t="shared" si="1"/>
        <v>#DIV/0!</v>
      </c>
      <c r="G22" s="2701"/>
      <c r="H22" s="2701"/>
      <c r="I22" s="2701"/>
      <c r="J22" s="2703"/>
    </row>
    <row r="23" spans="1:10" ht="15.6">
      <c r="A23" s="2699" t="s">
        <v>2143</v>
      </c>
      <c r="B23" s="2701"/>
      <c r="C23" s="2701"/>
      <c r="D23" s="2701"/>
      <c r="E23" s="2325" t="e">
        <f t="shared" si="0"/>
        <v>#DIV/0!</v>
      </c>
      <c r="F23" s="2325" t="e">
        <f t="shared" si="1"/>
        <v>#DIV/0!</v>
      </c>
      <c r="G23" s="2701"/>
      <c r="H23" s="2701"/>
      <c r="I23" s="2701"/>
      <c r="J23" s="2703"/>
    </row>
    <row r="24" spans="1:10">
      <c r="A24" s="2703"/>
      <c r="B24" s="2703"/>
      <c r="C24" s="2703"/>
      <c r="D24" s="2703"/>
      <c r="E24" s="2703"/>
      <c r="F24" s="2703"/>
      <c r="G24" s="2703"/>
      <c r="H24" s="2703"/>
      <c r="I24" s="2703"/>
      <c r="J24" s="2703"/>
    </row>
    <row r="25" spans="1:10">
      <c r="A25" s="2703"/>
      <c r="B25" s="2703"/>
      <c r="C25" s="2703"/>
      <c r="D25" s="2703"/>
      <c r="E25" s="2703"/>
      <c r="F25" s="2703"/>
      <c r="G25" s="2703"/>
      <c r="H25" s="2703"/>
      <c r="I25" s="2703"/>
      <c r="J25" s="2703"/>
    </row>
    <row r="26" spans="1:10">
      <c r="A26" s="2703"/>
      <c r="B26" s="2703"/>
      <c r="C26" s="2703"/>
      <c r="D26" s="2703"/>
      <c r="E26" s="2703"/>
      <c r="F26" s="2703"/>
      <c r="G26" s="2703"/>
      <c r="H26" s="2703"/>
      <c r="I26" s="2703"/>
      <c r="J26" s="270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70" zoomScaleNormal="100" zoomScaleSheetLayoutView="70" zoomScalePageLayoutView="80" workbookViewId="0">
      <selection activeCell="L19" sqref="L19"/>
    </sheetView>
  </sheetViews>
  <sheetFormatPr defaultColWidth="12.6640625" defaultRowHeight="21.75" customHeight="1"/>
  <cols>
    <col min="1" max="2" width="12.77734375" style="1045" bestFit="1" customWidth="1"/>
    <col min="3" max="4" width="12.6640625" style="1045" customWidth="1"/>
    <col min="5" max="9" width="12.77734375" style="1045" bestFit="1" customWidth="1"/>
    <col min="10" max="10" width="2.21875" style="237" customWidth="1"/>
    <col min="11" max="12" width="12.6640625" style="237" customWidth="1"/>
    <col min="13" max="13" width="12.6640625" style="237"/>
    <col min="14" max="14" width="15.6640625" style="237" bestFit="1" customWidth="1"/>
    <col min="15" max="19" width="12.77734375" style="237" bestFit="1" customWidth="1"/>
    <col min="20" max="26" width="12.6640625" style="237"/>
    <col min="27" max="16384" width="12.6640625" style="1045"/>
  </cols>
  <sheetData>
    <row r="1" spans="1:22" ht="21.75" customHeight="1" thickBot="1">
      <c r="A1" s="1472" t="s">
        <v>1573</v>
      </c>
      <c r="B1" s="1473"/>
      <c r="C1" s="1498" t="s">
        <v>1574</v>
      </c>
      <c r="D1" s="1499" t="s">
        <v>3524</v>
      </c>
      <c r="E1" s="1498" t="s">
        <v>1575</v>
      </c>
      <c r="F1" s="1500" t="s">
        <v>3525</v>
      </c>
      <c r="G1" s="287"/>
      <c r="H1" s="287"/>
      <c r="I1" s="287"/>
      <c r="J1" s="1635"/>
      <c r="K1" s="1635"/>
      <c r="L1" s="1635"/>
      <c r="M1" s="1635"/>
      <c r="N1" s="1635"/>
      <c r="O1" s="1635"/>
      <c r="P1" s="1635"/>
      <c r="Q1" s="1635"/>
      <c r="R1" s="1635"/>
      <c r="S1" s="1635"/>
      <c r="T1" s="1635"/>
      <c r="U1" s="1635"/>
      <c r="V1" s="1635"/>
    </row>
    <row r="2" spans="1:22" ht="21.75" customHeight="1" thickBot="1">
      <c r="A2" s="3570" t="str">
        <f>项目基本情况!K2</f>
        <v>江苏省淮安市淮安区淮安生态文旅区站前路西侧、淮启路南侧出让国有建设用地使用权</v>
      </c>
      <c r="B2" s="3571"/>
      <c r="C2" s="3572"/>
      <c r="D2" s="3572"/>
      <c r="E2" s="3572"/>
      <c r="F2" s="3572"/>
      <c r="G2" s="3571"/>
      <c r="H2" s="3571"/>
      <c r="I2" s="3573"/>
      <c r="J2" s="1642"/>
      <c r="K2" s="1635"/>
      <c r="L2" s="1635"/>
      <c r="M2" s="1635"/>
      <c r="N2" s="1635"/>
      <c r="O2" s="1635"/>
      <c r="P2" s="1635"/>
      <c r="Q2" s="1635"/>
      <c r="R2" s="1635"/>
      <c r="S2" s="1635"/>
      <c r="T2" s="1635"/>
      <c r="U2" s="1635"/>
      <c r="V2" s="1635"/>
    </row>
    <row r="3" spans="1:22" ht="13.8">
      <c r="A3" s="3581" t="s">
        <v>264</v>
      </c>
      <c r="B3" s="3582"/>
      <c r="C3" s="3582"/>
      <c r="D3" s="3582"/>
      <c r="E3" s="3582"/>
      <c r="F3" s="3582"/>
      <c r="G3" s="3582"/>
      <c r="H3" s="3582"/>
      <c r="I3" s="3582"/>
      <c r="J3" s="1642"/>
      <c r="K3" s="1635"/>
      <c r="L3" s="1635"/>
      <c r="M3" s="1635"/>
      <c r="N3" s="1635"/>
      <c r="O3" s="1635"/>
      <c r="P3" s="1635"/>
      <c r="Q3" s="1635"/>
      <c r="R3" s="1635"/>
      <c r="S3" s="1635"/>
      <c r="T3" s="1635"/>
      <c r="U3" s="1635"/>
      <c r="V3" s="1635"/>
    </row>
    <row r="4" spans="1:22" ht="14.4">
      <c r="A4" s="238" t="s">
        <v>265</v>
      </c>
      <c r="B4" s="239" t="s">
        <v>266</v>
      </c>
      <c r="C4" s="240" t="s">
        <v>3526</v>
      </c>
      <c r="D4" s="240" t="s">
        <v>3527</v>
      </c>
      <c r="E4" s="3545" t="s">
        <v>267</v>
      </c>
      <c r="F4" s="3587"/>
      <c r="G4" s="3587"/>
      <c r="H4" s="3587"/>
      <c r="I4" s="3546"/>
      <c r="J4" s="1642"/>
      <c r="K4" s="1635"/>
      <c r="L4" s="1119" t="str">
        <f>IF(ISNUMBER(FIND("比较法",C4)),"比较法",IF(ISNUMBER(FIND("成本法",C4)),"成本法",IF(ISNUMBER(FIND("剩余法",C4)),"剩余法",IF(ISNUMBER(FIND("收益法",C4)),"收益法","基准地价系数修正法"))))</f>
        <v>剩余法</v>
      </c>
      <c r="M4" s="867" t="str">
        <f>IF(ISNUMBER(FIND("比较法",D4)),"比较法",IF(ISNUMBER(FIND("成本法",D4)),"成本法",IF(ISNUMBER(FIND("剩余法",D4)),"剩余法",IF(ISNUMBER(FIND("收益法",D4)),"收益法","基准地价系数修正法"))))</f>
        <v>比较法</v>
      </c>
      <c r="N4" s="1635"/>
      <c r="O4" s="1635"/>
      <c r="P4" s="1635"/>
      <c r="Q4" s="1635"/>
      <c r="R4" s="1635"/>
      <c r="S4" s="1635"/>
      <c r="T4" s="1635"/>
      <c r="U4" s="1635"/>
      <c r="V4" s="1635"/>
    </row>
    <row r="5" spans="1:22" ht="13.8">
      <c r="A5" s="3574" t="s">
        <v>268</v>
      </c>
      <c r="B5" s="3575">
        <v>25</v>
      </c>
      <c r="C5" s="3583"/>
      <c r="D5" s="3586"/>
      <c r="E5" s="241" t="s">
        <v>269</v>
      </c>
      <c r="F5" s="242"/>
      <c r="G5" s="242"/>
      <c r="H5" s="242"/>
      <c r="I5" s="243"/>
      <c r="J5" s="1642"/>
      <c r="K5" s="1635"/>
      <c r="L5" s="1635"/>
      <c r="M5" s="1635"/>
      <c r="N5" s="1635"/>
      <c r="O5" s="1635"/>
      <c r="P5" s="1635"/>
      <c r="Q5" s="1635"/>
      <c r="R5" s="1635"/>
      <c r="S5" s="1635"/>
      <c r="T5" s="1635"/>
      <c r="U5" s="1635"/>
      <c r="V5" s="1635"/>
    </row>
    <row r="6" spans="1:22" ht="13.8">
      <c r="A6" s="3574"/>
      <c r="B6" s="3575"/>
      <c r="C6" s="3584"/>
      <c r="D6" s="3586"/>
      <c r="E6" s="241" t="s">
        <v>270</v>
      </c>
      <c r="F6" s="242"/>
      <c r="G6" s="242"/>
      <c r="H6" s="242"/>
      <c r="I6" s="243"/>
      <c r="J6" s="1642"/>
      <c r="K6" s="1635"/>
      <c r="L6" s="1635"/>
      <c r="M6" s="1635"/>
      <c r="N6" s="1635"/>
      <c r="O6" s="1635"/>
      <c r="P6" s="1635"/>
      <c r="Q6" s="1635"/>
      <c r="R6" s="1635"/>
      <c r="S6" s="1635"/>
      <c r="T6" s="1635"/>
      <c r="U6" s="1635"/>
      <c r="V6" s="1635"/>
    </row>
    <row r="7" spans="1:22" ht="13.8">
      <c r="A7" s="3574"/>
      <c r="B7" s="3575"/>
      <c r="C7" s="3585"/>
      <c r="D7" s="3586"/>
      <c r="E7" s="241" t="s">
        <v>271</v>
      </c>
      <c r="F7" s="242"/>
      <c r="G7" s="242"/>
      <c r="H7" s="242"/>
      <c r="I7" s="243"/>
      <c r="J7" s="1642"/>
      <c r="K7" s="1635"/>
      <c r="L7" s="1635"/>
      <c r="M7" s="1635"/>
      <c r="N7" s="1635"/>
      <c r="O7" s="1635"/>
      <c r="P7" s="1635"/>
      <c r="Q7" s="1635"/>
      <c r="R7" s="1635"/>
      <c r="S7" s="1635"/>
      <c r="T7" s="1635"/>
      <c r="U7" s="1635"/>
      <c r="V7" s="1635"/>
    </row>
    <row r="8" spans="1:22" ht="13.8">
      <c r="A8" s="3574" t="s">
        <v>272</v>
      </c>
      <c r="B8" s="3575">
        <v>15</v>
      </c>
      <c r="C8" s="3583"/>
      <c r="D8" s="3586"/>
      <c r="E8" s="241" t="s">
        <v>273</v>
      </c>
      <c r="F8" s="242"/>
      <c r="G8" s="242"/>
      <c r="H8" s="242"/>
      <c r="I8" s="243"/>
      <c r="J8" s="1642"/>
      <c r="K8" s="1635"/>
      <c r="L8" s="1635"/>
      <c r="M8" s="1635"/>
      <c r="N8" s="1635"/>
      <c r="O8" s="1635"/>
      <c r="P8" s="1635"/>
      <c r="Q8" s="1635"/>
      <c r="R8" s="1635"/>
      <c r="S8" s="1635"/>
      <c r="T8" s="1635"/>
      <c r="U8" s="1635"/>
      <c r="V8" s="1635"/>
    </row>
    <row r="9" spans="1:22" ht="13.8">
      <c r="A9" s="3574"/>
      <c r="B9" s="3575"/>
      <c r="C9" s="3585"/>
      <c r="D9" s="3586"/>
      <c r="E9" s="241" t="s">
        <v>274</v>
      </c>
      <c r="F9" s="242"/>
      <c r="G9" s="242"/>
      <c r="H9" s="242"/>
      <c r="I9" s="243"/>
      <c r="J9" s="1642"/>
      <c r="K9" s="1635"/>
      <c r="L9" s="1635"/>
      <c r="M9" s="1635"/>
      <c r="N9" s="1635"/>
      <c r="O9" s="1635"/>
      <c r="P9" s="1635"/>
      <c r="Q9" s="1635"/>
      <c r="R9" s="1635"/>
      <c r="S9" s="1635"/>
      <c r="T9" s="1635"/>
      <c r="U9" s="1635"/>
      <c r="V9" s="1635"/>
    </row>
    <row r="10" spans="1:22" ht="13.8">
      <c r="A10" s="3574" t="s">
        <v>275</v>
      </c>
      <c r="B10" s="3575">
        <v>15</v>
      </c>
      <c r="C10" s="3583"/>
      <c r="D10" s="3586"/>
      <c r="E10" s="241" t="s">
        <v>276</v>
      </c>
      <c r="F10" s="242"/>
      <c r="G10" s="242"/>
      <c r="H10" s="242"/>
      <c r="I10" s="243"/>
      <c r="J10" s="1642"/>
      <c r="K10" s="1635"/>
      <c r="L10" s="1635"/>
      <c r="M10" s="1635"/>
      <c r="N10" s="1635"/>
      <c r="O10" s="1635"/>
      <c r="P10" s="1635"/>
      <c r="Q10" s="1635"/>
      <c r="R10" s="1635"/>
      <c r="S10" s="1635"/>
      <c r="T10" s="1635"/>
      <c r="U10" s="1635"/>
      <c r="V10" s="1635"/>
    </row>
    <row r="11" spans="1:22" ht="13.8">
      <c r="A11" s="3574"/>
      <c r="B11" s="3575"/>
      <c r="C11" s="3585"/>
      <c r="D11" s="3586"/>
      <c r="E11" s="241" t="s">
        <v>277</v>
      </c>
      <c r="F11" s="242"/>
      <c r="G11" s="242"/>
      <c r="H11" s="242"/>
      <c r="I11" s="243"/>
      <c r="J11" s="1642"/>
      <c r="K11" s="1635"/>
      <c r="L11" s="1635"/>
      <c r="M11" s="1635"/>
      <c r="N11" s="1635"/>
      <c r="O11" s="1635"/>
      <c r="P11" s="1635"/>
      <c r="Q11" s="1635"/>
      <c r="R11" s="1635"/>
      <c r="S11" s="1635"/>
      <c r="T11" s="1635"/>
      <c r="U11" s="1635"/>
      <c r="V11" s="1635"/>
    </row>
    <row r="12" spans="1:22" ht="13.8">
      <c r="A12" s="3574" t="s">
        <v>278</v>
      </c>
      <c r="B12" s="3575">
        <v>15</v>
      </c>
      <c r="C12" s="3583"/>
      <c r="D12" s="3586"/>
      <c r="E12" s="241" t="s">
        <v>279</v>
      </c>
      <c r="F12" s="242"/>
      <c r="G12" s="242"/>
      <c r="H12" s="242"/>
      <c r="I12" s="243"/>
      <c r="J12" s="1642"/>
      <c r="K12" s="1635"/>
      <c r="L12" s="1635"/>
      <c r="M12" s="1635"/>
      <c r="N12" s="1635"/>
      <c r="O12" s="1635"/>
      <c r="P12" s="1635"/>
      <c r="Q12" s="1635"/>
      <c r="R12" s="1635"/>
      <c r="S12" s="1635"/>
      <c r="T12" s="1635"/>
      <c r="U12" s="1635"/>
      <c r="V12" s="1635"/>
    </row>
    <row r="13" spans="1:22" ht="13.8">
      <c r="A13" s="3574"/>
      <c r="B13" s="3575"/>
      <c r="C13" s="3585"/>
      <c r="D13" s="3586"/>
      <c r="E13" s="241" t="s">
        <v>280</v>
      </c>
      <c r="F13" s="242"/>
      <c r="G13" s="242"/>
      <c r="H13" s="242"/>
      <c r="I13" s="243"/>
      <c r="J13" s="1642"/>
      <c r="K13" s="1635"/>
      <c r="L13" s="1635"/>
      <c r="M13" s="1635"/>
      <c r="N13" s="1635"/>
      <c r="O13" s="1635"/>
      <c r="P13" s="1635"/>
      <c r="Q13" s="1635"/>
      <c r="R13" s="1635"/>
      <c r="S13" s="1635"/>
      <c r="T13" s="1635"/>
      <c r="U13" s="1635"/>
      <c r="V13" s="1635"/>
    </row>
    <row r="14" spans="1:22" ht="13.8">
      <c r="A14" s="3574" t="s">
        <v>281</v>
      </c>
      <c r="B14" s="3575">
        <v>30</v>
      </c>
      <c r="C14" s="3583">
        <v>5</v>
      </c>
      <c r="D14" s="3586">
        <v>5</v>
      </c>
      <c r="E14" s="241" t="s">
        <v>282</v>
      </c>
      <c r="F14" s="242"/>
      <c r="G14" s="242"/>
      <c r="H14" s="242"/>
      <c r="I14" s="243"/>
      <c r="J14" s="1642"/>
      <c r="K14" s="1635"/>
      <c r="L14" s="1635"/>
      <c r="M14" s="1635"/>
      <c r="N14" s="1635"/>
      <c r="O14" s="1635"/>
      <c r="P14" s="1635"/>
      <c r="Q14" s="1635"/>
      <c r="R14" s="1635"/>
      <c r="S14" s="1635"/>
      <c r="T14" s="1635"/>
      <c r="U14" s="1635"/>
      <c r="V14" s="1635"/>
    </row>
    <row r="15" spans="1:22" ht="13.8">
      <c r="A15" s="3574"/>
      <c r="B15" s="3575"/>
      <c r="C15" s="3584"/>
      <c r="D15" s="3586"/>
      <c r="E15" s="241" t="s">
        <v>283</v>
      </c>
      <c r="F15" s="242"/>
      <c r="G15" s="242"/>
      <c r="H15" s="242"/>
      <c r="I15" s="243"/>
      <c r="J15" s="1642"/>
      <c r="K15" s="1635"/>
      <c r="L15" s="1635"/>
      <c r="M15" s="1635"/>
      <c r="N15" s="1635"/>
      <c r="O15" s="1635"/>
      <c r="P15" s="1635"/>
      <c r="Q15" s="1635"/>
      <c r="R15" s="1635"/>
      <c r="S15" s="1635"/>
      <c r="T15" s="1635"/>
      <c r="U15" s="1635"/>
      <c r="V15" s="1635"/>
    </row>
    <row r="16" spans="1:22" ht="13.8">
      <c r="A16" s="3574"/>
      <c r="B16" s="3575"/>
      <c r="C16" s="3585"/>
      <c r="D16" s="3586"/>
      <c r="E16" s="241" t="s">
        <v>284</v>
      </c>
      <c r="F16" s="242"/>
      <c r="G16" s="242"/>
      <c r="H16" s="242"/>
      <c r="I16" s="243"/>
      <c r="J16" s="1642"/>
      <c r="K16" s="1635"/>
      <c r="L16" s="1635"/>
      <c r="M16" s="1635"/>
      <c r="N16" s="1635"/>
      <c r="O16" s="1635"/>
      <c r="P16" s="1635"/>
      <c r="Q16" s="1635"/>
      <c r="R16" s="1635"/>
      <c r="S16" s="1635"/>
      <c r="T16" s="1635"/>
      <c r="U16" s="1635"/>
      <c r="V16" s="1635"/>
    </row>
    <row r="17" spans="1:22" ht="14.4">
      <c r="A17" s="244" t="s">
        <v>285</v>
      </c>
      <c r="B17" s="125"/>
      <c r="C17" s="245">
        <f>SUM(C5:C16)</f>
        <v>5</v>
      </c>
      <c r="D17" s="245">
        <f>SUM(D5:D16)</f>
        <v>5</v>
      </c>
      <c r="E17" s="287"/>
      <c r="F17" s="287"/>
      <c r="G17" s="287"/>
      <c r="H17" s="287"/>
      <c r="I17" s="287"/>
      <c r="J17" s="1642"/>
      <c r="K17" s="1635"/>
      <c r="L17" s="1635"/>
      <c r="M17" s="1635"/>
      <c r="N17" s="1635"/>
      <c r="O17" s="1635"/>
      <c r="P17" s="1635"/>
      <c r="Q17" s="1635"/>
      <c r="R17" s="1635"/>
      <c r="S17" s="1635"/>
      <c r="T17" s="1635"/>
      <c r="U17" s="1635"/>
      <c r="V17" s="1635"/>
    </row>
    <row r="18" spans="1:22" ht="32.4" customHeight="1" thickBot="1">
      <c r="A18" s="246" t="s">
        <v>286</v>
      </c>
      <c r="B18" s="96"/>
      <c r="C18" s="247">
        <f>ROUND(C17/SUM(C17:D17),2)</f>
        <v>0.5</v>
      </c>
      <c r="D18" s="247">
        <f>1-C18</f>
        <v>0.5</v>
      </c>
      <c r="E18" s="3588" t="s">
        <v>2254</v>
      </c>
      <c r="F18" s="3589"/>
      <c r="G18" s="3589"/>
      <c r="H18" s="3589"/>
      <c r="I18" s="3589"/>
      <c r="J18" s="1635"/>
      <c r="K18" s="1635"/>
      <c r="L18" s="1635"/>
      <c r="M18" s="1635"/>
      <c r="N18" s="1635"/>
      <c r="O18" s="1635"/>
      <c r="P18" s="1635"/>
      <c r="Q18" s="1635"/>
      <c r="R18" s="1635"/>
      <c r="S18" s="1635"/>
      <c r="T18" s="1635"/>
      <c r="U18" s="1635"/>
      <c r="V18" s="1635"/>
    </row>
    <row r="19" spans="1:22" ht="14.4">
      <c r="A19" s="248" t="s">
        <v>287</v>
      </c>
      <c r="B19" s="249" t="s">
        <v>288</v>
      </c>
      <c r="C19" s="250">
        <f ca="1">SUMIF(INDIRECT("'"&amp;C4&amp;"'"&amp;"!A:A"),结果表!B19,INDIRECT("'"&amp;C4&amp;"'"&amp;"!B:B"))</f>
        <v>15912</v>
      </c>
      <c r="D19" s="251">
        <f ca="1">SUMIF(INDIRECT("'"&amp;D4&amp;"'"&amp;"!A:A"),结果表!B19,INDIRECT("'"&amp;D4&amp;"'"&amp;"!B:B"))</f>
        <v>16127</v>
      </c>
      <c r="E19" s="248" t="s">
        <v>289</v>
      </c>
      <c r="F19" s="249" t="s">
        <v>288</v>
      </c>
      <c r="G19" s="252">
        <f ca="1">ROUND(C19*$C$18+D19*$D$18,0)</f>
        <v>16020</v>
      </c>
      <c r="H19" s="253" t="s">
        <v>290</v>
      </c>
      <c r="I19" s="287"/>
      <c r="J19" s="1635"/>
      <c r="K19" s="1635"/>
      <c r="L19" s="1635"/>
      <c r="M19" s="1635"/>
      <c r="N19" s="1635"/>
      <c r="O19" s="1635"/>
      <c r="P19" s="1635"/>
      <c r="Q19" s="1635"/>
      <c r="R19" s="1635"/>
      <c r="S19" s="1635"/>
      <c r="T19" s="1635"/>
      <c r="U19" s="1635"/>
      <c r="V19" s="1635"/>
    </row>
    <row r="20" spans="1:22" ht="14.4">
      <c r="A20" s="254"/>
      <c r="B20" s="102" t="s">
        <v>291</v>
      </c>
      <c r="C20" s="255">
        <f ca="1">SUMIF(INDIRECT("'"&amp;C4&amp;"'"&amp;"!A:A"),结果表!B20,INDIRECT("'"&amp;C4&amp;"'"&amp;"!B:B"))</f>
        <v>5678</v>
      </c>
      <c r="D20" s="256">
        <f ca="1">SUMIF(INDIRECT("'"&amp;D4&amp;"'"&amp;"!A:A"),结果表!B20,INDIRECT("'"&amp;D4&amp;"'"&amp;"!B:B"))</f>
        <v>5755</v>
      </c>
      <c r="E20" s="254"/>
      <c r="F20" s="102" t="s">
        <v>291</v>
      </c>
      <c r="G20" s="257">
        <f ca="1">ROUND(C20*$C$18+D20*$D$18,0)</f>
        <v>5717</v>
      </c>
      <c r="H20" s="258" t="s">
        <v>292</v>
      </c>
      <c r="I20" s="287"/>
      <c r="J20" s="1635"/>
      <c r="K20" s="1635"/>
      <c r="L20" s="1635"/>
      <c r="M20" s="1635"/>
      <c r="N20" s="1635"/>
      <c r="O20" s="1635"/>
      <c r="P20" s="1635"/>
      <c r="Q20" s="1635"/>
      <c r="R20" s="1635"/>
      <c r="S20" s="1635"/>
      <c r="T20" s="1635"/>
      <c r="U20" s="1635"/>
      <c r="V20" s="1635"/>
    </row>
    <row r="21" spans="1:22" ht="15" customHeight="1">
      <c r="A21" s="254"/>
      <c r="B21" s="106" t="s">
        <v>293</v>
      </c>
      <c r="C21" s="259">
        <f ca="1">SUMIF(INDIRECT("'"&amp;C4&amp;"'"&amp;"!A:A"),结果表!B21,INDIRECT("'"&amp;C4&amp;"'"&amp;"!B:B"))</f>
        <v>7382</v>
      </c>
      <c r="D21" s="135">
        <f ca="1">SUMIF(INDIRECT("'"&amp;D4&amp;"'"&amp;"!A:A"),结果表!B21,INDIRECT("'"&amp;D4&amp;"'"&amp;"!B:B"))</f>
        <v>7482</v>
      </c>
      <c r="E21" s="254"/>
      <c r="F21" s="106" t="s">
        <v>293</v>
      </c>
      <c r="G21" s="260">
        <f ca="1">ROUND(C21*$C$18+D21*$D$18,0)</f>
        <v>7432</v>
      </c>
      <c r="H21" s="258" t="s">
        <v>292</v>
      </c>
      <c r="I21" s="287"/>
      <c r="J21" s="1635"/>
      <c r="K21" s="1635"/>
      <c r="L21" s="1635"/>
      <c r="M21" s="1635"/>
      <c r="N21" s="1635"/>
      <c r="O21" s="1635"/>
      <c r="P21" s="1635"/>
      <c r="Q21" s="1635"/>
      <c r="R21" s="1635"/>
      <c r="S21" s="1635"/>
      <c r="T21" s="1635"/>
      <c r="U21" s="1635"/>
      <c r="V21" s="1635"/>
    </row>
    <row r="22" spans="1:22" ht="15" thickBot="1">
      <c r="A22" s="117" t="s">
        <v>294</v>
      </c>
      <c r="B22" s="1061"/>
      <c r="C22" s="241"/>
      <c r="D22" s="261">
        <f ca="1">IF(C19&lt;D19,D19/C19-1,C19/D19-1)</f>
        <v>1.351181498240317E-2</v>
      </c>
      <c r="E22" s="262"/>
      <c r="F22" s="263"/>
      <c r="G22" s="264">
        <f ca="1">ROUND(G19/('数据-汇总表'!D3/666.67),0)</f>
        <v>495</v>
      </c>
      <c r="H22" s="265" t="s">
        <v>295</v>
      </c>
      <c r="I22" s="287"/>
      <c r="J22" s="1635"/>
      <c r="K22" s="1635"/>
      <c r="L22" s="1635"/>
      <c r="M22" s="1635"/>
      <c r="N22" s="1635"/>
      <c r="O22" s="1635"/>
      <c r="P22" s="1635"/>
      <c r="Q22" s="1635"/>
      <c r="R22" s="1635"/>
      <c r="S22" s="1635"/>
      <c r="T22" s="1635"/>
      <c r="U22" s="1635"/>
      <c r="V22" s="1635"/>
    </row>
    <row r="23" spans="1:22" ht="13.8" thickBot="1">
      <c r="A23" s="287"/>
      <c r="B23" s="287"/>
      <c r="C23" s="287"/>
      <c r="D23" s="287"/>
      <c r="E23" s="287"/>
      <c r="F23" s="287"/>
      <c r="G23" s="287"/>
      <c r="H23" s="287"/>
      <c r="I23" s="287"/>
      <c r="J23" s="1635"/>
      <c r="K23" s="1635"/>
      <c r="L23" s="1635"/>
      <c r="M23" s="1635"/>
      <c r="N23" s="1635"/>
      <c r="O23" s="1635"/>
      <c r="P23" s="1635"/>
      <c r="Q23" s="1635"/>
      <c r="R23" s="1635"/>
      <c r="S23" s="1635"/>
      <c r="T23" s="1635"/>
      <c r="U23" s="1635"/>
      <c r="V23" s="1635"/>
    </row>
    <row r="24" spans="1:22" ht="15" thickBot="1">
      <c r="A24" s="3547" t="s">
        <v>296</v>
      </c>
      <c r="B24" s="249" t="s">
        <v>288</v>
      </c>
      <c r="C24" s="266">
        <f>IF(B30=0,0,D30)</f>
        <v>0</v>
      </c>
      <c r="D24" s="267"/>
      <c r="E24" s="287"/>
      <c r="F24" s="287"/>
      <c r="G24" s="287"/>
      <c r="H24" s="287"/>
      <c r="I24" s="287"/>
      <c r="J24" s="1635"/>
      <c r="K24" s="1635"/>
      <c r="L24" s="1635"/>
      <c r="M24" s="1635"/>
      <c r="N24" s="1635"/>
      <c r="O24" s="1635"/>
      <c r="P24" s="1635"/>
      <c r="Q24" s="1635"/>
      <c r="R24" s="1635"/>
      <c r="S24" s="1635"/>
      <c r="T24" s="1635"/>
      <c r="U24" s="1635"/>
      <c r="V24" s="1635"/>
    </row>
    <row r="25" spans="1:22" ht="17.399999999999999">
      <c r="A25" s="3594"/>
      <c r="B25" s="1125" t="s">
        <v>297</v>
      </c>
      <c r="C25" s="268">
        <f>IF(B30=0,0,C30)</f>
        <v>0</v>
      </c>
      <c r="D25" s="269"/>
      <c r="E25" s="287"/>
      <c r="F25" s="287"/>
      <c r="G25" s="287"/>
      <c r="H25" s="287"/>
      <c r="I25" s="287"/>
      <c r="J25" s="1635"/>
      <c r="K25" s="1062" t="str">
        <f ca="1">项目基本情况!A17&amp;"国有建设用地使用权价格："&amp;O38&amp;"万元"</f>
        <v>出让国有建设用地使用权价格：16020万元</v>
      </c>
      <c r="L25" s="1063"/>
      <c r="M25" s="1063"/>
      <c r="N25" s="1063"/>
      <c r="O25" s="1064"/>
      <c r="P25" s="1635"/>
      <c r="Q25" s="1635"/>
      <c r="R25" s="1635"/>
      <c r="S25" s="1635"/>
      <c r="T25" s="1635"/>
      <c r="U25" s="1635"/>
      <c r="V25" s="1635"/>
    </row>
    <row r="26" spans="1:22" ht="17.399999999999999">
      <c r="A26" s="270" t="s">
        <v>298</v>
      </c>
      <c r="B26" s="271" t="s">
        <v>299</v>
      </c>
      <c r="C26" s="271" t="s">
        <v>300</v>
      </c>
      <c r="D26" s="272" t="s">
        <v>301</v>
      </c>
      <c r="E26" s="287"/>
      <c r="F26" s="287"/>
      <c r="G26" s="287"/>
      <c r="H26" s="287"/>
      <c r="I26" s="287"/>
      <c r="J26" s="1635"/>
      <c r="K26" s="1065" t="str">
        <f ca="1">"大写金额：人民币"&amp;NUMBERSTRING(INT(O38*10000),2)&amp;"元整"</f>
        <v>大写金额：人民币壹亿陆仟零贰拾万元整</v>
      </c>
      <c r="L26" s="1061"/>
      <c r="M26" s="1061"/>
      <c r="N26" s="1061"/>
      <c r="O26" s="258"/>
      <c r="P26" s="1635"/>
      <c r="Q26" s="1635"/>
      <c r="R26" s="1635"/>
      <c r="S26" s="1635"/>
      <c r="T26" s="1635"/>
      <c r="U26" s="1635"/>
      <c r="V26" s="1635"/>
    </row>
    <row r="27" spans="1:22" ht="17.399999999999999">
      <c r="A27" s="270"/>
      <c r="B27" s="271"/>
      <c r="C27" s="271"/>
      <c r="D27" s="272"/>
      <c r="E27" s="287"/>
      <c r="F27" s="287"/>
      <c r="G27" s="287"/>
      <c r="H27" s="287"/>
      <c r="I27" s="287"/>
      <c r="J27" s="1635"/>
      <c r="K27" s="1065" t="str">
        <f ca="1">"单位面积地价："&amp;M38&amp;"元/平方米"</f>
        <v>单位面积地价：7432元/平方米</v>
      </c>
      <c r="L27" s="1061"/>
      <c r="M27" s="1061"/>
      <c r="N27" s="1061"/>
      <c r="O27" s="258"/>
      <c r="P27" s="1635"/>
      <c r="Q27" s="1635"/>
      <c r="R27" s="1635"/>
      <c r="S27" s="1635"/>
      <c r="T27" s="1635"/>
      <c r="U27" s="1635"/>
      <c r="V27" s="1635"/>
    </row>
    <row r="28" spans="1:22" ht="18.75" customHeight="1">
      <c r="A28" s="270"/>
      <c r="B28" s="271"/>
      <c r="C28" s="271"/>
      <c r="D28" s="272"/>
      <c r="E28" s="287"/>
      <c r="F28" s="287"/>
      <c r="G28" s="287"/>
      <c r="H28" s="287"/>
      <c r="I28" s="287"/>
      <c r="J28" s="1635"/>
      <c r="K28" s="1065" t="str">
        <f ca="1">"楼面地价："&amp;N38&amp;"元/平方米"</f>
        <v>楼面地价：5717元/平方米</v>
      </c>
      <c r="L28" s="1061"/>
      <c r="M28" s="1061"/>
      <c r="N28" s="1061"/>
      <c r="O28" s="258"/>
      <c r="P28" s="1635"/>
      <c r="V28" s="1635"/>
    </row>
    <row r="29" spans="1:22" ht="17.399999999999999">
      <c r="A29" s="270"/>
      <c r="B29" s="271"/>
      <c r="C29" s="271"/>
      <c r="D29" s="272"/>
      <c r="E29" s="287"/>
      <c r="F29" s="287"/>
      <c r="G29" s="287"/>
      <c r="H29" s="287"/>
      <c r="I29" s="287"/>
      <c r="J29" s="1635"/>
      <c r="K29" s="1065" t="str">
        <f ca="1">IF(OR(项目基本情况!E8="抵押价格",项目基本情况!E8="已注销及未注销"),"抵押价格："&amp;O39&amp;"万元","——")</f>
        <v>抵押价格：16020万元</v>
      </c>
      <c r="L29" s="1061"/>
      <c r="M29" s="1061"/>
      <c r="N29" s="1061"/>
      <c r="O29" s="258"/>
      <c r="P29" s="1635"/>
      <c r="V29" s="1635"/>
    </row>
    <row r="30" spans="1:22" ht="18" thickBot="1">
      <c r="A30" s="2364" t="s">
        <v>302</v>
      </c>
      <c r="B30" s="285"/>
      <c r="C30" s="285"/>
      <c r="D30" s="286"/>
      <c r="E30" s="2538" t="s">
        <v>2255</v>
      </c>
      <c r="F30" s="287"/>
      <c r="G30" s="287"/>
      <c r="H30" s="287"/>
      <c r="I30" s="287"/>
      <c r="J30" s="1635"/>
      <c r="K30" s="1065" t="str">
        <f ca="1">IF(K29="——","——","大写金额：人民币"&amp;NUMBERSTRING(INT(O39*10000),2)&amp;"元整")</f>
        <v>大写金额：人民币壹亿陆仟零贰拾万元整</v>
      </c>
      <c r="L30" s="1061"/>
      <c r="M30" s="1061"/>
      <c r="N30" s="1061"/>
      <c r="O30" s="258"/>
      <c r="P30" s="1635"/>
      <c r="V30" s="1635"/>
    </row>
    <row r="31" spans="1:22" ht="24" customHeight="1" thickBot="1">
      <c r="A31" s="3590" t="s">
        <v>2256</v>
      </c>
      <c r="B31" s="3590"/>
      <c r="C31" s="3590"/>
      <c r="D31" s="3590"/>
      <c r="E31" s="3590"/>
      <c r="F31" s="3590"/>
      <c r="G31" s="3590"/>
      <c r="H31" s="3590"/>
      <c r="I31" s="3590"/>
      <c r="J31" s="1635"/>
      <c r="K31" s="1979" t="str">
        <f>IF(项目基本情况!E8="抵押价格","——","抵押担保权已注销时的抵押价格："&amp;O40&amp;"万元")</f>
        <v>——</v>
      </c>
      <c r="L31" s="1976"/>
      <c r="M31" s="1976"/>
      <c r="N31" s="1976"/>
      <c r="O31" s="1977"/>
      <c r="P31" s="1635"/>
      <c r="V31" s="1635"/>
    </row>
    <row r="32" spans="1:22" ht="18.600000000000001" thickTop="1" thickBot="1">
      <c r="A32" s="254" t="s">
        <v>303</v>
      </c>
      <c r="B32" s="2539" t="s">
        <v>1221</v>
      </c>
      <c r="C32" s="246">
        <f ca="1">G19-C24</f>
        <v>16020</v>
      </c>
      <c r="D32" s="2540" t="s">
        <v>1222</v>
      </c>
      <c r="E32" s="287"/>
      <c r="F32" s="287"/>
      <c r="G32" s="287"/>
      <c r="H32" s="287"/>
      <c r="I32" s="287"/>
      <c r="J32" s="1635"/>
      <c r="K32" s="1975" t="str">
        <f>IF(K31="——","——","大写金额：人民币"&amp;NUMBERSTRING(INT(O40*10000),2)&amp;"元整")</f>
        <v>——</v>
      </c>
      <c r="L32" s="1635"/>
      <c r="M32" s="1635"/>
      <c r="N32" s="1635"/>
      <c r="O32" s="1978"/>
      <c r="P32" s="1635"/>
      <c r="V32" s="1635"/>
    </row>
    <row r="33" spans="1:22" ht="18" thickBot="1">
      <c r="A33" s="275" t="s">
        <v>306</v>
      </c>
      <c r="B33" s="1171" t="s">
        <v>1223</v>
      </c>
      <c r="C33" s="244">
        <f ca="1">ROUND(C32*10000/'数据-汇总表'!E3,0)</f>
        <v>5717</v>
      </c>
      <c r="D33" s="1172" t="s">
        <v>1224</v>
      </c>
      <c r="E33" s="3547" t="s">
        <v>304</v>
      </c>
      <c r="F33" s="273" t="s">
        <v>305</v>
      </c>
      <c r="G33" s="274"/>
      <c r="H33" s="895"/>
      <c r="I33" s="1066"/>
      <c r="J33" s="1635"/>
      <c r="K33" s="1065" t="str">
        <f>IF(项目基本情况!E9="——","——","抵押净值："&amp;C46&amp;"万元")</f>
        <v>——</v>
      </c>
      <c r="L33" s="1061"/>
      <c r="M33" s="1061"/>
      <c r="N33" s="1061"/>
      <c r="O33" s="258"/>
      <c r="P33" s="1635"/>
      <c r="V33" s="1635"/>
    </row>
    <row r="34" spans="1:22" ht="18" thickBot="1">
      <c r="A34" s="277"/>
      <c r="B34" s="98" t="s">
        <v>1225</v>
      </c>
      <c r="C34" s="244">
        <f ca="1">ROUND(C32*10000/'数据-汇总表'!D3,0)</f>
        <v>7432</v>
      </c>
      <c r="D34" s="1172" t="s">
        <v>1224</v>
      </c>
      <c r="E34" s="3548"/>
      <c r="F34" s="118" t="s">
        <v>307</v>
      </c>
      <c r="G34" s="276"/>
      <c r="H34" s="96"/>
      <c r="I34" s="287"/>
      <c r="J34" s="1635"/>
      <c r="K34" s="1068" t="str">
        <f>IF(K33="——","——","大写金额：人民币"&amp;NUMBERSTRING(INT(O41*10000),2)&amp;"元整")</f>
        <v>——</v>
      </c>
      <c r="L34" s="1069"/>
      <c r="M34" s="1069"/>
      <c r="N34" s="1069"/>
      <c r="O34" s="1070"/>
      <c r="P34" s="1635"/>
      <c r="V34" s="1635"/>
    </row>
    <row r="35" spans="1:22" ht="15" thickBot="1">
      <c r="A35" s="262"/>
      <c r="B35" s="1173"/>
      <c r="C35" s="1174">
        <f ca="1">ROUND(C32/('数据-汇总表'!D3/666.67),0)</f>
        <v>495</v>
      </c>
      <c r="D35" s="1175" t="s">
        <v>1226</v>
      </c>
      <c r="E35" s="3549"/>
      <c r="F35" s="278" t="s">
        <v>308</v>
      </c>
      <c r="G35" s="897"/>
      <c r="H35" s="896" t="s">
        <v>309</v>
      </c>
      <c r="I35" s="287"/>
      <c r="J35" s="1635"/>
      <c r="K35" s="3553" t="s">
        <v>316</v>
      </c>
      <c r="L35" s="3553" t="s">
        <v>317</v>
      </c>
      <c r="M35" s="1071" t="s">
        <v>318</v>
      </c>
      <c r="N35" s="3553" t="s">
        <v>319</v>
      </c>
      <c r="O35" s="3553" t="s">
        <v>320</v>
      </c>
      <c r="P35" s="1635"/>
      <c r="V35" s="1635"/>
    </row>
    <row r="36" spans="1:22" ht="16.5" customHeight="1">
      <c r="A36" s="280" t="s">
        <v>310</v>
      </c>
      <c r="B36" s="281" t="s">
        <v>299</v>
      </c>
      <c r="C36" s="282" t="s">
        <v>311</v>
      </c>
      <c r="D36" s="282" t="s">
        <v>312</v>
      </c>
      <c r="E36" s="283" t="s">
        <v>313</v>
      </c>
      <c r="F36" s="287"/>
      <c r="G36" s="287"/>
      <c r="H36" s="287"/>
      <c r="I36" s="287"/>
      <c r="J36" s="1643"/>
      <c r="K36" s="3554"/>
      <c r="L36" s="3554"/>
      <c r="M36" s="1073" t="s">
        <v>321</v>
      </c>
      <c r="N36" s="3554"/>
      <c r="O36" s="3554"/>
      <c r="P36" s="1635"/>
      <c r="V36" s="1635"/>
    </row>
    <row r="37" spans="1:22" ht="16.5" customHeight="1" thickBot="1">
      <c r="A37" s="1067" t="s">
        <v>314</v>
      </c>
      <c r="B37" s="270"/>
      <c r="C37" s="271"/>
      <c r="D37" s="271"/>
      <c r="E37" s="272"/>
      <c r="F37" s="287"/>
      <c r="G37" s="287"/>
      <c r="H37" s="287"/>
      <c r="I37" s="287"/>
      <c r="J37" s="1643"/>
      <c r="K37" s="3555"/>
      <c r="L37" s="3555"/>
      <c r="M37" s="1074"/>
      <c r="N37" s="3555"/>
      <c r="O37" s="3555"/>
      <c r="P37" s="1635"/>
      <c r="V37" s="1635"/>
    </row>
    <row r="38" spans="1:22" ht="16.5" customHeight="1" thickBot="1">
      <c r="A38" s="1067" t="s">
        <v>315</v>
      </c>
      <c r="B38" s="270"/>
      <c r="C38" s="271"/>
      <c r="D38" s="271"/>
      <c r="E38" s="272"/>
      <c r="F38" s="287"/>
      <c r="G38" s="287"/>
      <c r="H38" s="287"/>
      <c r="I38" s="287"/>
      <c r="J38" s="1643"/>
      <c r="K38" s="1075">
        <f>'数据-汇总表'!D3</f>
        <v>21555</v>
      </c>
      <c r="L38" s="1076">
        <f>'数据-汇总表'!E3</f>
        <v>28022</v>
      </c>
      <c r="M38" s="1076">
        <f ca="1">C34</f>
        <v>7432</v>
      </c>
      <c r="N38" s="1076">
        <f ca="1">C33</f>
        <v>5717</v>
      </c>
      <c r="O38" s="1077">
        <f ca="1">C32</f>
        <v>16020</v>
      </c>
      <c r="P38" s="1635"/>
      <c r="V38" s="1635"/>
    </row>
    <row r="39" spans="1:22" ht="16.5" customHeight="1" thickBot="1">
      <c r="A39" s="1072"/>
      <c r="B39" s="284"/>
      <c r="C39" s="285"/>
      <c r="D39" s="285"/>
      <c r="E39" s="286"/>
      <c r="F39" s="287"/>
      <c r="G39" s="287"/>
      <c r="H39" s="287"/>
      <c r="I39" s="287"/>
      <c r="J39" s="1643"/>
      <c r="K39" s="3566" t="str">
        <f>MID(A44,3,LEN(A44)-2)</f>
        <v>抵押价格</v>
      </c>
      <c r="L39" s="3567"/>
      <c r="M39" s="3567"/>
      <c r="N39" s="3568"/>
      <c r="O39" s="1177">
        <f ca="1">C44</f>
        <v>16020</v>
      </c>
      <c r="P39" s="1635"/>
      <c r="V39" s="1635"/>
    </row>
    <row r="40" spans="1:22" ht="18" thickBot="1">
      <c r="A40" s="95" t="s">
        <v>810</v>
      </c>
      <c r="B40" s="287"/>
      <c r="C40" s="287"/>
      <c r="D40" s="287"/>
      <c r="E40" s="287"/>
      <c r="F40" s="287"/>
      <c r="G40" s="287"/>
      <c r="H40" s="287"/>
      <c r="I40" s="287"/>
      <c r="J40" s="1643"/>
      <c r="K40" s="3566" t="str">
        <f>MID(A45,3,LEN(A45)-2)</f>
        <v/>
      </c>
      <c r="L40" s="3567"/>
      <c r="M40" s="3567"/>
      <c r="N40" s="3568"/>
      <c r="O40" s="1177" t="str">
        <f>C45</f>
        <v>——</v>
      </c>
      <c r="P40" s="1635"/>
      <c r="V40" s="1635"/>
    </row>
    <row r="41" spans="1:22" ht="16.2" thickBot="1">
      <c r="A41" s="288" t="s">
        <v>322</v>
      </c>
      <c r="B41" s="289"/>
      <c r="C41" s="290" t="s">
        <v>323</v>
      </c>
      <c r="D41" s="291" t="s">
        <v>324</v>
      </c>
      <c r="E41" s="291" t="s">
        <v>325</v>
      </c>
      <c r="F41" s="292" t="s">
        <v>326</v>
      </c>
      <c r="G41" s="287"/>
      <c r="H41" s="287"/>
      <c r="I41" s="287"/>
      <c r="J41" s="1643"/>
      <c r="K41" s="3566" t="str">
        <f>MID(A46,3,LEN(A46)-2)</f>
        <v/>
      </c>
      <c r="L41" s="3567"/>
      <c r="M41" s="3567"/>
      <c r="N41" s="3568"/>
      <c r="O41" s="1177" t="str">
        <f>C46</f>
        <v>——</v>
      </c>
      <c r="P41" s="1635"/>
      <c r="V41" s="1635"/>
    </row>
    <row r="42" spans="1:22" ht="31.2">
      <c r="A42" s="3595" t="s">
        <v>1585</v>
      </c>
      <c r="B42" s="3596"/>
      <c r="C42" s="244">
        <f ca="1">C32</f>
        <v>16020</v>
      </c>
      <c r="D42" s="293">
        <f ca="1">C33</f>
        <v>5717</v>
      </c>
      <c r="E42" s="293">
        <f ca="1">C34</f>
        <v>7432</v>
      </c>
      <c r="F42" s="294">
        <f ca="1">C35</f>
        <v>495</v>
      </c>
      <c r="G42" s="287"/>
      <c r="H42" s="287"/>
      <c r="I42" s="295"/>
      <c r="J42" s="1643"/>
      <c r="K42" s="1078" t="s">
        <v>327</v>
      </c>
      <c r="L42" s="1659" t="s">
        <v>328</v>
      </c>
      <c r="M42" s="1079" t="s">
        <v>329</v>
      </c>
      <c r="N42" s="1660" t="s">
        <v>330</v>
      </c>
      <c r="O42" s="1661" t="s">
        <v>331</v>
      </c>
      <c r="P42" s="1635"/>
      <c r="V42" s="1635"/>
    </row>
    <row r="43" spans="1:22" ht="30">
      <c r="A43" s="3605" t="s">
        <v>2012</v>
      </c>
      <c r="B43" s="3606"/>
      <c r="C43" s="244">
        <f>IF(H33="正常操作",G33+G34+G35,G34+G35)</f>
        <v>0</v>
      </c>
      <c r="D43" s="293" t="s">
        <v>17</v>
      </c>
      <c r="E43" s="293" t="s">
        <v>18</v>
      </c>
      <c r="F43" s="294" t="s">
        <v>18</v>
      </c>
      <c r="G43" s="2170" t="s">
        <v>877</v>
      </c>
      <c r="H43" s="287"/>
      <c r="I43" s="295"/>
      <c r="J43" s="1643"/>
      <c r="K43" s="1080" t="str">
        <f>C4</f>
        <v>剩余法-待开发</v>
      </c>
      <c r="L43" s="1081">
        <f ca="1">IF(L42="估价结果/万元",C19,C20)</f>
        <v>15912</v>
      </c>
      <c r="M43" s="1082">
        <f>C18</f>
        <v>0.5</v>
      </c>
      <c r="N43" s="1083">
        <f ca="1">IF(N42="测算结果/万元",G19,G20)</f>
        <v>16020</v>
      </c>
      <c r="O43" s="1084">
        <f ca="1">IF(O42="最终结果/万元",C32,C33)</f>
        <v>16020</v>
      </c>
      <c r="P43" s="1635"/>
      <c r="V43" s="1635"/>
    </row>
    <row r="44" spans="1:22" ht="30.6" thickBot="1">
      <c r="A44" s="3595" t="str">
        <f>IF(OR(项目基本情况!E8="抵押价格",项目基本情况!E8="已注销及未注销"),"3.抵押价格","——")</f>
        <v>3.抵押价格</v>
      </c>
      <c r="B44" s="3596"/>
      <c r="C44" s="244">
        <f ca="1">IF(A44="——","——",C42-C43)</f>
        <v>16020</v>
      </c>
      <c r="D44" s="293">
        <f ca="1">ROUND(C44*10000/'数据-汇总表'!E3,0)</f>
        <v>5717</v>
      </c>
      <c r="E44" s="293">
        <f ca="1">ROUND(C44*10000/'数据-汇总表'!D3,0)</f>
        <v>7432</v>
      </c>
      <c r="F44" s="294">
        <f ca="1">ROUND(C44/('数据-汇总表'!D3/666.67),0)</f>
        <v>495</v>
      </c>
      <c r="G44" s="287"/>
      <c r="H44" s="287"/>
      <c r="I44" s="295"/>
      <c r="J44" s="1643"/>
      <c r="K44" s="1085" t="str">
        <f>D4</f>
        <v>比较法-住宅、综合</v>
      </c>
      <c r="L44" s="1086">
        <f ca="1">IF(L42="估价结果/万元",D19,D20)</f>
        <v>16127</v>
      </c>
      <c r="M44" s="1087">
        <f>D18</f>
        <v>0.5</v>
      </c>
      <c r="N44" s="1088"/>
      <c r="O44" s="1089"/>
      <c r="P44" s="1635"/>
      <c r="V44" s="1635"/>
    </row>
    <row r="45" spans="1:22" ht="13.8">
      <c r="A45" s="3600" t="str">
        <f>IF(项目基本情况!E8="已注销及未注销","4.抵押担保权已注销时的抵押价格",IF(项目基本情况!E8="已注销","3.抵押担保权已注销时的抵押价格","——"))</f>
        <v>——</v>
      </c>
      <c r="B45" s="3601"/>
      <c r="C45" s="1497"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3"/>
      <c r="K45" s="1635"/>
      <c r="L45" s="1635"/>
      <c r="M45" s="1635"/>
      <c r="N45" s="1635"/>
      <c r="O45" s="1635"/>
      <c r="P45" s="1635"/>
      <c r="V45" s="1635"/>
    </row>
    <row r="46" spans="1:22" ht="14.4" thickBot="1">
      <c r="A46" s="3597" t="str">
        <f>IF(项目基本情况!E9="抵押净值",IF(A45="——","4.抵押净值","5.抵押净值"),"——")</f>
        <v>——</v>
      </c>
      <c r="B46" s="3598"/>
      <c r="C46" s="296" t="str">
        <f>IF(A46="——","——",O79)</f>
        <v>——</v>
      </c>
      <c r="D46" s="293" t="e">
        <f>ROUND(C46*10000/'数据-汇总表'!E3,0)</f>
        <v>#VALUE!</v>
      </c>
      <c r="E46" s="293" t="e">
        <f>ROUND(C46*10000/'数据-汇总表'!D3,0)</f>
        <v>#VALUE!</v>
      </c>
      <c r="F46" s="294" t="e">
        <f>ROUND(C46/('数据-汇总表'!D3/666.67),0)</f>
        <v>#VALUE!</v>
      </c>
      <c r="G46" s="287"/>
      <c r="H46" s="287"/>
      <c r="I46" s="295"/>
      <c r="J46" s="1643"/>
      <c r="K46" s="1635"/>
      <c r="L46" s="1635"/>
      <c r="M46" s="1635"/>
      <c r="N46" s="1635"/>
      <c r="O46" s="1635"/>
      <c r="P46" s="1635"/>
      <c r="Q46" s="1635"/>
      <c r="R46" s="1635"/>
      <c r="S46" s="1635"/>
      <c r="T46" s="1635"/>
      <c r="U46" s="1635"/>
      <c r="V46" s="1635"/>
    </row>
    <row r="47" spans="1:22" ht="15.6">
      <c r="A47" s="297" t="s">
        <v>332</v>
      </c>
      <c r="B47" s="1090"/>
      <c r="C47" s="298" t="s">
        <v>333</v>
      </c>
      <c r="D47" s="15"/>
      <c r="E47" s="15"/>
      <c r="F47" s="15"/>
      <c r="G47" s="299"/>
      <c r="H47" s="300"/>
      <c r="I47" s="301"/>
      <c r="J47" s="1643"/>
      <c r="K47" s="287" t="str">
        <f>IF(C43=0,"本次评估"&amp;IF(G43="设定","设定估价对象","")&amp;"不存在"&amp;MID(A43,3,LEN(A43)-2),"本次评估"&amp;IF(G43="设定","设定","")&amp;MID(A43,3,LEN(A43)-2)&amp;"为人民币"&amp;C43&amp;"万元整。")</f>
        <v>本次评估不存在估价师知悉的法定优先受偿款</v>
      </c>
      <c r="L47" s="1635"/>
      <c r="M47" s="1635"/>
      <c r="N47" s="1635"/>
      <c r="O47" s="1635"/>
      <c r="P47" s="1635"/>
      <c r="Q47" s="1635"/>
      <c r="R47" s="1635"/>
      <c r="S47" s="1635"/>
      <c r="T47" s="1635"/>
      <c r="U47" s="1635"/>
      <c r="V47" s="1635"/>
    </row>
    <row r="48" spans="1:22" ht="13.2">
      <c r="A48" s="302">
        <v>1</v>
      </c>
      <c r="B48" s="303"/>
      <c r="C48" s="303"/>
      <c r="D48" s="15"/>
      <c r="E48" s="15"/>
      <c r="F48" s="15"/>
      <c r="G48" s="15"/>
      <c r="H48" s="53"/>
      <c r="I48" s="304"/>
      <c r="J48" s="1643"/>
      <c r="K48" s="1635"/>
      <c r="L48" s="1635"/>
      <c r="M48" s="1635"/>
      <c r="N48" s="1635"/>
      <c r="O48" s="1635"/>
      <c r="P48" s="1635"/>
      <c r="Q48" s="1635"/>
      <c r="R48" s="1635"/>
      <c r="S48" s="1635"/>
      <c r="T48" s="1635"/>
      <c r="U48" s="1635"/>
      <c r="V48" s="1635"/>
    </row>
    <row r="49" spans="1:22" ht="13.2">
      <c r="A49" s="302">
        <v>2</v>
      </c>
      <c r="B49" s="303"/>
      <c r="C49" s="303"/>
      <c r="D49" s="15"/>
      <c r="E49" s="15"/>
      <c r="F49" s="15"/>
      <c r="G49" s="15"/>
      <c r="H49" s="53"/>
      <c r="I49" s="304"/>
      <c r="J49" s="1644"/>
      <c r="K49" s="1635"/>
      <c r="L49" s="1635"/>
      <c r="M49" s="1635"/>
      <c r="N49" s="1635"/>
      <c r="O49" s="1635"/>
      <c r="P49" s="1635"/>
      <c r="Q49" s="1635"/>
      <c r="R49" s="1635"/>
      <c r="S49" s="1635"/>
      <c r="T49" s="1635"/>
      <c r="U49" s="1635"/>
      <c r="V49" s="1635"/>
    </row>
    <row r="50" spans="1:22" ht="13.2">
      <c r="A50" s="302">
        <v>3</v>
      </c>
      <c r="B50" s="303"/>
      <c r="C50" s="303"/>
      <c r="D50" s="15"/>
      <c r="E50" s="15"/>
      <c r="F50" s="15"/>
      <c r="G50" s="15"/>
      <c r="H50" s="53"/>
      <c r="I50" s="304"/>
      <c r="J50" s="1644"/>
      <c r="K50" s="1635"/>
      <c r="L50" s="1635"/>
      <c r="M50" s="1635"/>
      <c r="N50" s="1635"/>
      <c r="O50" s="1635"/>
      <c r="P50" s="1635"/>
      <c r="Q50" s="1635"/>
      <c r="R50" s="1635"/>
      <c r="S50" s="1635"/>
      <c r="T50" s="1635"/>
      <c r="U50" s="1635"/>
      <c r="V50" s="1635"/>
    </row>
    <row r="51" spans="1:22" ht="13.2">
      <c r="A51" s="305"/>
      <c r="B51" s="306"/>
      <c r="C51" s="306"/>
      <c r="D51" s="307"/>
      <c r="E51" s="307"/>
      <c r="F51" s="307"/>
      <c r="G51" s="307"/>
      <c r="H51" s="308"/>
      <c r="I51" s="309"/>
      <c r="J51" s="1644"/>
      <c r="K51" s="1635"/>
      <c r="L51" s="1635"/>
      <c r="M51" s="1635"/>
      <c r="N51" s="1635"/>
      <c r="O51" s="1635"/>
      <c r="P51" s="1635"/>
      <c r="Q51" s="1635"/>
      <c r="R51" s="1635"/>
      <c r="S51" s="1635"/>
      <c r="T51" s="1635"/>
      <c r="U51" s="1635"/>
      <c r="V51" s="1635"/>
    </row>
    <row r="52" spans="1:22" ht="13.2">
      <c r="A52" s="303"/>
      <c r="B52" s="303"/>
      <c r="C52" s="303"/>
      <c r="D52" s="15"/>
      <c r="E52" s="15"/>
      <c r="F52" s="15"/>
      <c r="G52" s="15"/>
      <c r="H52" s="53"/>
      <c r="I52" s="237"/>
      <c r="J52" s="1644"/>
      <c r="K52" s="1635"/>
      <c r="L52" s="1635"/>
      <c r="M52" s="1635"/>
      <c r="N52" s="1635"/>
      <c r="O52" s="1635"/>
      <c r="P52" s="1635"/>
      <c r="Q52" s="1635"/>
      <c r="R52" s="1635"/>
      <c r="S52" s="1635"/>
      <c r="T52" s="1635"/>
      <c r="U52" s="1635"/>
      <c r="V52" s="1635"/>
    </row>
    <row r="53" spans="1:22" ht="13.2">
      <c r="A53" s="237"/>
      <c r="B53" s="237"/>
      <c r="C53" s="237"/>
      <c r="D53" s="237"/>
      <c r="E53" s="237"/>
      <c r="F53" s="310" t="s">
        <v>334</v>
      </c>
      <c r="G53" s="311"/>
      <c r="H53" s="311"/>
      <c r="I53" s="312" t="s">
        <v>335</v>
      </c>
      <c r="J53" s="1644"/>
      <c r="K53" s="1635"/>
      <c r="L53" s="1635"/>
      <c r="M53" s="1635"/>
      <c r="N53" s="1635"/>
      <c r="O53" s="1635"/>
      <c r="P53" s="1635"/>
      <c r="Q53" s="1635"/>
      <c r="R53" s="1635"/>
      <c r="S53" s="1635"/>
      <c r="T53" s="1635"/>
      <c r="U53" s="1635"/>
      <c r="V53" s="1635"/>
    </row>
    <row r="54" spans="1:22" ht="13.2">
      <c r="A54" s="237"/>
      <c r="B54" s="313" t="s">
        <v>336</v>
      </c>
      <c r="C54" s="237"/>
      <c r="D54" s="237"/>
      <c r="E54" s="237"/>
      <c r="F54" s="237"/>
      <c r="G54" s="237"/>
      <c r="H54" s="237"/>
      <c r="I54" s="237"/>
      <c r="J54" s="1644"/>
      <c r="K54" s="1635"/>
      <c r="L54" s="1635"/>
      <c r="M54" s="1635"/>
      <c r="N54" s="1635"/>
      <c r="O54" s="1635"/>
      <c r="P54" s="1635"/>
      <c r="Q54" s="1635"/>
      <c r="R54" s="1635"/>
      <c r="S54" s="1635"/>
      <c r="T54" s="1635"/>
      <c r="U54" s="1635"/>
      <c r="V54" s="1635"/>
    </row>
    <row r="55" spans="1:22" ht="13.2">
      <c r="A55" s="237"/>
      <c r="B55" s="237"/>
      <c r="C55" s="237"/>
      <c r="D55" s="237"/>
      <c r="E55" s="237"/>
      <c r="F55" s="237"/>
      <c r="G55" s="237"/>
      <c r="H55" s="237"/>
      <c r="I55" s="237"/>
      <c r="J55" s="1644"/>
      <c r="K55" s="1635"/>
      <c r="L55" s="1635"/>
      <c r="M55" s="1635"/>
      <c r="N55" s="1635"/>
      <c r="O55" s="1635"/>
      <c r="P55" s="1635"/>
      <c r="Q55" s="1635"/>
      <c r="R55" s="1635"/>
      <c r="S55" s="1635"/>
      <c r="T55" s="1635"/>
      <c r="U55" s="1635"/>
      <c r="V55" s="1635"/>
    </row>
    <row r="56" spans="1:22" ht="13.2">
      <c r="A56" s="237"/>
      <c r="B56" s="311"/>
      <c r="C56" s="311"/>
      <c r="D56" s="311"/>
      <c r="E56" s="311"/>
      <c r="F56" s="311"/>
      <c r="G56" s="311"/>
      <c r="H56" s="311"/>
      <c r="I56" s="312" t="s">
        <v>337</v>
      </c>
      <c r="J56" s="1644"/>
      <c r="K56" s="1635"/>
      <c r="L56" s="1635"/>
      <c r="M56" s="1635"/>
      <c r="N56" s="1635"/>
      <c r="O56" s="1635"/>
      <c r="P56" s="1635"/>
      <c r="Q56" s="1635"/>
      <c r="R56" s="1635"/>
      <c r="S56" s="1635"/>
      <c r="T56" s="1635"/>
      <c r="U56" s="1635"/>
      <c r="V56" s="1635"/>
    </row>
    <row r="57" spans="1:22" ht="13.2">
      <c r="A57" s="237"/>
      <c r="B57" s="313" t="s">
        <v>338</v>
      </c>
      <c r="C57" s="237"/>
      <c r="D57" s="237"/>
      <c r="E57" s="237"/>
      <c r="F57" s="237"/>
      <c r="G57" s="237"/>
      <c r="H57" s="237"/>
      <c r="I57" s="237"/>
      <c r="J57" s="1644"/>
      <c r="K57" s="1635"/>
      <c r="L57" s="1635"/>
      <c r="M57" s="1635"/>
      <c r="N57" s="1635"/>
      <c r="O57" s="1635"/>
      <c r="P57" s="1635"/>
      <c r="Q57" s="1635"/>
      <c r="R57" s="1635"/>
      <c r="S57" s="1635"/>
      <c r="T57" s="1635"/>
      <c r="U57" s="1635"/>
      <c r="V57" s="1635"/>
    </row>
    <row r="58" spans="1:22" ht="13.2">
      <c r="A58" s="237"/>
      <c r="B58" s="313"/>
      <c r="C58" s="237"/>
      <c r="D58" s="237"/>
      <c r="E58" s="237"/>
      <c r="F58" s="237"/>
      <c r="G58" s="237"/>
      <c r="H58" s="237"/>
      <c r="I58" s="237"/>
      <c r="J58" s="1644"/>
      <c r="K58" s="1635"/>
      <c r="L58" s="1635"/>
      <c r="M58" s="1635"/>
      <c r="N58" s="1635"/>
      <c r="O58" s="1635"/>
      <c r="P58" s="1635"/>
      <c r="Q58" s="1635"/>
      <c r="R58" s="1635"/>
      <c r="S58" s="1635"/>
      <c r="T58" s="1635"/>
      <c r="U58" s="1635"/>
      <c r="V58" s="1635"/>
    </row>
    <row r="59" spans="1:22" ht="13.2">
      <c r="A59" s="237"/>
      <c r="B59" s="311"/>
      <c r="C59" s="311"/>
      <c r="D59" s="311"/>
      <c r="E59" s="311"/>
      <c r="F59" s="311"/>
      <c r="G59" s="311"/>
      <c r="H59" s="311"/>
      <c r="I59" s="312" t="s">
        <v>337</v>
      </c>
      <c r="J59" s="1644"/>
      <c r="K59" s="1635"/>
      <c r="L59" s="1635"/>
      <c r="M59" s="1635"/>
      <c r="N59" s="1635"/>
      <c r="O59" s="1635"/>
      <c r="P59" s="1635"/>
      <c r="Q59" s="1635"/>
      <c r="R59" s="1635"/>
      <c r="S59" s="1635"/>
      <c r="T59" s="1635"/>
      <c r="U59" s="1635"/>
      <c r="V59" s="1635"/>
    </row>
    <row r="60" spans="1:22" ht="13.2">
      <c r="A60" s="237"/>
      <c r="B60" s="237"/>
      <c r="C60" s="237"/>
      <c r="D60" s="237"/>
      <c r="E60" s="237"/>
      <c r="F60" s="237"/>
      <c r="G60" s="237"/>
      <c r="H60" s="237"/>
      <c r="I60" s="237"/>
      <c r="J60" s="1644"/>
      <c r="K60" s="1635"/>
      <c r="L60" s="1635"/>
      <c r="M60" s="1635"/>
      <c r="N60" s="1635"/>
      <c r="O60" s="1635"/>
      <c r="P60" s="1635"/>
      <c r="Q60" s="1635"/>
      <c r="R60" s="1635"/>
      <c r="S60" s="1635"/>
      <c r="T60" s="1635"/>
      <c r="U60" s="1635"/>
      <c r="V60" s="1635"/>
    </row>
    <row r="61" spans="1:22" ht="13.2">
      <c r="A61" s="237"/>
      <c r="B61" s="313"/>
      <c r="C61" s="314"/>
      <c r="D61" s="197"/>
      <c r="E61" s="197"/>
      <c r="F61" s="234"/>
      <c r="G61" s="237"/>
      <c r="H61" s="237"/>
      <c r="I61" s="237"/>
      <c r="J61" s="1644"/>
      <c r="K61" s="1635"/>
      <c r="L61" s="1635"/>
      <c r="M61" s="1635"/>
      <c r="N61" s="1635"/>
      <c r="O61" s="1635"/>
      <c r="P61" s="1635"/>
      <c r="Q61" s="1635"/>
      <c r="R61" s="1635"/>
      <c r="S61" s="1635"/>
      <c r="T61" s="1635"/>
      <c r="U61" s="1635"/>
      <c r="V61" s="1635"/>
    </row>
    <row r="62" spans="1:22" ht="17.399999999999999">
      <c r="A62" s="11" t="s">
        <v>339</v>
      </c>
      <c r="B62" s="1091"/>
      <c r="C62" s="1091"/>
      <c r="D62" s="1092"/>
      <c r="E62" s="1092"/>
      <c r="F62" s="1093"/>
      <c r="G62" s="1093"/>
      <c r="H62" s="1093"/>
      <c r="I62" s="1093"/>
      <c r="J62" s="1645"/>
      <c r="K62" s="1635"/>
      <c r="L62" s="1635"/>
      <c r="M62" s="1635"/>
      <c r="N62" s="1635"/>
      <c r="O62" s="1635"/>
      <c r="P62" s="1635"/>
      <c r="Q62" s="1635"/>
      <c r="R62" s="1635"/>
      <c r="S62" s="1635"/>
      <c r="T62" s="1635"/>
      <c r="U62" s="1635"/>
      <c r="V62" s="1635"/>
    </row>
    <row r="63" spans="1:22" ht="14.25" customHeight="1" thickBot="1">
      <c r="A63" s="3558" t="s">
        <v>340</v>
      </c>
      <c r="B63" s="3559"/>
      <c r="C63" s="3560"/>
      <c r="D63" s="315">
        <f ca="1">ROUND(C42*F63,0)</f>
        <v>16020</v>
      </c>
      <c r="E63" s="279" t="s">
        <v>341</v>
      </c>
      <c r="F63" s="316">
        <v>1</v>
      </c>
      <c r="G63" s="317" t="s">
        <v>342</v>
      </c>
      <c r="H63" s="287"/>
      <c r="I63" s="287"/>
      <c r="J63" s="1635"/>
      <c r="K63" s="1635"/>
      <c r="L63" s="1635"/>
      <c r="M63" s="1635"/>
      <c r="N63" s="1635"/>
      <c r="O63" s="1635"/>
      <c r="P63" s="1635"/>
      <c r="Q63" s="1635"/>
      <c r="R63" s="1635"/>
      <c r="S63" s="1635"/>
      <c r="T63" s="1635"/>
      <c r="U63" s="1635"/>
      <c r="V63" s="1635"/>
    </row>
    <row r="64" spans="1:22" ht="14.25" customHeight="1">
      <c r="A64" s="3602" t="s">
        <v>344</v>
      </c>
      <c r="B64" s="3603"/>
      <c r="C64" s="3603"/>
      <c r="D64" s="3603"/>
      <c r="E64" s="3603"/>
      <c r="F64" s="3603"/>
      <c r="G64" s="3604"/>
      <c r="H64" s="1094"/>
      <c r="I64" s="867"/>
      <c r="J64" s="1637"/>
      <c r="K64" s="1300" t="s">
        <v>343</v>
      </c>
      <c r="L64" s="9"/>
      <c r="M64" s="9"/>
      <c r="N64" s="9"/>
      <c r="O64" s="9"/>
      <c r="P64" s="287"/>
      <c r="Q64" s="1635"/>
      <c r="R64" s="1635"/>
      <c r="S64" s="1635"/>
      <c r="T64" s="1635"/>
      <c r="U64" s="1635"/>
      <c r="V64" s="1635"/>
    </row>
    <row r="65" spans="1:22" ht="12" customHeight="1">
      <c r="A65" s="318" t="s">
        <v>346</v>
      </c>
      <c r="B65" s="319"/>
      <c r="C65" s="320"/>
      <c r="D65" s="321" t="s">
        <v>347</v>
      </c>
      <c r="E65" s="49" t="s">
        <v>348</v>
      </c>
      <c r="F65" s="322" t="s">
        <v>349</v>
      </c>
      <c r="G65" s="323" t="s">
        <v>350</v>
      </c>
      <c r="H65" s="1094"/>
      <c r="I65" s="867"/>
      <c r="J65" s="1637"/>
      <c r="K65" s="1095"/>
      <c r="L65" s="1096"/>
      <c r="M65" s="1096"/>
      <c r="N65" s="1126" t="s">
        <v>345</v>
      </c>
      <c r="O65" s="1127"/>
      <c r="P65" s="1128"/>
      <c r="Q65" s="1635"/>
      <c r="R65" s="1635"/>
      <c r="S65" s="1635"/>
      <c r="T65" s="1635"/>
      <c r="U65" s="1635"/>
      <c r="V65" s="1635"/>
    </row>
    <row r="66" spans="1:22" ht="26.4">
      <c r="A66" s="3599" t="s">
        <v>352</v>
      </c>
      <c r="B66" s="3565"/>
      <c r="C66" s="3565"/>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7"/>
      <c r="K66" s="1097">
        <v>1</v>
      </c>
      <c r="L66" s="3526" t="s">
        <v>351</v>
      </c>
      <c r="M66" s="3527"/>
      <c r="N66" s="1972"/>
      <c r="O66" s="1973"/>
      <c r="P66" s="1974"/>
      <c r="Q66" s="1635"/>
      <c r="R66" s="1635"/>
      <c r="S66" s="1635"/>
      <c r="T66" s="1635"/>
      <c r="U66" s="1635"/>
      <c r="V66" s="1635"/>
    </row>
    <row r="67" spans="1:22" ht="25.5" customHeight="1">
      <c r="A67" s="326" t="s">
        <v>355</v>
      </c>
      <c r="B67" s="3577" t="s">
        <v>356</v>
      </c>
      <c r="C67" s="3577"/>
      <c r="D67" s="327">
        <v>0</v>
      </c>
      <c r="E67" s="37" t="s">
        <v>357</v>
      </c>
      <c r="F67" s="58" t="s">
        <v>15</v>
      </c>
      <c r="G67" s="3561"/>
      <c r="H67" s="2541" t="s">
        <v>2257</v>
      </c>
      <c r="I67" s="2543"/>
      <c r="J67" s="1648"/>
      <c r="K67" s="1631">
        <v>2</v>
      </c>
      <c r="L67" s="3531" t="s">
        <v>354</v>
      </c>
      <c r="M67" s="3531"/>
      <c r="N67" s="1129">
        <f>'数据-取费表'!B2</f>
        <v>45849</v>
      </c>
      <c r="O67" s="1129"/>
      <c r="P67" s="1129"/>
      <c r="Q67" s="1635"/>
      <c r="R67" s="1635"/>
      <c r="S67" s="1635"/>
      <c r="T67" s="1635"/>
      <c r="U67" s="1635"/>
      <c r="V67" s="1635"/>
    </row>
    <row r="68" spans="1:22" ht="25.5" customHeight="1">
      <c r="A68" s="328"/>
      <c r="B68" s="3577" t="s">
        <v>359</v>
      </c>
      <c r="C68" s="3577"/>
      <c r="D68" s="329"/>
      <c r="E68" s="73"/>
      <c r="F68" s="330"/>
      <c r="G68" s="3562"/>
      <c r="H68" s="2542" t="s">
        <v>2258</v>
      </c>
      <c r="I68" s="2543"/>
      <c r="J68" s="1648"/>
      <c r="K68" s="1631">
        <v>3</v>
      </c>
      <c r="L68" s="3531" t="s">
        <v>358</v>
      </c>
      <c r="M68" s="3531"/>
      <c r="N68" s="1099">
        <f ca="1">C42</f>
        <v>16020</v>
      </c>
      <c r="O68" s="1099"/>
      <c r="P68" s="1099"/>
      <c r="Q68" s="1635"/>
      <c r="R68" s="1635"/>
      <c r="S68" s="1635"/>
      <c r="T68" s="1635"/>
      <c r="U68" s="1635"/>
      <c r="V68" s="1635"/>
    </row>
    <row r="69" spans="1:22" ht="23.4" customHeight="1">
      <c r="A69" s="331"/>
      <c r="B69" s="3577" t="s">
        <v>360</v>
      </c>
      <c r="C69" s="3577"/>
      <c r="D69" s="332"/>
      <c r="E69" s="69"/>
      <c r="F69" s="330"/>
      <c r="G69" s="3563"/>
      <c r="H69" s="2542" t="s">
        <v>2259</v>
      </c>
      <c r="I69" s="2543"/>
      <c r="J69" s="1648"/>
      <c r="K69" s="1100">
        <v>4</v>
      </c>
      <c r="L69" s="3532" t="s">
        <v>2157</v>
      </c>
      <c r="M69" s="3533"/>
      <c r="N69" s="1101">
        <f ca="1">C44</f>
        <v>16020</v>
      </c>
      <c r="O69" s="1101"/>
      <c r="P69" s="1101"/>
      <c r="Q69" s="1635"/>
      <c r="R69" s="1635"/>
      <c r="S69" s="1635"/>
      <c r="T69" s="1635"/>
      <c r="U69" s="1635"/>
      <c r="V69" s="1635"/>
    </row>
    <row r="70" spans="1:22" ht="24" customHeight="1">
      <c r="A70" s="333" t="s">
        <v>361</v>
      </c>
      <c r="B70" s="3577" t="s">
        <v>362</v>
      </c>
      <c r="C70" s="3577"/>
      <c r="D70" s="332">
        <f ca="1">ROUND(D63*'数据-取费表'!B41/(1+'数据-取费表'!C42),0)</f>
        <v>839</v>
      </c>
      <c r="E70" s="14" t="s">
        <v>363</v>
      </c>
      <c r="F70" s="334">
        <f>'数据-取费表'!B41</f>
        <v>5.5000000000000007E-2</v>
      </c>
      <c r="G70" s="335"/>
      <c r="H70" s="287"/>
      <c r="I70" s="1098"/>
      <c r="J70" s="1648"/>
      <c r="K70" s="2332"/>
      <c r="L70" s="2333"/>
      <c r="M70" s="2333"/>
      <c r="N70" s="2334" t="s">
        <v>2161</v>
      </c>
      <c r="O70" s="2333"/>
      <c r="P70" s="2335"/>
      <c r="Q70" s="1635"/>
      <c r="R70" s="1635"/>
      <c r="S70" s="1635"/>
      <c r="T70" s="1635"/>
      <c r="U70" s="1635"/>
      <c r="V70" s="1635"/>
    </row>
    <row r="71" spans="1:22" ht="12" customHeight="1">
      <c r="A71" s="333" t="s">
        <v>369</v>
      </c>
      <c r="B71" s="3576" t="s">
        <v>2282</v>
      </c>
      <c r="C71" s="3593"/>
      <c r="D71" s="332">
        <f ca="1">ROUND(D63*'数据-取费表'!B41/(1+'数据-取费表'!C42),0)</f>
        <v>839</v>
      </c>
      <c r="E71" s="14" t="s">
        <v>363</v>
      </c>
      <c r="F71" s="334">
        <f>'数据-取费表'!B41</f>
        <v>5.5000000000000007E-2</v>
      </c>
      <c r="G71" s="335"/>
      <c r="H71" s="287"/>
      <c r="I71" s="1098"/>
      <c r="J71" s="1648"/>
      <c r="K71" s="2331" t="s">
        <v>364</v>
      </c>
      <c r="L71" s="3534" t="s">
        <v>365</v>
      </c>
      <c r="M71" s="3534"/>
      <c r="N71" s="2331" t="s">
        <v>366</v>
      </c>
      <c r="O71" s="2331" t="s">
        <v>367</v>
      </c>
      <c r="P71" s="2331" t="s">
        <v>368</v>
      </c>
      <c r="Q71" s="1635"/>
      <c r="R71" s="1635"/>
      <c r="S71" s="1635"/>
      <c r="T71" s="1635"/>
      <c r="U71" s="1635"/>
      <c r="V71" s="1635"/>
    </row>
    <row r="72" spans="1:22" ht="12" customHeight="1">
      <c r="A72" s="333" t="s">
        <v>371</v>
      </c>
      <c r="B72" s="3576" t="s">
        <v>2283</v>
      </c>
      <c r="C72" s="3593"/>
      <c r="D72" s="332">
        <f ca="1">C86</f>
        <v>839</v>
      </c>
      <c r="E72" s="69" t="s">
        <v>372</v>
      </c>
      <c r="F72" s="334">
        <f>'数据-取费表'!B41</f>
        <v>5.5000000000000007E-2</v>
      </c>
      <c r="G72" s="335"/>
      <c r="H72" s="1104"/>
      <c r="I72" s="1098"/>
      <c r="J72" s="1648"/>
      <c r="K72" s="1631">
        <v>1</v>
      </c>
      <c r="L72" s="3530" t="s">
        <v>370</v>
      </c>
      <c r="M72" s="3530"/>
      <c r="N72" s="1102" t="b">
        <f>D66</f>
        <v>0</v>
      </c>
      <c r="O72" s="1538" t="str">
        <f>E66</f>
        <v>销售额×税（费）率</v>
      </c>
      <c r="P72" s="1103">
        <f>F66</f>
        <v>5.5000000000000007E-2</v>
      </c>
      <c r="Q72" s="1635"/>
      <c r="R72" s="1635"/>
      <c r="S72" s="1635"/>
      <c r="T72" s="1635"/>
      <c r="U72" s="1635"/>
      <c r="V72" s="1635"/>
    </row>
    <row r="73" spans="1:22" ht="24" customHeight="1">
      <c r="A73" s="3564" t="s">
        <v>374</v>
      </c>
      <c r="B73" s="3565"/>
      <c r="C73" s="3565"/>
      <c r="D73" s="336">
        <f ca="1">IF(H73="个人住宅",0,ROUND(D63*I73,0))</f>
        <v>8</v>
      </c>
      <c r="E73" s="14" t="s">
        <v>375</v>
      </c>
      <c r="F73" s="334" t="str">
        <f>IF(H73="正常",I73,"免征")</f>
        <v>免征</v>
      </c>
      <c r="G73" s="335"/>
      <c r="H73" s="174"/>
      <c r="I73" s="334">
        <f>'数据-取费表'!B49</f>
        <v>5.0000000000000001E-4</v>
      </c>
      <c r="J73" s="1648"/>
      <c r="K73" s="1631">
        <v>2</v>
      </c>
      <c r="L73" s="3530" t="s">
        <v>373</v>
      </c>
      <c r="M73" s="3530"/>
      <c r="N73" s="1102">
        <f t="shared" ref="N73:P74" ca="1" si="0">D73</f>
        <v>8</v>
      </c>
      <c r="O73" s="1538" t="str">
        <f t="shared" si="0"/>
        <v>销售额×税（费）率</v>
      </c>
      <c r="P73" s="1103" t="str">
        <f t="shared" si="0"/>
        <v>免征</v>
      </c>
      <c r="Q73" s="1635"/>
      <c r="R73" s="1635"/>
      <c r="S73" s="1635"/>
      <c r="T73" s="1635"/>
      <c r="U73" s="1635"/>
      <c r="V73" s="1635"/>
    </row>
    <row r="74" spans="1:22" ht="25.2">
      <c r="A74" s="3564" t="s">
        <v>377</v>
      </c>
      <c r="B74" s="3565"/>
      <c r="C74" s="3565"/>
      <c r="D74" s="336">
        <f ca="1">IF(H74="个人住宅",D75,D76)</f>
        <v>9082</v>
      </c>
      <c r="E74" s="14" t="s">
        <v>378</v>
      </c>
      <c r="F74" s="334" t="str">
        <f>IF(H74="正常",F76,"免征")</f>
        <v>免征</v>
      </c>
      <c r="G74" s="898" t="s">
        <v>379</v>
      </c>
      <c r="H74" s="337"/>
      <c r="I74" s="38"/>
      <c r="J74" s="1648"/>
      <c r="K74" s="1631">
        <v>3</v>
      </c>
      <c r="L74" s="3530" t="s">
        <v>376</v>
      </c>
      <c r="M74" s="3530"/>
      <c r="N74" s="1102">
        <f t="shared" ca="1" si="0"/>
        <v>9082</v>
      </c>
      <c r="O74" s="1538" t="str">
        <f t="shared" si="0"/>
        <v>增值额×税（费）率</v>
      </c>
      <c r="P74" s="1105" t="str">
        <f t="shared" si="0"/>
        <v>免征</v>
      </c>
      <c r="Q74" s="1635"/>
      <c r="R74" s="1635"/>
      <c r="S74" s="1635"/>
      <c r="T74" s="1635"/>
      <c r="U74" s="1635"/>
      <c r="V74" s="1635"/>
    </row>
    <row r="75" spans="1:22" ht="13.2">
      <c r="A75" s="333" t="s">
        <v>380</v>
      </c>
      <c r="B75" s="3545" t="s">
        <v>381</v>
      </c>
      <c r="C75" s="3546"/>
      <c r="D75" s="338">
        <v>0</v>
      </c>
      <c r="E75" s="37" t="s">
        <v>382</v>
      </c>
      <c r="F75" s="339"/>
      <c r="G75" s="335"/>
      <c r="H75" s="38"/>
      <c r="I75" s="38"/>
      <c r="J75" s="1648"/>
      <c r="K75" s="1631">
        <f>IF(H77="非个人房产","",4)</f>
        <v>4</v>
      </c>
      <c r="L75" s="3530" t="str">
        <f>IF(H77="非个人房产","——","个人所得税")</f>
        <v>个人所得税</v>
      </c>
      <c r="M75" s="3530"/>
      <c r="N75" s="1106">
        <f>D77</f>
        <v>0</v>
      </c>
      <c r="O75" s="1539" t="str">
        <f>E77</f>
        <v>差额计税</v>
      </c>
      <c r="P75" s="1107">
        <f>F77</f>
        <v>0.01</v>
      </c>
      <c r="Q75" s="1635"/>
      <c r="R75" s="1635"/>
      <c r="S75" s="1635"/>
      <c r="T75" s="1635"/>
      <c r="U75" s="1635"/>
      <c r="V75" s="1635"/>
    </row>
    <row r="76" spans="1:22" ht="25.2">
      <c r="A76" s="333" t="s">
        <v>361</v>
      </c>
      <c r="B76" s="3545" t="s">
        <v>384</v>
      </c>
      <c r="C76" s="3587"/>
      <c r="D76" s="336">
        <f ca="1">IF(H76="转让取得",C99,C115)</f>
        <v>9082</v>
      </c>
      <c r="E76" s="14" t="s">
        <v>385</v>
      </c>
      <c r="F76" s="49" t="s">
        <v>15</v>
      </c>
      <c r="G76" s="335"/>
      <c r="H76" s="337"/>
      <c r="I76" s="38"/>
      <c r="J76" s="1648"/>
      <c r="K76" s="1631" t="str">
        <f>IF(项目基本情况!K6="上海银行",IF(K75="",4,K75+1),"")</f>
        <v/>
      </c>
      <c r="L76" s="3541" t="str">
        <f>IF(项目基本情况!K6="上海银行","其他处置费用","")</f>
        <v/>
      </c>
      <c r="M76" s="3542"/>
      <c r="N76" s="1102" t="str">
        <f>IF(项目基本情况!K6="上海银行",N89,"")</f>
        <v/>
      </c>
      <c r="O76" s="3543" t="str">
        <f>IF(项目基本情况!K6="上海银行","包含处置中涉及的律师、诉讼、拍卖、评估等费用","")</f>
        <v/>
      </c>
      <c r="P76" s="3544"/>
      <c r="Q76" s="1635"/>
      <c r="R76" s="1635"/>
      <c r="S76" s="1635"/>
      <c r="T76" s="1635"/>
      <c r="U76" s="1635"/>
      <c r="V76" s="1635"/>
    </row>
    <row r="77" spans="1:22" ht="24.6" thickBot="1">
      <c r="A77" s="3556" t="s">
        <v>387</v>
      </c>
      <c r="B77" s="3557"/>
      <c r="C77" s="3557"/>
      <c r="D77" s="2546">
        <f>IF(H77="非个人房产","——",IF(H77="个人住宅（满五唯一有凭证）",0,IF(H77="个人其他（无凭证）",ROUND(D63*F77,0),ROUND(C84*F77,0))))</f>
        <v>0</v>
      </c>
      <c r="E77" s="2547" t="str">
        <f>IF(H77="非个人房产","——",IF(H77="个人其他（无凭证）","销售额×税（费）率",IF(H77="个人住宅（满五唯一有凭证）","免征","差额计税")))</f>
        <v>差额计税</v>
      </c>
      <c r="F77" s="2548">
        <f>IF(OR(H77="非个人房产",H77="个人住宅（满五唯一有凭证）"),"——",IF(H77="个人其他（有凭证）",20%,1%))</f>
        <v>0.01</v>
      </c>
      <c r="G77" s="899" t="s">
        <v>379</v>
      </c>
      <c r="H77" s="2545"/>
      <c r="I77" s="2544" t="s">
        <v>2260</v>
      </c>
      <c r="J77" s="1648"/>
      <c r="K77" s="3552">
        <f>IF(AND(K75="",K76=""),4,IF(项目基本情况!K6="上海银行",K76+1,K75+1))</f>
        <v>5</v>
      </c>
      <c r="L77" s="3530" t="s">
        <v>2158</v>
      </c>
      <c r="M77" s="2330" t="s">
        <v>383</v>
      </c>
      <c r="N77" s="1108"/>
      <c r="O77" s="1109">
        <f ca="1">SUMIF(N72:N76,"&lt;9e307")</f>
        <v>9090</v>
      </c>
      <c r="P77" s="1110"/>
      <c r="Q77" s="2328">
        <f ca="1">O77/N69</f>
        <v>0.56741573033707871</v>
      </c>
      <c r="R77" s="1635"/>
      <c r="S77" s="1635"/>
      <c r="T77" s="1635"/>
      <c r="U77" s="1635"/>
      <c r="V77" s="1635"/>
    </row>
    <row r="78" spans="1:22" ht="12" customHeight="1">
      <c r="A78" s="1111"/>
      <c r="B78" s="287"/>
      <c r="C78" s="287"/>
      <c r="D78" s="287"/>
      <c r="E78" s="38"/>
      <c r="F78" s="38"/>
      <c r="G78" s="38"/>
      <c r="H78" s="867"/>
      <c r="I78" s="287"/>
      <c r="J78" s="1648"/>
      <c r="K78" s="3552"/>
      <c r="L78" s="3530"/>
      <c r="M78" s="2330" t="s">
        <v>386</v>
      </c>
      <c r="N78" s="1108"/>
      <c r="O78" s="1109" t="str">
        <f ca="1">NUMBERSTRING(INT(O77*10000),2)&amp;"元整"</f>
        <v>玖仟零玖拾万元整</v>
      </c>
      <c r="P78" s="1110"/>
      <c r="Q78" s="1635"/>
      <c r="R78" s="1635"/>
      <c r="S78" s="1635"/>
      <c r="T78" s="1635"/>
      <c r="U78" s="1635"/>
      <c r="V78" s="1635"/>
    </row>
    <row r="79" spans="1:22" ht="13.8" thickBot="1">
      <c r="A79" s="3607" t="s">
        <v>388</v>
      </c>
      <c r="B79" s="3607"/>
      <c r="C79" s="3607"/>
      <c r="D79" s="3607"/>
      <c r="E79" s="3607"/>
      <c r="F79" s="38"/>
      <c r="G79" s="38"/>
      <c r="H79" s="867"/>
      <c r="I79" s="287"/>
      <c r="J79" s="1648"/>
      <c r="K79" s="3528">
        <f>K77+1</f>
        <v>6</v>
      </c>
      <c r="L79" s="3530" t="s">
        <v>2159</v>
      </c>
      <c r="M79" s="2330" t="s">
        <v>383</v>
      </c>
      <c r="N79" s="1108"/>
      <c r="O79" s="1109">
        <f ca="1">N69-O77</f>
        <v>6930</v>
      </c>
      <c r="P79" s="1110"/>
      <c r="Q79" s="1635"/>
      <c r="R79" s="1635"/>
      <c r="S79" s="1635"/>
      <c r="T79" s="1635"/>
      <c r="U79" s="1635"/>
      <c r="V79" s="1635"/>
    </row>
    <row r="80" spans="1:22" ht="26.4">
      <c r="A80" s="3538" t="s">
        <v>389</v>
      </c>
      <c r="B80" s="3539"/>
      <c r="C80" s="908"/>
      <c r="D80" s="908" t="s">
        <v>390</v>
      </c>
      <c r="E80" s="340" t="s">
        <v>391</v>
      </c>
      <c r="F80" s="38"/>
      <c r="G80" s="38"/>
      <c r="H80" s="867"/>
      <c r="I80" s="287"/>
      <c r="J80" s="1635"/>
      <c r="K80" s="3529"/>
      <c r="L80" s="3530"/>
      <c r="M80" s="2330" t="s">
        <v>386</v>
      </c>
      <c r="N80" s="1108"/>
      <c r="O80" s="1109" t="str">
        <f ca="1">NUMBERSTRING(INT(O79*10000),2)&amp;"元整"</f>
        <v>陆仟玖佰叁拾万元整</v>
      </c>
      <c r="P80" s="1110"/>
      <c r="Q80" s="1635"/>
      <c r="R80" s="1635"/>
      <c r="S80" s="1635"/>
      <c r="T80" s="1635"/>
      <c r="U80" s="1635"/>
      <c r="V80" s="1635"/>
    </row>
    <row r="81" spans="1:26" ht="13.8" thickBot="1">
      <c r="A81" s="351" t="s">
        <v>1352</v>
      </c>
      <c r="B81" s="341" t="s">
        <v>392</v>
      </c>
      <c r="C81" s="342">
        <f ca="1">ROUND((C82+C83)/(1+'数据-取费表'!C42),0)</f>
        <v>15257</v>
      </c>
      <c r="D81" s="343"/>
      <c r="E81" s="344"/>
      <c r="F81" s="38"/>
      <c r="G81" s="38"/>
      <c r="H81" s="867"/>
      <c r="I81" s="287"/>
      <c r="J81" s="1635"/>
      <c r="K81" s="1631">
        <f>K79+1</f>
        <v>7</v>
      </c>
      <c r="L81" s="3550" t="s">
        <v>2160</v>
      </c>
      <c r="M81" s="3551"/>
      <c r="N81" s="1112"/>
      <c r="O81" s="1113">
        <f ca="1">ROUND(O79*10000/'数据-汇总表'!E3,0)</f>
        <v>2473</v>
      </c>
      <c r="P81" s="1114"/>
      <c r="Q81" s="1635"/>
      <c r="R81" s="1635"/>
      <c r="S81" s="1635"/>
      <c r="T81" s="1635"/>
      <c r="U81" s="1635"/>
      <c r="V81" s="1635"/>
    </row>
    <row r="82" spans="1:26" ht="13.8" thickTop="1">
      <c r="A82" s="345" t="s">
        <v>1353</v>
      </c>
      <c r="B82" s="346" t="s">
        <v>393</v>
      </c>
      <c r="C82" s="347">
        <f ca="1">D63</f>
        <v>16020</v>
      </c>
      <c r="D82" s="348" t="s">
        <v>13</v>
      </c>
      <c r="E82" s="349"/>
      <c r="F82" s="38"/>
      <c r="G82" s="38"/>
      <c r="H82" s="867"/>
      <c r="I82" s="287"/>
      <c r="J82" s="1635"/>
      <c r="K82" s="1635"/>
      <c r="L82" s="1635"/>
      <c r="M82" s="1635"/>
      <c r="N82" s="1635"/>
      <c r="O82" s="1635"/>
      <c r="P82" s="1635"/>
      <c r="Q82" s="1635"/>
      <c r="R82" s="1635"/>
      <c r="S82" s="1635"/>
      <c r="T82" s="1635"/>
      <c r="U82" s="1635"/>
      <c r="V82" s="1635"/>
    </row>
    <row r="83" spans="1:26" ht="13.2">
      <c r="A83" s="345" t="s">
        <v>1354</v>
      </c>
      <c r="B83" s="346" t="s">
        <v>394</v>
      </c>
      <c r="C83" s="350"/>
      <c r="D83" s="348"/>
      <c r="E83" s="349"/>
      <c r="F83" s="38"/>
      <c r="G83" s="38"/>
      <c r="H83" s="867"/>
      <c r="I83" s="287"/>
      <c r="J83" s="1635"/>
      <c r="K83" s="3540" t="s">
        <v>2148</v>
      </c>
      <c r="L83" s="2336" t="s">
        <v>2149</v>
      </c>
      <c r="M83" s="2326">
        <f ca="1">IF(N69&gt;10000,N69*0.5%,IF(AND(N69&gt;1000,N69&lt;=10000),N69*1%,IF(AND(N69&gt;100,N69&lt;=1000),N69*3%,IF(AND(N69&gt;10,N69&lt;=100),N69*5%,N69*8%))))</f>
        <v>80.100000000000009</v>
      </c>
      <c r="N83" s="49">
        <f ca="1">ROUND(M83,1)</f>
        <v>80.099999999999994</v>
      </c>
      <c r="O83" s="2329"/>
      <c r="P83" s="1635"/>
      <c r="Q83" s="1635"/>
      <c r="R83" s="1635"/>
      <c r="S83" s="1635"/>
      <c r="T83" s="1635"/>
      <c r="U83" s="1635"/>
      <c r="V83" s="1635"/>
    </row>
    <row r="84" spans="1:26" ht="25.2">
      <c r="A84" s="351" t="s">
        <v>1355</v>
      </c>
      <c r="B84" s="352" t="s">
        <v>395</v>
      </c>
      <c r="C84" s="353"/>
      <c r="D84" s="354" t="s">
        <v>13</v>
      </c>
      <c r="E84" s="2351" t="s">
        <v>2203</v>
      </c>
      <c r="F84" s="38"/>
      <c r="G84" s="38"/>
      <c r="H84" s="867"/>
      <c r="I84" s="287"/>
      <c r="J84" s="1635"/>
      <c r="K84" s="3540"/>
      <c r="L84" s="2336" t="s">
        <v>2150</v>
      </c>
      <c r="M84" s="2326">
        <f ca="1">IF(N69&gt;2000,N69*0.5%,IF(AND(N69&gt;1000,N69&lt;=2000),N69*0.6%,IF(AND(N69&gt;500,N69&lt;=1000),N69*0.7%,IF(AND(N69&gt;200,N69&lt;=500),N69*0.8%,IF(AND(N69&gt;100,N69&lt;=200),N69*0.9%,IF(AND(N69&gt;50,N69&lt;=100),N69*1%,IF(AND(N69&gt;20,N69&lt;=50),N69*1.5%,IF(AND(N69&gt;10,N69&lt;=20),N69*2%,IF(AND(N69&gt;1,N69&lt;=10),N69*2.5%)))))))))</f>
        <v>80.100000000000009</v>
      </c>
      <c r="N84" s="49">
        <f ca="1">ROUND(M84,1)</f>
        <v>80.099999999999994</v>
      </c>
      <c r="O84" s="1635" t="s">
        <v>2151</v>
      </c>
      <c r="P84" s="1635"/>
      <c r="Q84" s="1635"/>
      <c r="R84" s="1635"/>
      <c r="S84" s="1635"/>
      <c r="T84" s="1635"/>
      <c r="U84" s="1635"/>
      <c r="V84" s="1635"/>
    </row>
    <row r="85" spans="1:26" ht="13.2">
      <c r="A85" s="351" t="s">
        <v>1356</v>
      </c>
      <c r="B85" s="352" t="s">
        <v>396</v>
      </c>
      <c r="C85" s="355">
        <f ca="1">C81-C84</f>
        <v>15257</v>
      </c>
      <c r="D85" s="348" t="s">
        <v>13</v>
      </c>
      <c r="E85" s="349"/>
      <c r="F85" s="38"/>
      <c r="G85" s="38"/>
      <c r="H85" s="867"/>
      <c r="I85" s="287"/>
      <c r="J85" s="1635"/>
      <c r="K85" s="3540"/>
      <c r="L85" s="2336" t="s">
        <v>2152</v>
      </c>
      <c r="M85" s="2326">
        <f ca="1">IF(N69&gt;1000,N69*0.1%,IF(AND(N69&gt;500,N69&lt;=1000),N69*0.5%,IF(AND(N69&gt;50,N69&lt;=500),N69*1%,IF(AND(N69&gt;1,N69&lt;=50),N69*1.5%))))</f>
        <v>16.02</v>
      </c>
      <c r="N85" s="49">
        <f ca="1">ROUND(M85,1)</f>
        <v>16</v>
      </c>
      <c r="O85" s="1635" t="s">
        <v>2151</v>
      </c>
      <c r="P85" s="1635"/>
      <c r="Q85" s="1635"/>
      <c r="R85" s="1635"/>
      <c r="S85" s="1635"/>
      <c r="T85" s="1635"/>
      <c r="U85" s="1635"/>
      <c r="V85" s="1635"/>
    </row>
    <row r="86" spans="1:26" ht="13.8" thickBot="1">
      <c r="A86" s="356" t="s">
        <v>1357</v>
      </c>
      <c r="B86" s="357" t="s">
        <v>397</v>
      </c>
      <c r="C86" s="358">
        <f ca="1">IF(C85&lt;=0,0,ROUND(C85*D86,0))</f>
        <v>839</v>
      </c>
      <c r="D86" s="359">
        <f>'数据-取费表'!B41</f>
        <v>5.5000000000000007E-2</v>
      </c>
      <c r="E86" s="360"/>
      <c r="F86" s="38"/>
      <c r="G86" s="38"/>
      <c r="H86" s="867"/>
      <c r="I86" s="287"/>
      <c r="J86" s="1635"/>
      <c r="K86" s="3540"/>
      <c r="L86" s="2336" t="s">
        <v>2153</v>
      </c>
      <c r="M86" s="2326">
        <f ca="1">N69*0.5%</f>
        <v>80.100000000000009</v>
      </c>
      <c r="N86" s="49">
        <f ca="1">IF(M86&gt;0.5,0.5,ROUND(M86,0))</f>
        <v>0.5</v>
      </c>
      <c r="O86" s="1635" t="s">
        <v>2154</v>
      </c>
      <c r="P86" s="1635"/>
      <c r="Q86" s="1635"/>
      <c r="R86" s="1635"/>
      <c r="S86" s="1635"/>
      <c r="T86" s="1635"/>
      <c r="U86" s="1635"/>
      <c r="V86" s="1635"/>
    </row>
    <row r="87" spans="1:26" ht="14.25" customHeight="1">
      <c r="A87" s="1115"/>
      <c r="B87" s="1116"/>
      <c r="C87" s="1117"/>
      <c r="D87" s="1118"/>
      <c r="E87" s="1119"/>
      <c r="F87" s="38"/>
      <c r="G87" s="38"/>
      <c r="H87" s="867"/>
      <c r="I87" s="287"/>
      <c r="J87" s="1635"/>
      <c r="K87" s="3540"/>
      <c r="L87" s="2336" t="s">
        <v>2155</v>
      </c>
      <c r="M87" s="2326">
        <f ca="1">IF(N69&gt;=10000,(8.25+(N69-10000)*0.01%),IF(AND(N69&gt;=8000,N69&lt;10000),(7.85+(N69-8000)*0.02%),IF(AND(N69&gt;=5000,N69&lt;8000),(6.65+(N69-5000)*0.04%),IF(AND(N69&gt;=2000,N69&lt;5000),(4.25+(PN69-2000)*0.08%),IF(AND(N69&gt;=1000,N69&lt;2000),(2.75+(N69-1000)*0.15%),IF(AND(N69&gt;=100,N69&lt;1000),(0.5+(N69-100)*0.25%),IF(AND(N69&gt;0,N69&lt;100),N69*0.5%)))))))</f>
        <v>8.8520000000000003</v>
      </c>
      <c r="N87" s="49">
        <f ca="1">ROUND(M87*0.9,1)</f>
        <v>8</v>
      </c>
      <c r="O87" s="2329"/>
      <c r="P87" s="1635"/>
      <c r="Q87" s="1635"/>
      <c r="R87" s="1635"/>
      <c r="S87" s="1635"/>
      <c r="T87" s="1635"/>
      <c r="U87" s="1635"/>
      <c r="V87" s="1635"/>
    </row>
    <row r="88" spans="1:26" s="1008" customFormat="1" ht="14.4" thickBot="1">
      <c r="A88" s="3579" t="s">
        <v>398</v>
      </c>
      <c r="B88" s="3580"/>
      <c r="C88" s="3580"/>
      <c r="D88" s="3580"/>
      <c r="E88" s="3580"/>
      <c r="F88" s="3580"/>
      <c r="G88" s="3580"/>
      <c r="H88" s="3580"/>
      <c r="I88" s="1120"/>
      <c r="J88" s="1649"/>
      <c r="K88" s="3540"/>
      <c r="L88" s="2336" t="s">
        <v>2156</v>
      </c>
      <c r="M88" s="2326">
        <f ca="1">IF(N69&gt;10000,N69*0.5%,IF(AND(N69&gt;5000,N69&lt;=10000),N69*1%,IF(AND(N69&gt;1000,N69&lt;=5000),N69*2%,IF(AND(N69&gt;200,N69&lt;=1000),N69*3%,N69*5%))))</f>
        <v>80.100000000000009</v>
      </c>
      <c r="N88" s="49">
        <f ca="1">ROUND(M88,1)</f>
        <v>80.099999999999994</v>
      </c>
      <c r="O88" s="2329"/>
      <c r="P88" s="1646"/>
      <c r="Q88" s="1646"/>
      <c r="R88" s="1646"/>
      <c r="S88" s="1646"/>
      <c r="T88" s="1646"/>
      <c r="U88" s="1646"/>
      <c r="V88" s="1646"/>
      <c r="W88" s="1650"/>
      <c r="X88" s="1650"/>
      <c r="Y88" s="1650"/>
      <c r="Z88" s="1650"/>
    </row>
    <row r="89" spans="1:26" s="1008" customFormat="1" ht="13.8">
      <c r="A89" s="3538" t="s">
        <v>389</v>
      </c>
      <c r="B89" s="3539"/>
      <c r="C89" s="908"/>
      <c r="D89" s="908" t="s">
        <v>390</v>
      </c>
      <c r="E89" s="361" t="s">
        <v>399</v>
      </c>
      <c r="F89" s="362"/>
      <c r="G89" s="362"/>
      <c r="H89" s="363"/>
      <c r="I89" s="1121"/>
      <c r="J89" s="1651"/>
      <c r="K89" s="3540"/>
      <c r="L89" s="2336" t="s">
        <v>16</v>
      </c>
      <c r="M89" s="2327"/>
      <c r="N89" s="49">
        <f ca="1">ROUND(SUM(N83:N88),0)</f>
        <v>265</v>
      </c>
      <c r="O89" s="2337">
        <f ca="1">N89/N69</f>
        <v>1.6541822721598001E-2</v>
      </c>
      <c r="P89" s="1646"/>
      <c r="Q89" s="1646"/>
      <c r="R89" s="1646"/>
      <c r="S89" s="1646"/>
      <c r="T89" s="1646"/>
      <c r="U89" s="1646"/>
      <c r="V89" s="1646"/>
      <c r="W89" s="1650"/>
      <c r="X89" s="1650"/>
      <c r="Y89" s="1650"/>
      <c r="Z89" s="1650"/>
    </row>
    <row r="90" spans="1:26" s="1008" customFormat="1" ht="13.8">
      <c r="A90" s="351" t="s">
        <v>1352</v>
      </c>
      <c r="B90" s="352" t="s">
        <v>400</v>
      </c>
      <c r="C90" s="355">
        <f ca="1">ROUND(D63/(1+'数据-取费表'!C42),0)</f>
        <v>15257</v>
      </c>
      <c r="D90" s="348" t="s">
        <v>13</v>
      </c>
      <c r="E90" s="906"/>
      <c r="F90" s="905"/>
      <c r="G90" s="905"/>
      <c r="H90" s="364"/>
      <c r="I90" s="1121"/>
      <c r="J90" s="1651"/>
      <c r="K90" s="1646"/>
      <c r="L90" s="1646"/>
      <c r="M90" s="1646"/>
      <c r="N90" s="1646"/>
      <c r="O90" s="1646"/>
      <c r="P90" s="1646"/>
      <c r="Q90" s="1646"/>
      <c r="R90" s="1646"/>
      <c r="S90" s="1646"/>
      <c r="T90" s="1646"/>
      <c r="U90" s="1646"/>
      <c r="V90" s="1646"/>
      <c r="W90" s="1650"/>
      <c r="X90" s="1650"/>
      <c r="Y90" s="1650"/>
      <c r="Z90" s="1650"/>
    </row>
    <row r="91" spans="1:26" s="1008" customFormat="1" ht="13.8">
      <c r="A91" s="351" t="s">
        <v>1358</v>
      </c>
      <c r="B91" s="322" t="s">
        <v>401</v>
      </c>
      <c r="C91" s="355">
        <f ca="1">C92+C96</f>
        <v>76</v>
      </c>
      <c r="D91" s="348" t="s">
        <v>13</v>
      </c>
      <c r="E91" s="906"/>
      <c r="F91" s="905"/>
      <c r="G91" s="905"/>
      <c r="H91" s="364"/>
      <c r="I91" s="1121"/>
      <c r="J91" s="1651"/>
      <c r="K91" s="1646"/>
      <c r="L91" s="1646"/>
      <c r="M91" s="1646"/>
      <c r="N91" s="1646"/>
      <c r="O91" s="1646"/>
      <c r="P91" s="1646"/>
      <c r="Q91" s="1646"/>
      <c r="R91" s="1646"/>
      <c r="S91" s="1646"/>
      <c r="T91" s="1646"/>
      <c r="U91" s="1646"/>
      <c r="V91" s="1646"/>
      <c r="W91" s="1650"/>
      <c r="X91" s="1650"/>
      <c r="Y91" s="1650"/>
      <c r="Z91" s="1650"/>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1"/>
      <c r="K92" s="1646"/>
      <c r="L92" s="1646"/>
      <c r="M92" s="1646"/>
      <c r="N92" s="1646"/>
      <c r="O92" s="1646"/>
      <c r="P92" s="1646"/>
      <c r="Q92" s="1646"/>
      <c r="R92" s="1646"/>
      <c r="S92" s="1646"/>
      <c r="T92" s="1646"/>
      <c r="U92" s="1646"/>
      <c r="V92" s="1646"/>
      <c r="W92" s="1650"/>
      <c r="X92" s="1650"/>
      <c r="Y92" s="1650"/>
      <c r="Z92" s="1650"/>
    </row>
    <row r="93" spans="1:26" s="1008" customFormat="1" ht="14.4">
      <c r="A93" s="365" t="s">
        <v>1360</v>
      </c>
      <c r="B93" s="346" t="s">
        <v>403</v>
      </c>
      <c r="C93" s="366"/>
      <c r="D93" s="348" t="s">
        <v>13</v>
      </c>
      <c r="E93" s="367" t="s">
        <v>404</v>
      </c>
      <c r="F93" s="368"/>
      <c r="G93" s="367" t="s">
        <v>405</v>
      </c>
      <c r="H93" s="369">
        <v>5</v>
      </c>
      <c r="I93" s="9"/>
      <c r="J93" s="1646"/>
      <c r="K93" s="1646"/>
      <c r="L93" s="1646"/>
      <c r="M93" s="1646"/>
      <c r="N93" s="1646"/>
      <c r="O93" s="1646"/>
      <c r="P93" s="1646"/>
      <c r="Q93" s="1646"/>
      <c r="R93" s="1646"/>
      <c r="S93" s="1646"/>
      <c r="T93" s="1646"/>
      <c r="U93" s="1646"/>
      <c r="V93" s="1646"/>
      <c r="W93" s="1650"/>
      <c r="X93" s="1650"/>
      <c r="Y93" s="1650"/>
      <c r="Z93" s="1650"/>
    </row>
    <row r="94" spans="1:26" s="1008" customFormat="1" ht="24.75" customHeight="1">
      <c r="A94" s="365" t="s">
        <v>1361</v>
      </c>
      <c r="B94" s="370" t="s">
        <v>406</v>
      </c>
      <c r="C94" s="348">
        <f>IF(F93="购房发票",ROUND(C93*H93*5%,0),0)</f>
        <v>0</v>
      </c>
      <c r="D94" s="371">
        <v>0.05</v>
      </c>
      <c r="E94" s="3576" t="s">
        <v>407</v>
      </c>
      <c r="F94" s="3577"/>
      <c r="G94" s="3577"/>
      <c r="H94" s="3578"/>
      <c r="I94" s="1121"/>
      <c r="J94" s="1651"/>
      <c r="K94" s="1646"/>
      <c r="L94" s="1646"/>
      <c r="M94" s="1646"/>
      <c r="N94" s="1646"/>
      <c r="O94" s="1646"/>
      <c r="P94" s="1646"/>
      <c r="Q94" s="1646"/>
      <c r="R94" s="1646"/>
      <c r="S94" s="1646"/>
      <c r="T94" s="1646"/>
      <c r="U94" s="1646"/>
      <c r="V94" s="1646"/>
      <c r="W94" s="1650"/>
      <c r="X94" s="1650"/>
      <c r="Y94" s="1650"/>
      <c r="Z94" s="1650"/>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1"/>
      <c r="K95" s="1646"/>
      <c r="L95" s="1646"/>
      <c r="M95" s="1646"/>
      <c r="N95" s="1646"/>
      <c r="O95" s="1646"/>
      <c r="P95" s="1646"/>
      <c r="Q95" s="1646"/>
      <c r="R95" s="1646"/>
      <c r="S95" s="1646"/>
      <c r="T95" s="1646"/>
      <c r="U95" s="1646"/>
      <c r="V95" s="1646"/>
      <c r="W95" s="1650"/>
      <c r="X95" s="1650"/>
      <c r="Y95" s="1650"/>
      <c r="Z95" s="1650"/>
    </row>
    <row r="96" spans="1:26" s="1008" customFormat="1" ht="24.75" customHeight="1">
      <c r="A96" s="365" t="s">
        <v>1363</v>
      </c>
      <c r="B96" s="346" t="s">
        <v>410</v>
      </c>
      <c r="C96" s="375">
        <f ca="1">ROUND(D63*D96/(1+'数据-取费表'!C42),0)</f>
        <v>76</v>
      </c>
      <c r="D96" s="376">
        <f>'数据-取费表'!B43</f>
        <v>5.000000000000001E-3</v>
      </c>
      <c r="E96" s="3535" t="s">
        <v>1780</v>
      </c>
      <c r="F96" s="3536"/>
      <c r="G96" s="3536"/>
      <c r="H96" s="3537"/>
      <c r="I96" s="1122"/>
      <c r="J96" s="1652"/>
      <c r="K96" s="1646"/>
      <c r="L96" s="1646"/>
      <c r="M96" s="1646"/>
      <c r="N96" s="1646"/>
      <c r="O96" s="1646"/>
      <c r="P96" s="1646"/>
      <c r="Q96" s="1646"/>
      <c r="R96" s="1646"/>
      <c r="S96" s="1646"/>
      <c r="T96" s="1646"/>
      <c r="U96" s="1646"/>
      <c r="V96" s="1646"/>
      <c r="W96" s="1650"/>
      <c r="X96" s="1650"/>
      <c r="Y96" s="1650"/>
      <c r="Z96" s="1650"/>
    </row>
    <row r="97" spans="1:26" s="1008" customFormat="1" ht="13.8">
      <c r="A97" s="1338" t="s">
        <v>1364</v>
      </c>
      <c r="B97" s="352" t="s">
        <v>411</v>
      </c>
      <c r="C97" s="355">
        <f ca="1">C90-C91</f>
        <v>15181</v>
      </c>
      <c r="D97" s="348" t="s">
        <v>13</v>
      </c>
      <c r="E97" s="906"/>
      <c r="F97" s="905"/>
      <c r="G97" s="905"/>
      <c r="H97" s="364"/>
      <c r="I97" s="1121"/>
      <c r="J97" s="1651"/>
      <c r="K97" s="1646"/>
      <c r="L97" s="1646"/>
      <c r="M97" s="1646"/>
      <c r="N97" s="1646"/>
      <c r="O97" s="1646"/>
      <c r="P97" s="1646"/>
      <c r="Q97" s="1646"/>
      <c r="R97" s="1646"/>
      <c r="S97" s="1646"/>
      <c r="T97" s="1646"/>
      <c r="U97" s="1646"/>
      <c r="V97" s="1646"/>
      <c r="W97" s="1650"/>
      <c r="X97" s="1650"/>
      <c r="Y97" s="1650"/>
      <c r="Z97" s="1650"/>
    </row>
    <row r="98" spans="1:26" s="1008" customFormat="1" ht="24">
      <c r="A98" s="1338" t="s">
        <v>1365</v>
      </c>
      <c r="B98" s="352" t="s">
        <v>412</v>
      </c>
      <c r="C98" s="377">
        <f ca="1">IF(C97&lt;=0,0,C97/C91)</f>
        <v>199.75</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1"/>
      <c r="K98" s="1646"/>
      <c r="L98" s="1646"/>
      <c r="M98" s="1646"/>
      <c r="N98" s="1646"/>
      <c r="O98" s="1646"/>
      <c r="P98" s="1646"/>
      <c r="Q98" s="1646"/>
      <c r="R98" s="1646"/>
      <c r="S98" s="1646"/>
      <c r="T98" s="1646"/>
      <c r="U98" s="1646"/>
      <c r="V98" s="1646"/>
      <c r="W98" s="1650"/>
      <c r="X98" s="1650"/>
      <c r="Y98" s="1650"/>
      <c r="Z98" s="1650"/>
    </row>
    <row r="99" spans="1:26" s="1008" customFormat="1" ht="24.6" thickBot="1">
      <c r="A99" s="1339" t="s">
        <v>1366</v>
      </c>
      <c r="B99" s="357" t="s">
        <v>413</v>
      </c>
      <c r="C99" s="378">
        <f ca="1">ROUND(IF(C97&lt;=0,0,IF(C98&gt;=200%,C97*60%-C91*35%,IF(C98&gt;=100%,C97*50%-C91*15%,IF(C98&gt;=50%,C97*40%-C91*5%,IF(C98&lt;50%,C97*30%,0))))),0)</f>
        <v>9082</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1"/>
      <c r="K99" s="1646"/>
      <c r="L99" s="1646"/>
      <c r="M99" s="1646"/>
      <c r="N99" s="1646"/>
      <c r="O99" s="1646"/>
      <c r="P99" s="1646"/>
      <c r="Q99" s="1646"/>
      <c r="R99" s="1646"/>
      <c r="S99" s="1646"/>
      <c r="T99" s="1646"/>
      <c r="U99" s="1646"/>
      <c r="V99" s="1646"/>
      <c r="W99" s="1650"/>
      <c r="X99" s="1650"/>
      <c r="Y99" s="1650"/>
      <c r="Z99" s="1650"/>
    </row>
    <row r="100" spans="1:26" s="1008" customFormat="1" ht="7.5" customHeight="1">
      <c r="A100" s="9"/>
      <c r="B100" s="1123"/>
      <c r="C100" s="9"/>
      <c r="D100" s="9"/>
      <c r="E100" s="1123"/>
      <c r="F100" s="1123"/>
      <c r="G100" s="1123"/>
      <c r="H100" s="1124"/>
      <c r="I100" s="1122"/>
      <c r="J100" s="1652"/>
      <c r="K100" s="1646"/>
      <c r="L100" s="1646"/>
      <c r="M100" s="1646"/>
      <c r="N100" s="1646"/>
      <c r="O100" s="1646"/>
      <c r="P100" s="1646"/>
      <c r="Q100" s="1646"/>
      <c r="R100" s="1646"/>
      <c r="S100" s="1646"/>
      <c r="T100" s="1646"/>
      <c r="U100" s="1646"/>
      <c r="V100" s="1646"/>
      <c r="W100" s="1650"/>
      <c r="X100" s="1650"/>
      <c r="Y100" s="1650"/>
      <c r="Z100" s="1650"/>
    </row>
    <row r="101" spans="1:26" s="1008" customFormat="1" ht="14.4" thickBot="1">
      <c r="A101" s="3579" t="s">
        <v>414</v>
      </c>
      <c r="B101" s="3580"/>
      <c r="C101" s="3580"/>
      <c r="D101" s="3580"/>
      <c r="E101" s="3580"/>
      <c r="F101" s="3580"/>
      <c r="G101" s="3580"/>
      <c r="H101" s="3580"/>
      <c r="I101" s="9"/>
      <c r="J101" s="1646"/>
      <c r="K101" s="1646"/>
      <c r="L101" s="1646"/>
      <c r="M101" s="1646"/>
      <c r="N101" s="1646"/>
      <c r="O101" s="1646"/>
      <c r="P101" s="1646"/>
      <c r="Q101" s="1646"/>
      <c r="R101" s="1646"/>
      <c r="S101" s="1646"/>
      <c r="T101" s="1646"/>
      <c r="U101" s="1646"/>
      <c r="V101" s="1646"/>
      <c r="W101" s="1650"/>
      <c r="X101" s="1650"/>
      <c r="Y101" s="1650"/>
      <c r="Z101" s="1650"/>
    </row>
    <row r="102" spans="1:26" s="1008" customFormat="1" ht="13.8">
      <c r="A102" s="3538" t="s">
        <v>389</v>
      </c>
      <c r="B102" s="3539"/>
      <c r="C102" s="908"/>
      <c r="D102" s="908" t="s">
        <v>390</v>
      </c>
      <c r="E102" s="361" t="s">
        <v>399</v>
      </c>
      <c r="F102" s="362"/>
      <c r="G102" s="362"/>
      <c r="H102" s="383"/>
      <c r="I102" s="9"/>
      <c r="J102" s="1646"/>
      <c r="K102" s="1646"/>
      <c r="L102" s="1646"/>
      <c r="M102" s="1646"/>
      <c r="N102" s="1646"/>
      <c r="O102" s="1646"/>
      <c r="P102" s="1646"/>
      <c r="Q102" s="1646"/>
      <c r="R102" s="1646"/>
      <c r="S102" s="1646"/>
      <c r="T102" s="1646"/>
      <c r="U102" s="1646"/>
      <c r="V102" s="1646"/>
      <c r="W102" s="1650"/>
      <c r="X102" s="1650"/>
      <c r="Y102" s="1650"/>
      <c r="Z102" s="1650"/>
    </row>
    <row r="103" spans="1:26" s="1008" customFormat="1" ht="13.8">
      <c r="A103" s="351" t="s">
        <v>1352</v>
      </c>
      <c r="B103" s="352" t="s">
        <v>400</v>
      </c>
      <c r="C103" s="355">
        <f ca="1">ROUND(D63/(1+'数据-取费表'!C42),0)</f>
        <v>15257</v>
      </c>
      <c r="D103" s="348" t="s">
        <v>13</v>
      </c>
      <c r="E103" s="906"/>
      <c r="F103" s="905"/>
      <c r="G103" s="905"/>
      <c r="H103" s="384"/>
      <c r="I103" s="9"/>
      <c r="J103" s="1646"/>
      <c r="K103" s="1646"/>
      <c r="L103" s="1646"/>
      <c r="M103" s="1646"/>
      <c r="N103" s="1646"/>
      <c r="O103" s="1646"/>
      <c r="P103" s="1646"/>
      <c r="Q103" s="1646"/>
      <c r="R103" s="1646"/>
      <c r="S103" s="1646"/>
      <c r="T103" s="1646"/>
      <c r="U103" s="1646"/>
      <c r="V103" s="1646"/>
      <c r="W103" s="1650"/>
      <c r="X103" s="1650"/>
      <c r="Y103" s="1650"/>
      <c r="Z103" s="1650"/>
    </row>
    <row r="104" spans="1:26" s="1008" customFormat="1" ht="13.8">
      <c r="A104" s="351" t="s">
        <v>1358</v>
      </c>
      <c r="B104" s="322" t="s">
        <v>401</v>
      </c>
      <c r="C104" s="355">
        <f ca="1">IF(H106="仅含出让金",C105+C108+C109+C110+C111+C112,C105+C109+C110+C111+C112)</f>
        <v>76</v>
      </c>
      <c r="D104" s="385"/>
      <c r="E104" s="906"/>
      <c r="F104" s="905"/>
      <c r="G104" s="905"/>
      <c r="H104" s="384"/>
      <c r="I104" s="9"/>
      <c r="J104" s="1646"/>
      <c r="K104" s="1646"/>
      <c r="L104" s="1646"/>
      <c r="M104" s="1646"/>
      <c r="N104" s="1646"/>
      <c r="O104" s="1646"/>
      <c r="P104" s="1646"/>
      <c r="Q104" s="1646"/>
      <c r="R104" s="1646"/>
      <c r="S104" s="1646"/>
      <c r="T104" s="1646"/>
      <c r="U104" s="1646"/>
      <c r="V104" s="1646"/>
      <c r="W104" s="1650"/>
      <c r="X104" s="1650"/>
      <c r="Y104" s="1650"/>
      <c r="Z104" s="1650"/>
    </row>
    <row r="105" spans="1:26" s="1008" customFormat="1" ht="13.8">
      <c r="A105" s="365" t="s">
        <v>1359</v>
      </c>
      <c r="B105" s="346" t="s">
        <v>415</v>
      </c>
      <c r="C105" s="375">
        <f>C106+C107</f>
        <v>0</v>
      </c>
      <c r="D105" s="376"/>
      <c r="E105" s="900"/>
      <c r="F105" s="901"/>
      <c r="G105" s="901"/>
      <c r="H105" s="902"/>
      <c r="I105" s="9"/>
      <c r="J105" s="1646"/>
      <c r="K105" s="1646"/>
      <c r="L105" s="1646"/>
      <c r="M105" s="1646"/>
      <c r="N105" s="1646"/>
      <c r="O105" s="1646"/>
      <c r="P105" s="1646"/>
      <c r="Q105" s="1646"/>
      <c r="R105" s="1646"/>
      <c r="S105" s="1646"/>
      <c r="T105" s="1646"/>
      <c r="U105" s="1646"/>
      <c r="V105" s="1646"/>
      <c r="W105" s="1650"/>
      <c r="X105" s="1650"/>
      <c r="Y105" s="1650"/>
      <c r="Z105" s="1650"/>
    </row>
    <row r="106" spans="1:26" s="1008" customFormat="1" ht="14.4">
      <c r="A106" s="365" t="s">
        <v>1360</v>
      </c>
      <c r="B106" s="346" t="s">
        <v>416</v>
      </c>
      <c r="C106" s="386"/>
      <c r="D106" s="376"/>
      <c r="E106" s="387" t="s">
        <v>417</v>
      </c>
      <c r="F106" s="901"/>
      <c r="G106" s="388" t="s">
        <v>418</v>
      </c>
      <c r="H106" s="389"/>
      <c r="I106" s="9"/>
      <c r="J106" s="1646"/>
      <c r="K106" s="2744" t="s">
        <v>2276</v>
      </c>
      <c r="L106" s="1646"/>
      <c r="M106" s="1646"/>
      <c r="N106" s="1646"/>
      <c r="O106" s="1646"/>
      <c r="P106" s="1646"/>
      <c r="Q106" s="1646"/>
      <c r="R106" s="1646"/>
      <c r="S106" s="1646"/>
      <c r="T106" s="1646"/>
      <c r="U106" s="1646"/>
      <c r="V106" s="1646"/>
      <c r="W106" s="1650"/>
      <c r="X106" s="1650"/>
      <c r="Y106" s="1650"/>
      <c r="Z106" s="1650"/>
    </row>
    <row r="107" spans="1:26" s="1008" customFormat="1" ht="13.8">
      <c r="A107" s="365" t="s">
        <v>1361</v>
      </c>
      <c r="B107" s="346" t="s">
        <v>408</v>
      </c>
      <c r="C107" s="375">
        <f>ROUND(C106*D107,0)</f>
        <v>0</v>
      </c>
      <c r="D107" s="376">
        <f>'数据-取费表'!B48+'数据-取费表'!B49</f>
        <v>3.0499999999999999E-2</v>
      </c>
      <c r="E107" s="387" t="s">
        <v>419</v>
      </c>
      <c r="F107" s="901"/>
      <c r="G107" s="901"/>
      <c r="H107" s="902"/>
      <c r="I107" s="9"/>
      <c r="J107" s="1646"/>
      <c r="K107" s="1646"/>
      <c r="L107" s="1646"/>
      <c r="M107" s="1646"/>
      <c r="N107" s="1646"/>
      <c r="O107" s="1646"/>
      <c r="P107" s="1646"/>
      <c r="Q107" s="1646"/>
      <c r="R107" s="1646"/>
      <c r="S107" s="1646"/>
      <c r="T107" s="1646"/>
      <c r="U107" s="1646"/>
      <c r="V107" s="1646"/>
      <c r="W107" s="1650"/>
      <c r="X107" s="1650"/>
      <c r="Y107" s="1650"/>
      <c r="Z107" s="1650"/>
    </row>
    <row r="108" spans="1:26" s="1008" customFormat="1" ht="14.4">
      <c r="A108" s="365" t="s">
        <v>1363</v>
      </c>
      <c r="B108" s="346" t="s">
        <v>420</v>
      </c>
      <c r="C108" s="386"/>
      <c r="D108" s="376"/>
      <c r="E108" s="387" t="str">
        <f>IF(H106="-","土地取得成本中已包含该笔费用"," ")</f>
        <v xml:space="preserve"> </v>
      </c>
      <c r="F108" s="901"/>
      <c r="G108" s="3591" t="s">
        <v>2252</v>
      </c>
      <c r="H108" s="3592"/>
      <c r="I108" s="2416"/>
      <c r="J108" s="1646"/>
      <c r="K108" s="2744" t="s">
        <v>2277</v>
      </c>
      <c r="L108" s="1646"/>
      <c r="M108" s="1646"/>
      <c r="N108" s="1646"/>
      <c r="O108" s="1646"/>
      <c r="P108" s="1646"/>
      <c r="Q108" s="1646"/>
      <c r="R108" s="1646"/>
      <c r="S108" s="1646"/>
      <c r="T108" s="1646"/>
      <c r="U108" s="1646"/>
      <c r="V108" s="1646"/>
      <c r="W108" s="1650"/>
      <c r="X108" s="1650"/>
      <c r="Y108" s="1650"/>
      <c r="Z108" s="1650"/>
    </row>
    <row r="109" spans="1:26" s="1008" customFormat="1" ht="24" customHeight="1">
      <c r="A109" s="1340" t="s">
        <v>1367</v>
      </c>
      <c r="B109" s="346" t="s">
        <v>421</v>
      </c>
      <c r="C109" s="375">
        <f>IF(H109="——",IF(F1="现房",'剩余法-现房'!C18,0),I109)</f>
        <v>0</v>
      </c>
      <c r="D109" s="376"/>
      <c r="E109" s="3569" t="s">
        <v>422</v>
      </c>
      <c r="F109" s="3536"/>
      <c r="G109" s="3536"/>
      <c r="H109" s="1599" t="s">
        <v>877</v>
      </c>
      <c r="I109" s="1600"/>
      <c r="J109" s="1646"/>
      <c r="K109" s="1646"/>
      <c r="L109" s="1646"/>
      <c r="M109" s="1646"/>
      <c r="N109" s="1646"/>
      <c r="O109" s="1646"/>
      <c r="P109" s="1646"/>
      <c r="Q109" s="1646"/>
      <c r="R109" s="1646"/>
      <c r="S109" s="1646"/>
      <c r="T109" s="1646"/>
      <c r="U109" s="1646"/>
      <c r="V109" s="1646"/>
      <c r="W109" s="1650"/>
      <c r="X109" s="1650"/>
      <c r="Y109" s="1650"/>
      <c r="Z109" s="1650"/>
    </row>
    <row r="110" spans="1:26" s="1008" customFormat="1" ht="25.5" customHeight="1">
      <c r="A110" s="1340" t="s">
        <v>1368</v>
      </c>
      <c r="B110" s="346" t="s">
        <v>423</v>
      </c>
      <c r="C110" s="375">
        <f>ROUND((C105+C108+C109)*D110,0)</f>
        <v>0</v>
      </c>
      <c r="D110" s="2774">
        <v>0</v>
      </c>
      <c r="E110" s="3569" t="s">
        <v>424</v>
      </c>
      <c r="F110" s="3536"/>
      <c r="G110" s="3536"/>
      <c r="H110" s="3537"/>
      <c r="I110" s="9"/>
      <c r="J110" s="1646"/>
      <c r="K110" s="2745" t="s">
        <v>2278</v>
      </c>
      <c r="L110" s="1646"/>
      <c r="M110" s="1646"/>
      <c r="N110" s="1646"/>
      <c r="O110" s="1646"/>
      <c r="P110" s="1646"/>
      <c r="Q110" s="1646"/>
      <c r="R110" s="1646"/>
      <c r="S110" s="1646"/>
      <c r="T110" s="1646"/>
      <c r="U110" s="1646"/>
      <c r="V110" s="1646"/>
      <c r="W110" s="1650"/>
      <c r="X110" s="1650"/>
      <c r="Y110" s="1650"/>
      <c r="Z110" s="1650"/>
    </row>
    <row r="111" spans="1:26" s="1008" customFormat="1" ht="25.5" customHeight="1">
      <c r="A111" s="1340" t="s">
        <v>1369</v>
      </c>
      <c r="B111" s="346" t="s">
        <v>410</v>
      </c>
      <c r="C111" s="375">
        <f ca="1">ROUND(D63*D111/(1+'数据-取费表'!C42),0)</f>
        <v>76</v>
      </c>
      <c r="D111" s="376">
        <f>'数据-取费表'!B43</f>
        <v>5.000000000000001E-3</v>
      </c>
      <c r="E111" s="3535" t="s">
        <v>1780</v>
      </c>
      <c r="F111" s="3536"/>
      <c r="G111" s="3536"/>
      <c r="H111" s="3537"/>
      <c r="I111" s="9"/>
      <c r="J111" s="1646"/>
      <c r="K111" s="1646"/>
      <c r="L111" s="1646"/>
      <c r="M111" s="1646"/>
      <c r="N111" s="1646"/>
      <c r="O111" s="1646"/>
      <c r="P111" s="1646"/>
      <c r="Q111" s="1646"/>
      <c r="R111" s="1646"/>
      <c r="S111" s="1646"/>
      <c r="T111" s="1646"/>
      <c r="U111" s="1646"/>
      <c r="V111" s="1646"/>
      <c r="W111" s="1650"/>
      <c r="X111" s="1650"/>
      <c r="Y111" s="1650"/>
      <c r="Z111" s="1650"/>
    </row>
    <row r="112" spans="1:26" s="1008" customFormat="1" ht="25.5" customHeight="1">
      <c r="A112" s="1340" t="s">
        <v>1370</v>
      </c>
      <c r="B112" s="346" t="s">
        <v>425</v>
      </c>
      <c r="C112" s="375">
        <f>ROUND(C108*D112,0)</f>
        <v>0</v>
      </c>
      <c r="D112" s="376">
        <v>0.2</v>
      </c>
      <c r="E112" s="3569" t="s">
        <v>1799</v>
      </c>
      <c r="F112" s="3536"/>
      <c r="G112" s="3536"/>
      <c r="H112" s="3537"/>
      <c r="I112" s="9"/>
      <c r="J112" s="1646"/>
      <c r="K112" s="1646"/>
      <c r="L112" s="1646"/>
      <c r="M112" s="1646"/>
      <c r="N112" s="1646"/>
      <c r="O112" s="1646"/>
      <c r="P112" s="1646"/>
      <c r="Q112" s="1646"/>
      <c r="R112" s="1646"/>
      <c r="S112" s="1646"/>
      <c r="T112" s="1646"/>
      <c r="U112" s="1646"/>
      <c r="V112" s="1646"/>
      <c r="W112" s="1650"/>
      <c r="X112" s="1650"/>
      <c r="Y112" s="1650"/>
      <c r="Z112" s="1650"/>
    </row>
    <row r="113" spans="1:26" s="1008" customFormat="1" ht="13.8">
      <c r="A113" s="1338" t="s">
        <v>1364</v>
      </c>
      <c r="B113" s="352" t="s">
        <v>411</v>
      </c>
      <c r="C113" s="355">
        <f ca="1">ROUND(C103-C104,0)</f>
        <v>15181</v>
      </c>
      <c r="D113" s="348" t="s">
        <v>13</v>
      </c>
      <c r="E113" s="906"/>
      <c r="F113" s="905"/>
      <c r="G113" s="905"/>
      <c r="H113" s="384"/>
      <c r="I113" s="9"/>
      <c r="J113" s="1646"/>
      <c r="K113" s="1646"/>
      <c r="L113" s="1646"/>
      <c r="M113" s="1646"/>
      <c r="N113" s="1646"/>
      <c r="O113" s="1646"/>
      <c r="P113" s="1646"/>
      <c r="Q113" s="1646"/>
      <c r="R113" s="1646"/>
      <c r="S113" s="1646"/>
      <c r="T113" s="1646"/>
      <c r="U113" s="1646"/>
      <c r="V113" s="1646"/>
      <c r="W113" s="1650"/>
      <c r="X113" s="1650"/>
      <c r="Y113" s="1650"/>
      <c r="Z113" s="1650"/>
    </row>
    <row r="114" spans="1:26" s="1008" customFormat="1" ht="24">
      <c r="A114" s="1338" t="s">
        <v>1365</v>
      </c>
      <c r="B114" s="352" t="s">
        <v>412</v>
      </c>
      <c r="C114" s="377">
        <f ca="1">IF(C113&lt;=0,0,C113/C104)</f>
        <v>199.75</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6"/>
      <c r="K114" s="1646"/>
      <c r="L114" s="1646"/>
      <c r="M114" s="1646"/>
      <c r="N114" s="1646"/>
      <c r="O114" s="1646"/>
      <c r="P114" s="1646"/>
      <c r="Q114" s="1646"/>
      <c r="R114" s="1646"/>
      <c r="S114" s="1646"/>
      <c r="T114" s="1646"/>
      <c r="U114" s="1646"/>
      <c r="V114" s="1646"/>
      <c r="W114" s="1650"/>
      <c r="X114" s="1650"/>
      <c r="Y114" s="1650"/>
      <c r="Z114" s="1650"/>
    </row>
    <row r="115" spans="1:26" s="1008" customFormat="1" ht="24.6" thickBot="1">
      <c r="A115" s="1339" t="s">
        <v>1366</v>
      </c>
      <c r="B115" s="357" t="s">
        <v>413</v>
      </c>
      <c r="C115" s="378">
        <f ca="1">ROUND(IF(C113&lt;=0,0,IF(C114&gt;=200%,C113*60%-C104*35%,IF(C114&gt;=100%,C113*50%-C104*15%,IF(C114&gt;=50%,C113*40%-C104*5%,IF(C114&lt;50%,C113*30%,0))))),0)</f>
        <v>9082</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7" customFormat="1" ht="21.75" customHeight="1">
      <c r="K185" s="1653"/>
      <c r="L185" s="1653"/>
      <c r="M185" s="1653"/>
      <c r="N185" s="1653"/>
      <c r="O185" s="1653"/>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O19" sqref="O19"/>
    </sheetView>
  </sheetViews>
  <sheetFormatPr defaultColWidth="6.6640625" defaultRowHeight="13.2"/>
  <cols>
    <col min="1" max="1" width="9.77734375" style="1731" customWidth="1"/>
    <col min="2" max="2" width="25.77734375" style="1721" customWidth="1"/>
    <col min="3" max="3" width="10.33203125" style="1732" customWidth="1"/>
    <col min="4" max="4" width="12" style="1721" customWidth="1"/>
    <col min="5" max="5" width="9.44140625" style="1731" customWidth="1"/>
    <col min="6" max="6" width="10.109375" style="1721" customWidth="1"/>
    <col min="7" max="7" width="11.6640625" style="1721" customWidth="1"/>
    <col min="8" max="8" width="10" style="1721" customWidth="1"/>
    <col min="9" max="11" width="9.44140625" style="1721" customWidth="1"/>
    <col min="12" max="12" width="9" style="1722" customWidth="1"/>
    <col min="13" max="13" width="10.44140625" style="1722" bestFit="1" customWidth="1"/>
    <col min="14" max="26" width="9" style="1722" customWidth="1"/>
    <col min="27" max="254" width="9" style="1721" customWidth="1"/>
    <col min="255" max="16384" width="6.6640625" style="1721"/>
  </cols>
  <sheetData>
    <row r="1" spans="1:31" s="1653" customFormat="1" ht="21">
      <c r="A1" s="1710" t="s">
        <v>426</v>
      </c>
      <c r="B1" s="2118"/>
      <c r="C1" s="1711"/>
      <c r="D1" s="1711"/>
      <c r="E1" s="1711"/>
      <c r="F1" s="1711"/>
      <c r="G1" s="1711"/>
      <c r="H1" s="1711"/>
      <c r="I1" s="1711"/>
      <c r="J1" s="1711"/>
      <c r="K1" s="392">
        <f>MATCH(B1,'数据-取费表'!A6:A16,0)+5</f>
        <v>8</v>
      </c>
      <c r="L1" s="237"/>
      <c r="M1" s="237"/>
      <c r="N1" s="237"/>
      <c r="O1" s="237"/>
      <c r="P1" s="237"/>
      <c r="Q1" s="237"/>
      <c r="R1" s="237"/>
      <c r="S1" s="237"/>
      <c r="T1" s="237"/>
      <c r="U1" s="237"/>
      <c r="V1" s="237"/>
      <c r="W1" s="237"/>
      <c r="X1" s="237"/>
      <c r="Y1" s="237"/>
      <c r="Z1" s="237"/>
    </row>
    <row r="2" spans="1:31" s="1653" customFormat="1" ht="18" customHeight="1">
      <c r="A2" s="1708" t="s">
        <v>427</v>
      </c>
      <c r="B2" s="1712">
        <f ca="1">C36</f>
        <v>15912</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31" s="1653" customFormat="1" ht="18" customHeight="1">
      <c r="A3" s="1713" t="s">
        <v>1217</v>
      </c>
      <c r="B3" s="1714">
        <f ca="1">ROUND(B2*10000/IF(B1="",'数据-汇总表'!E3,INDIRECT("'数据-取费表'!K"&amp;$K$1)),0)</f>
        <v>5678</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31" s="1653" customFormat="1" ht="18" customHeight="1">
      <c r="A4" s="396" t="s">
        <v>428</v>
      </c>
      <c r="B4" s="397">
        <f ca="1">ROUND(B2*10000/IF(B1="",'数据-汇总表'!D3,INDIRECT("'数据-取费表'!R"&amp;$K$1)),0)</f>
        <v>7382</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3" customFormat="1" ht="18" customHeight="1" thickBot="1">
      <c r="A5" s="399"/>
      <c r="B5" s="400">
        <f ca="1">ROUND(B2/(IF(B1="",'数据-汇总表'!D3,INDIRECT("'数据-取费表'!R"&amp;$K$1))/666.67),0)</f>
        <v>492</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8" customFormat="1" ht="16.5" customHeight="1">
      <c r="A6" s="2133" t="s">
        <v>1371</v>
      </c>
      <c r="B6" s="2134"/>
      <c r="C6" s="2135">
        <f ca="1">SUM(C10:K10)</f>
        <v>29585</v>
      </c>
      <c r="D6" s="2134"/>
      <c r="E6" s="2134"/>
      <c r="F6" s="2134"/>
      <c r="G6" s="2134"/>
      <c r="H6" s="2134"/>
      <c r="I6" s="2134"/>
      <c r="J6" s="2134"/>
      <c r="K6" s="2136"/>
      <c r="L6" s="2704"/>
      <c r="M6" s="2704"/>
      <c r="N6" s="2704"/>
      <c r="O6" s="2704"/>
      <c r="P6" s="2704"/>
      <c r="Q6" s="2704"/>
      <c r="R6" s="2704"/>
      <c r="S6" s="2704"/>
      <c r="T6" s="2704"/>
      <c r="U6" s="2704"/>
      <c r="V6" s="2704"/>
      <c r="W6" s="2704"/>
      <c r="X6" s="2704"/>
      <c r="Y6" s="2704"/>
      <c r="Z6" s="2704"/>
    </row>
    <row r="7" spans="1:31" s="1720" customFormat="1" ht="14.4">
      <c r="A7" s="2137" t="s">
        <v>430</v>
      </c>
      <c r="B7" s="2138" t="s">
        <v>431</v>
      </c>
      <c r="C7" s="406" t="s">
        <v>851</v>
      </c>
      <c r="D7" s="406" t="s">
        <v>2738</v>
      </c>
      <c r="E7" s="406"/>
      <c r="F7" s="406"/>
      <c r="G7" s="406"/>
      <c r="H7" s="406"/>
      <c r="I7" s="406"/>
      <c r="J7" s="406"/>
      <c r="K7" s="407"/>
      <c r="AA7" s="1719"/>
      <c r="AB7" s="1719"/>
      <c r="AC7" s="1719"/>
      <c r="AD7" s="1719"/>
      <c r="AE7" s="1719"/>
    </row>
    <row r="8" spans="1:31" s="1722" customFormat="1" ht="13.5" customHeight="1">
      <c r="A8" s="738" t="s">
        <v>1374</v>
      </c>
      <c r="B8" s="241" t="s">
        <v>432</v>
      </c>
      <c r="C8" s="2139">
        <f>'不动产比较法-住宅'!C48</f>
        <v>10616</v>
      </c>
      <c r="D8" s="2139">
        <f>'数据-汇总表'!E20</f>
        <v>1120.8800000000001</v>
      </c>
      <c r="E8" s="2139"/>
      <c r="F8" s="2139"/>
      <c r="G8" s="2139"/>
      <c r="H8" s="2139"/>
      <c r="I8" s="2139"/>
      <c r="J8" s="2139"/>
      <c r="K8" s="2140"/>
      <c r="AA8" s="1721"/>
      <c r="AB8" s="1721"/>
      <c r="AC8" s="1721"/>
      <c r="AD8" s="1721"/>
      <c r="AE8" s="1721"/>
    </row>
    <row r="9" spans="1:31" s="1722" customFormat="1" ht="13.5" customHeight="1">
      <c r="A9" s="738" t="s">
        <v>1375</v>
      </c>
      <c r="B9" s="241" t="s">
        <v>433</v>
      </c>
      <c r="C9" s="411">
        <f>SUMIF('数据-汇总表'!$C19:$C33,'剩余法-待开发'!C7,'数据-汇总表'!$E19:$E33)</f>
        <v>26901.119999999999</v>
      </c>
      <c r="D9" s="411">
        <f>SUMIF('数据-汇总表'!$C19:$C33,'剩余法-待开发'!D7,'数据-汇总表'!$E19:$E33)</f>
        <v>1120.8800000000001</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1"/>
      <c r="AB9" s="1721"/>
      <c r="AC9" s="1721"/>
      <c r="AD9" s="1721"/>
      <c r="AE9" s="1721"/>
    </row>
    <row r="10" spans="1:31" s="1722" customFormat="1" ht="13.5" customHeight="1" thickBot="1">
      <c r="A10" s="2141" t="s">
        <v>1376</v>
      </c>
      <c r="B10" s="2127" t="s">
        <v>434</v>
      </c>
      <c r="C10" s="2314">
        <f>ROUND(C8*C9/10000,0)</f>
        <v>28558</v>
      </c>
      <c r="D10" s="2314">
        <f ca="1">不动产收益法!B2</f>
        <v>1027</v>
      </c>
      <c r="E10" s="2314"/>
      <c r="F10" s="2142"/>
      <c r="G10" s="2142"/>
      <c r="H10" s="2142"/>
      <c r="I10" s="2142"/>
      <c r="J10" s="2142"/>
      <c r="K10" s="2143"/>
      <c r="AA10" s="1721"/>
      <c r="AB10" s="1721"/>
      <c r="AC10" s="1721"/>
      <c r="AD10" s="1721"/>
      <c r="AE10" s="1721"/>
    </row>
    <row r="11" spans="1:31" s="1718" customFormat="1" ht="16.5" customHeight="1">
      <c r="A11" s="2144" t="s">
        <v>1372</v>
      </c>
      <c r="B11" s="2134"/>
      <c r="C11" s="2134"/>
      <c r="D11" s="2134"/>
      <c r="E11" s="2134"/>
      <c r="F11" s="2134"/>
      <c r="G11" s="2134"/>
      <c r="H11" s="2134"/>
      <c r="I11" s="2134"/>
      <c r="J11" s="2134"/>
      <c r="K11" s="2136"/>
      <c r="L11" s="2704"/>
      <c r="M11" s="2704"/>
      <c r="N11" s="2704"/>
      <c r="O11" s="2704"/>
      <c r="P11" s="2704"/>
      <c r="Q11" s="2704"/>
      <c r="R11" s="2704"/>
      <c r="S11" s="2704"/>
      <c r="T11" s="2704"/>
      <c r="U11" s="2704"/>
      <c r="V11" s="2704"/>
      <c r="W11" s="2704"/>
      <c r="X11" s="2704"/>
      <c r="Y11" s="2704"/>
      <c r="Z11" s="2704"/>
    </row>
    <row r="12" spans="1:31" s="1694" customFormat="1" ht="13.5" customHeight="1">
      <c r="A12" s="2145" t="s">
        <v>430</v>
      </c>
      <c r="B12" s="2121" t="s">
        <v>431</v>
      </c>
      <c r="C12" s="2146" t="s">
        <v>435</v>
      </c>
      <c r="D12" s="1630" t="s">
        <v>436</v>
      </c>
      <c r="E12" s="1630" t="s">
        <v>437</v>
      </c>
      <c r="F12" s="1630" t="s">
        <v>438</v>
      </c>
      <c r="G12" s="2121"/>
      <c r="H12" s="2122"/>
      <c r="I12" s="2122"/>
      <c r="J12" s="2122"/>
      <c r="K12" s="2123"/>
      <c r="L12" s="2705"/>
      <c r="M12" s="2705"/>
      <c r="N12" s="2705"/>
      <c r="O12" s="2705"/>
      <c r="P12" s="2705"/>
      <c r="Q12" s="2705"/>
      <c r="R12" s="2705"/>
      <c r="S12" s="2705"/>
      <c r="T12" s="2705"/>
      <c r="U12" s="2705"/>
      <c r="V12" s="2705"/>
      <c r="W12" s="2705"/>
      <c r="X12" s="2705"/>
      <c r="Y12" s="2705"/>
      <c r="Z12" s="2705"/>
    </row>
    <row r="13" spans="1:31" s="1723" customFormat="1" ht="13.5" customHeight="1">
      <c r="A13" s="2147" t="s">
        <v>1377</v>
      </c>
      <c r="B13" s="2148" t="s">
        <v>439</v>
      </c>
      <c r="C13" s="419">
        <f ca="1">IF(B1="",'数据-取费表'!P16,INDIRECT("'数据-取费表'!p"&amp;$K$1)+INDIRECT("'数据-取费表'!t"&amp;$K$1))</f>
        <v>5604</v>
      </c>
      <c r="D13" s="2149"/>
      <c r="E13" s="339"/>
      <c r="F13" s="2150"/>
      <c r="G13" s="2121"/>
      <c r="H13" s="2122"/>
      <c r="I13" s="2122"/>
      <c r="J13" s="2122"/>
      <c r="K13" s="2123"/>
      <c r="L13" s="1724"/>
      <c r="M13" s="1724"/>
      <c r="N13" s="1724"/>
      <c r="O13" s="1724"/>
      <c r="P13" s="1724"/>
      <c r="Q13" s="1724"/>
      <c r="R13" s="1724"/>
      <c r="S13" s="1724"/>
      <c r="T13" s="1724"/>
      <c r="U13" s="1724"/>
      <c r="V13" s="1724"/>
      <c r="W13" s="1724"/>
      <c r="X13" s="1724"/>
      <c r="Y13" s="1724"/>
      <c r="Z13" s="1724"/>
    </row>
    <row r="14" spans="1:31" s="1723" customFormat="1" ht="13.5" customHeight="1">
      <c r="A14" s="2147" t="s">
        <v>1378</v>
      </c>
      <c r="B14" s="2148" t="s">
        <v>440</v>
      </c>
      <c r="C14" s="49">
        <f ca="1">ROUND(C13*F14,0)</f>
        <v>168</v>
      </c>
      <c r="D14" s="2149"/>
      <c r="E14" s="339"/>
      <c r="F14" s="2153">
        <f>'数据-取费表'!B33</f>
        <v>0.03</v>
      </c>
      <c r="G14" s="2121" t="s">
        <v>441</v>
      </c>
      <c r="H14" s="2122"/>
      <c r="I14" s="2122"/>
      <c r="J14" s="2122"/>
      <c r="K14" s="2123"/>
      <c r="L14" s="1724"/>
      <c r="M14" s="1724"/>
      <c r="N14" s="1724"/>
      <c r="O14" s="1724"/>
      <c r="P14" s="1724"/>
      <c r="Q14" s="1724"/>
      <c r="R14" s="1724"/>
      <c r="S14" s="1724"/>
      <c r="T14" s="1724"/>
      <c r="U14" s="1724"/>
      <c r="V14" s="1724"/>
      <c r="W14" s="1724"/>
      <c r="X14" s="1724"/>
      <c r="Y14" s="1724"/>
      <c r="Z14" s="1724"/>
    </row>
    <row r="15" spans="1:31" s="1723" customFormat="1" ht="13.5" customHeight="1">
      <c r="A15" s="2147" t="s">
        <v>1379</v>
      </c>
      <c r="B15" s="2148" t="s">
        <v>442</v>
      </c>
      <c r="C15" s="49">
        <f ca="1">ROUND(IF(B1="",SUMIF('数据-取费表'!C:C,"住宅",'数据-取费表'!P:P)*F15,IF(INDIRECT("'数据-取费表'!c"&amp;$K$1)="住宅",INDIRECT("'数据-取费表'!P"&amp;$K$1)*F15,0)),0)</f>
        <v>269</v>
      </c>
      <c r="D15" s="2149"/>
      <c r="E15" s="339"/>
      <c r="F15" s="2153">
        <f>'数据-取费表'!B34</f>
        <v>0.05</v>
      </c>
      <c r="G15" s="2121" t="s">
        <v>443</v>
      </c>
      <c r="H15" s="2122"/>
      <c r="I15" s="2122"/>
      <c r="J15" s="2122"/>
      <c r="K15" s="2123"/>
      <c r="L15" s="1724"/>
      <c r="M15" s="1724"/>
      <c r="N15" s="1724"/>
      <c r="O15" s="1724"/>
      <c r="P15" s="1724"/>
      <c r="Q15" s="1724"/>
      <c r="R15" s="1724"/>
      <c r="S15" s="1724"/>
      <c r="T15" s="1724"/>
      <c r="U15" s="1724"/>
      <c r="V15" s="1724"/>
      <c r="W15" s="1724"/>
      <c r="X15" s="1724"/>
      <c r="Y15" s="1724"/>
      <c r="Z15" s="1724"/>
    </row>
    <row r="16" spans="1:31" s="1724" customFormat="1" ht="13.5" customHeight="1">
      <c r="A16" s="2147" t="s">
        <v>1380</v>
      </c>
      <c r="B16" s="2148" t="s">
        <v>444</v>
      </c>
      <c r="C16" s="49">
        <f ca="1">ROUND(D16*E16/10000,0)</f>
        <v>560</v>
      </c>
      <c r="D16" s="2149">
        <f ca="1">IF(B1="",'数据-汇总表'!E3,INDIRECT("'数据-取费表'!K"&amp;$K$1)+INDIRECT("'数据-取费表'!S"&amp;$K$1))</f>
        <v>28022</v>
      </c>
      <c r="E16" s="49">
        <f>'数据-取费表'!B35</f>
        <v>200</v>
      </c>
      <c r="F16" s="2151"/>
      <c r="G16" s="2121"/>
      <c r="H16" s="2122"/>
      <c r="I16" s="2122"/>
      <c r="J16" s="2122"/>
      <c r="K16" s="2123"/>
      <c r="AA16" s="1723"/>
      <c r="AB16" s="1723"/>
      <c r="AC16" s="1723"/>
      <c r="AD16" s="1723"/>
      <c r="AE16" s="1723"/>
    </row>
    <row r="17" spans="1:26" s="1723" customFormat="1" ht="13.5" customHeight="1">
      <c r="A17" s="2147" t="s">
        <v>1381</v>
      </c>
      <c r="B17" s="2148" t="s">
        <v>445</v>
      </c>
      <c r="C17" s="2152">
        <f ca="1">ROUND(C13*F17,0)</f>
        <v>112</v>
      </c>
      <c r="D17" s="444"/>
      <c r="E17" s="2152"/>
      <c r="F17" s="2153">
        <f>'数据-取费表'!B36</f>
        <v>0.02</v>
      </c>
      <c r="G17" s="241" t="s">
        <v>446</v>
      </c>
      <c r="H17" s="1061"/>
      <c r="I17" s="1061"/>
      <c r="J17" s="1061"/>
      <c r="K17" s="258"/>
      <c r="L17" s="1724"/>
      <c r="M17" s="1724"/>
      <c r="N17" s="1724"/>
      <c r="O17" s="1724"/>
      <c r="P17" s="1724"/>
      <c r="Q17" s="1724"/>
      <c r="R17" s="1724"/>
      <c r="S17" s="1724"/>
      <c r="T17" s="1724"/>
      <c r="U17" s="1724"/>
      <c r="V17" s="1724"/>
      <c r="W17" s="1724"/>
      <c r="X17" s="1724"/>
      <c r="Y17" s="1724"/>
      <c r="Z17" s="1724"/>
    </row>
    <row r="18" spans="1:26" s="1723" customFormat="1" ht="13.5" customHeight="1">
      <c r="A18" s="2154" t="s">
        <v>1382</v>
      </c>
      <c r="B18" s="2155" t="s">
        <v>447</v>
      </c>
      <c r="C18" s="2156">
        <f ca="1">SUM(C13:C17)</f>
        <v>6713</v>
      </c>
      <c r="D18" s="2157"/>
      <c r="E18" s="437"/>
      <c r="F18" s="437"/>
      <c r="G18" s="1042" t="s">
        <v>1781</v>
      </c>
      <c r="H18" s="1043"/>
      <c r="I18" s="1043"/>
      <c r="J18" s="1043"/>
      <c r="K18" s="130"/>
      <c r="L18" s="1724"/>
      <c r="M18" s="1724"/>
      <c r="N18" s="1724"/>
      <c r="O18" s="1724"/>
      <c r="P18" s="1724"/>
      <c r="Q18" s="1724"/>
      <c r="R18" s="1724"/>
      <c r="S18" s="1724"/>
      <c r="T18" s="1724"/>
      <c r="U18" s="1724"/>
      <c r="V18" s="1724"/>
      <c r="W18" s="1724"/>
      <c r="X18" s="1724"/>
      <c r="Y18" s="1724"/>
      <c r="Z18" s="1724"/>
    </row>
    <row r="19" spans="1:26" s="1723" customFormat="1" ht="13.5" customHeight="1">
      <c r="A19" s="2154" t="s">
        <v>1383</v>
      </c>
      <c r="B19" s="2155" t="s">
        <v>448</v>
      </c>
      <c r="C19" s="1630">
        <f ca="1">ROUND(D19*E19/10000,0)</f>
        <v>280</v>
      </c>
      <c r="D19" s="2158">
        <f ca="1">D16</f>
        <v>28022</v>
      </c>
      <c r="E19" s="1630">
        <f>'数据-取费表'!B32</f>
        <v>100</v>
      </c>
      <c r="F19" s="437"/>
      <c r="G19" s="2121" t="s">
        <v>449</v>
      </c>
      <c r="H19" s="2122"/>
      <c r="I19" s="1043"/>
      <c r="J19" s="1043"/>
      <c r="K19" s="130"/>
      <c r="L19" s="1724"/>
      <c r="M19" s="1724"/>
      <c r="N19" s="1724"/>
      <c r="O19" s="1724"/>
      <c r="P19" s="1724"/>
      <c r="Q19" s="1724"/>
      <c r="R19" s="1724"/>
      <c r="S19" s="1724"/>
      <c r="T19" s="1724"/>
      <c r="U19" s="1724"/>
      <c r="V19" s="1724"/>
      <c r="W19" s="1724"/>
      <c r="X19" s="1724"/>
      <c r="Y19" s="1724"/>
      <c r="Z19" s="1724"/>
    </row>
    <row r="20" spans="1:26" s="1723" customFormat="1" ht="13.5" customHeight="1">
      <c r="A20" s="2154" t="s">
        <v>1384</v>
      </c>
      <c r="B20" s="2155" t="s">
        <v>450</v>
      </c>
      <c r="C20" s="1630">
        <f ca="1">C21+C22-IF(B1="",'数据-取费表'!B29,IF(G20="已全部缴纳",C21+C22,H20))</f>
        <v>294</v>
      </c>
      <c r="D20" s="2158"/>
      <c r="E20" s="1630"/>
      <c r="F20" s="2159"/>
      <c r="G20" s="2343"/>
      <c r="H20" s="2119"/>
      <c r="I20" s="2120" t="s">
        <v>1933</v>
      </c>
      <c r="J20" s="1043"/>
      <c r="K20" s="130"/>
      <c r="L20" s="1724"/>
      <c r="M20" s="1724"/>
      <c r="N20" s="1724"/>
      <c r="O20" s="1724"/>
      <c r="P20" s="1724"/>
      <c r="Q20" s="1724"/>
      <c r="R20" s="1724"/>
      <c r="S20" s="1724"/>
      <c r="T20" s="1724"/>
      <c r="U20" s="1724"/>
      <c r="V20" s="1724"/>
      <c r="W20" s="1724"/>
      <c r="X20" s="1724"/>
      <c r="Y20" s="1724"/>
      <c r="Z20" s="1724"/>
    </row>
    <row r="21" spans="1:26" s="1723" customFormat="1" ht="13.5" customHeight="1">
      <c r="A21" s="2147" t="s">
        <v>1385</v>
      </c>
      <c r="B21" s="2148" t="s">
        <v>451</v>
      </c>
      <c r="C21" s="49">
        <f ca="1">ROUND(D21*E21/10000,0)</f>
        <v>282</v>
      </c>
      <c r="D21" s="2149">
        <f ca="1">IF(B1="",'数据-汇总表'!E5,IF(INDIRECT("'数据-取费表'!c"&amp;$K$1)="住宅",INDIRECT("'数据-取费表'!k"&amp;$K$1),0))</f>
        <v>26901.119999999999</v>
      </c>
      <c r="E21" s="49">
        <f>'数据-取费表'!B27</f>
        <v>105</v>
      </c>
      <c r="F21" s="2151"/>
      <c r="G21" s="22"/>
      <c r="H21" s="47"/>
      <c r="I21" s="47"/>
      <c r="J21" s="47"/>
      <c r="K21" s="2124"/>
      <c r="L21" s="1724"/>
      <c r="M21" s="1724"/>
      <c r="N21" s="1724"/>
      <c r="O21" s="1724"/>
      <c r="P21" s="1724"/>
      <c r="Q21" s="1724"/>
      <c r="R21" s="1724"/>
      <c r="S21" s="1724"/>
      <c r="T21" s="1724"/>
      <c r="U21" s="1724"/>
      <c r="V21" s="1724"/>
      <c r="W21" s="1724"/>
      <c r="X21" s="1724"/>
      <c r="Y21" s="1724"/>
      <c r="Z21" s="1724"/>
    </row>
    <row r="22" spans="1:26" s="1723" customFormat="1" ht="13.5" customHeight="1">
      <c r="A22" s="2147" t="s">
        <v>1386</v>
      </c>
      <c r="B22" s="2148" t="s">
        <v>452</v>
      </c>
      <c r="C22" s="49">
        <f ca="1">ROUND(D22*E22/10000,0)</f>
        <v>12</v>
      </c>
      <c r="D22" s="2149">
        <f ca="1">IF(B1="",'数据-汇总表'!E6,IF(INDIRECT("'数据-取费表'!c"&amp;$K$1)="住宅",INDIRECT("'数据-取费表'!s"&amp;$K$1),INDIRECT("'数据-取费表'!k"&amp;$K$1)+INDIRECT("'数据-取费表'!s"&amp;$K$1)))</f>
        <v>1120.880000000001</v>
      </c>
      <c r="E22" s="49">
        <f>'数据-取费表'!B28</f>
        <v>105</v>
      </c>
      <c r="F22" s="2151"/>
      <c r="G22" s="22"/>
      <c r="H22" s="47"/>
      <c r="I22" s="47"/>
      <c r="J22" s="47"/>
      <c r="K22" s="2124"/>
      <c r="L22" s="1724"/>
      <c r="M22" s="1724"/>
      <c r="N22" s="1724"/>
      <c r="O22" s="1724"/>
      <c r="P22" s="1724"/>
      <c r="Q22" s="1724"/>
      <c r="R22" s="1724"/>
      <c r="S22" s="1724"/>
      <c r="T22" s="1724"/>
      <c r="U22" s="1724"/>
      <c r="V22" s="1724"/>
      <c r="W22" s="1724"/>
      <c r="X22" s="1724"/>
      <c r="Y22" s="1724"/>
      <c r="Z22" s="1724"/>
    </row>
    <row r="23" spans="1:26" s="1723" customFormat="1" ht="13.5" customHeight="1">
      <c r="A23" s="2154" t="s">
        <v>1387</v>
      </c>
      <c r="B23" s="2318" t="s">
        <v>2109</v>
      </c>
      <c r="C23" s="2156">
        <f ca="1">ROUND((C18+C19+C20)*F23,0)</f>
        <v>109</v>
      </c>
      <c r="D23" s="437"/>
      <c r="E23" s="437"/>
      <c r="F23" s="2160">
        <f>'数据-取费表'!B37</f>
        <v>1.4999999999999999E-2</v>
      </c>
      <c r="G23" s="2121" t="s">
        <v>1782</v>
      </c>
      <c r="H23" s="2122"/>
      <c r="I23" s="2122"/>
      <c r="J23" s="2122"/>
      <c r="K23" s="2123"/>
      <c r="L23" s="2706"/>
      <c r="M23" s="2706"/>
      <c r="N23" s="2706"/>
      <c r="O23" s="1724"/>
      <c r="P23" s="1724"/>
      <c r="Q23" s="1724"/>
      <c r="R23" s="1724"/>
      <c r="S23" s="1724"/>
      <c r="T23" s="1724"/>
      <c r="U23" s="1724"/>
      <c r="V23" s="1724"/>
      <c r="W23" s="1724"/>
      <c r="X23" s="1724"/>
      <c r="Y23" s="1724"/>
      <c r="Z23" s="1724"/>
    </row>
    <row r="24" spans="1:26" s="1723" customFormat="1" ht="13.5" customHeight="1">
      <c r="A24" s="2154" t="s">
        <v>1388</v>
      </c>
      <c r="B24" s="2318" t="s">
        <v>2112</v>
      </c>
      <c r="C24" s="2156">
        <f ca="1">ROUND(C6*F24,0)</f>
        <v>592</v>
      </c>
      <c r="D24" s="444"/>
      <c r="E24" s="442"/>
      <c r="F24" s="2160">
        <f>'数据-取费表'!B38</f>
        <v>0.02</v>
      </c>
      <c r="G24" s="2126" t="s">
        <v>459</v>
      </c>
      <c r="H24" s="1061"/>
      <c r="I24" s="1061"/>
      <c r="J24" s="1061"/>
      <c r="K24" s="258"/>
      <c r="L24" s="2706"/>
      <c r="M24" s="2706"/>
      <c r="N24" s="2706"/>
      <c r="O24" s="1724"/>
      <c r="P24" s="1724"/>
      <c r="Q24" s="1724"/>
      <c r="R24" s="1724"/>
      <c r="S24" s="1724"/>
      <c r="T24" s="1724"/>
      <c r="U24" s="1724"/>
      <c r="V24" s="1724"/>
      <c r="W24" s="1724"/>
      <c r="X24" s="1724"/>
      <c r="Y24" s="1724"/>
      <c r="Z24" s="1724"/>
    </row>
    <row r="25" spans="1:26" s="1726" customFormat="1" ht="13.5" customHeight="1">
      <c r="A25" s="2154" t="s">
        <v>1389</v>
      </c>
      <c r="B25" s="2318" t="s">
        <v>2110</v>
      </c>
      <c r="C25" s="436">
        <f>ROUND(F25/(1+'数据-取费表'!C42),4)</f>
        <v>2.9000000000000001E-2</v>
      </c>
      <c r="D25" s="431" t="s">
        <v>2105</v>
      </c>
      <c r="E25" s="438"/>
      <c r="F25" s="2160">
        <f>IF(项目基本情况!B8="出让",0,'数据-取费表'!B48+'数据-取费表'!B49)</f>
        <v>3.0499999999999999E-2</v>
      </c>
      <c r="G25" s="2125" t="s">
        <v>1647</v>
      </c>
      <c r="H25" s="2122"/>
      <c r="I25" s="2122"/>
      <c r="J25" s="2122"/>
      <c r="K25" s="2123"/>
      <c r="L25" s="2707"/>
      <c r="M25" s="2707"/>
      <c r="N25" s="2707"/>
      <c r="O25" s="2707"/>
      <c r="P25" s="2707"/>
      <c r="Q25" s="2707"/>
      <c r="R25" s="2707"/>
      <c r="S25" s="2707"/>
      <c r="T25" s="2707"/>
      <c r="U25" s="2707"/>
      <c r="V25" s="2707"/>
      <c r="W25" s="2707"/>
      <c r="X25" s="2707"/>
      <c r="Y25" s="2707"/>
      <c r="Z25" s="2707"/>
    </row>
    <row r="26" spans="1:26" s="1725" customFormat="1" ht="13.5" customHeight="1">
      <c r="A26" s="2154" t="s">
        <v>1390</v>
      </c>
      <c r="B26" s="2319" t="s">
        <v>2111</v>
      </c>
      <c r="C26" s="2161">
        <f ca="1">C28</f>
        <v>240</v>
      </c>
      <c r="D26" s="436">
        <f ca="1">C27</f>
        <v>6.2700000000000006E-2</v>
      </c>
      <c r="E26" s="438" t="s">
        <v>455</v>
      </c>
      <c r="F26" s="440">
        <f ca="1">'数据-取费表'!B40</f>
        <v>0.03</v>
      </c>
      <c r="G26" s="2044" t="str">
        <f>IF('数据-取费表'!B22&lt;=1,"单利计息。","复利计息。")&amp;"后续开发成本、管理费用及销售费用产生的利息。"</f>
        <v>复利计息。后续开发成本、管理费用及销售费用产生的利息。</v>
      </c>
      <c r="H26" s="1043"/>
      <c r="I26" s="1043"/>
      <c r="J26" s="1043"/>
      <c r="K26" s="130"/>
      <c r="L26" s="2706"/>
      <c r="M26" s="2706"/>
      <c r="N26" s="2706"/>
      <c r="O26" s="2706"/>
      <c r="P26" s="2706"/>
      <c r="Q26" s="2706"/>
      <c r="R26" s="2706"/>
      <c r="S26" s="2706"/>
      <c r="T26" s="2706"/>
      <c r="U26" s="2706"/>
      <c r="V26" s="2706"/>
      <c r="W26" s="2706"/>
      <c r="X26" s="2706"/>
      <c r="Y26" s="2706"/>
      <c r="Z26" s="2706"/>
    </row>
    <row r="27" spans="1:26" s="1727" customFormat="1" ht="13.5" customHeight="1">
      <c r="A27" s="738" t="s">
        <v>1385</v>
      </c>
      <c r="B27" s="2162" t="s">
        <v>456</v>
      </c>
      <c r="C27" s="2163">
        <f ca="1">ROUND(IF('数据-取费表'!B22&lt;=1,(1+C25)*F26*'数据-取费表'!B24,(1+C25)*(POWER((1+F26),'数据-取费表'!B24)-1)),4)</f>
        <v>6.2700000000000006E-2</v>
      </c>
      <c r="D27" s="441"/>
      <c r="E27" s="442"/>
      <c r="F27" s="443"/>
      <c r="G27" s="2044" t="str">
        <f>IF('数据-取费表'!B22&lt;=1,"（1+取得税费率/(1+5%)）×年利率×建设期","（1+取得税费率）/(1+5%)×((1+年利率)^建设期-1)")</f>
        <v>（1+取得税费率）/(1+5%)×((1+年利率)^建设期-1)</v>
      </c>
      <c r="H27" s="1061"/>
      <c r="I27" s="1061"/>
      <c r="J27" s="1061"/>
      <c r="K27" s="258"/>
      <c r="L27" s="2708"/>
      <c r="M27" s="2708"/>
      <c r="N27" s="2708"/>
      <c r="O27" s="2708"/>
      <c r="P27" s="2708"/>
      <c r="Q27" s="2708"/>
      <c r="R27" s="2708"/>
      <c r="S27" s="2708"/>
      <c r="T27" s="2708"/>
      <c r="U27" s="2708"/>
      <c r="V27" s="2708"/>
      <c r="W27" s="2708"/>
      <c r="X27" s="2708"/>
      <c r="Y27" s="2708"/>
      <c r="Z27" s="2708"/>
    </row>
    <row r="28" spans="1:26" s="1727" customFormat="1" ht="13.5" customHeight="1">
      <c r="A28" s="738" t="s">
        <v>1386</v>
      </c>
      <c r="B28" s="2162" t="s">
        <v>2113</v>
      </c>
      <c r="C28" s="2164">
        <f ca="1">ROUND(IF('数据-取费表'!B22&lt;=1,(C18+C19+C20+C23+C24)*F26*'数据-取费表'!B24/2,(C18+C19+C20+C23+C24)*(POWER((1+F26),'数据-取费表'!B24/2)-1)),0)</f>
        <v>240</v>
      </c>
      <c r="D28" s="441"/>
      <c r="E28" s="442"/>
      <c r="F28" s="443"/>
      <c r="G28" s="2044" t="str">
        <f>IF('数据-取费表'!B22&lt;=1,"（1）-（4）项×年利率×建设期÷2","（1）-（4）项×((1+年利率)^(建设期÷2)-1)")</f>
        <v>（1）-（4）项×((1+年利率)^(建设期÷2)-1)</v>
      </c>
      <c r="H28" s="1061"/>
      <c r="I28" s="1061"/>
      <c r="J28" s="1061"/>
      <c r="K28" s="258"/>
      <c r="L28" s="2708"/>
      <c r="M28" s="2708"/>
      <c r="N28" s="2708"/>
      <c r="O28" s="2708"/>
      <c r="P28" s="2708"/>
      <c r="Q28" s="2708"/>
      <c r="R28" s="2708"/>
      <c r="S28" s="2708"/>
      <c r="T28" s="2708"/>
      <c r="U28" s="2708"/>
      <c r="V28" s="2708"/>
      <c r="W28" s="2708"/>
      <c r="X28" s="2708"/>
      <c r="Y28" s="2708"/>
      <c r="Z28" s="2708"/>
    </row>
    <row r="29" spans="1:26" s="1727" customFormat="1" ht="13.5" customHeight="1">
      <c r="A29" s="2165" t="s">
        <v>1391</v>
      </c>
      <c r="B29" s="2155" t="s">
        <v>457</v>
      </c>
      <c r="C29" s="2156">
        <f ca="1">ROUND(C6*F29/(1+'数据-取费表'!C42),0)</f>
        <v>1550</v>
      </c>
      <c r="D29" s="437"/>
      <c r="E29" s="437"/>
      <c r="F29" s="2320">
        <f>'数据-取费表'!B41</f>
        <v>5.5000000000000007E-2</v>
      </c>
      <c r="G29" s="2126" t="s">
        <v>458</v>
      </c>
      <c r="H29" s="2122"/>
      <c r="I29" s="2122"/>
      <c r="J29" s="2122"/>
      <c r="K29" s="2123"/>
      <c r="L29" s="2708"/>
      <c r="M29" s="2708"/>
      <c r="N29" s="2708"/>
      <c r="O29" s="2708"/>
      <c r="P29" s="2708"/>
      <c r="Q29" s="2708"/>
      <c r="R29" s="2708"/>
      <c r="S29" s="2708"/>
      <c r="T29" s="2708"/>
      <c r="U29" s="2708"/>
      <c r="V29" s="2708"/>
      <c r="W29" s="2708"/>
      <c r="X29" s="2708"/>
      <c r="Y29" s="2708"/>
      <c r="Z29" s="2708"/>
    </row>
    <row r="30" spans="1:26" s="1728" customFormat="1" ht="13.5" customHeight="1">
      <c r="A30" s="1356" t="s">
        <v>1392</v>
      </c>
      <c r="B30" s="2166" t="s">
        <v>460</v>
      </c>
      <c r="C30" s="2161">
        <f ca="1">C31</f>
        <v>9778</v>
      </c>
      <c r="D30" s="446">
        <f ca="1">C32</f>
        <v>9.1700000000000004E-2</v>
      </c>
      <c r="E30" s="438" t="s">
        <v>455</v>
      </c>
      <c r="F30" s="440"/>
      <c r="G30" s="2125" t="s">
        <v>2230</v>
      </c>
      <c r="H30" s="2122"/>
      <c r="I30" s="2122"/>
      <c r="J30" s="2122"/>
      <c r="K30" s="2123"/>
      <c r="L30" s="2709"/>
      <c r="M30" s="2709"/>
      <c r="N30" s="2709"/>
      <c r="O30" s="2709"/>
      <c r="P30" s="2709"/>
      <c r="Q30" s="2709"/>
      <c r="R30" s="2709"/>
      <c r="S30" s="2709"/>
      <c r="T30" s="2709"/>
      <c r="U30" s="2709"/>
      <c r="V30" s="2709"/>
      <c r="W30" s="2709"/>
      <c r="X30" s="2709"/>
      <c r="Y30" s="2709"/>
      <c r="Z30" s="2709"/>
    </row>
    <row r="31" spans="1:26" s="1727" customFormat="1" ht="13.5" customHeight="1">
      <c r="A31" s="738" t="s">
        <v>1385</v>
      </c>
      <c r="B31" s="2162"/>
      <c r="C31" s="419">
        <f ca="1">C18+C19+C20+C23+C24+C26+C29</f>
        <v>9778</v>
      </c>
      <c r="D31" s="441"/>
      <c r="E31" s="442"/>
      <c r="F31" s="443"/>
      <c r="G31" s="241"/>
      <c r="H31" s="1061"/>
      <c r="I31" s="1061"/>
      <c r="J31" s="1061"/>
      <c r="K31" s="258"/>
      <c r="L31" s="2708"/>
      <c r="M31" s="2708"/>
      <c r="N31" s="2708"/>
      <c r="O31" s="2708"/>
      <c r="P31" s="2708"/>
      <c r="Q31" s="2708"/>
      <c r="R31" s="2708"/>
      <c r="S31" s="2708"/>
      <c r="T31" s="2708"/>
      <c r="U31" s="2708"/>
      <c r="V31" s="2708"/>
      <c r="W31" s="2708"/>
      <c r="X31" s="2708"/>
      <c r="Y31" s="2708"/>
      <c r="Z31" s="2708"/>
    </row>
    <row r="32" spans="1:26" s="1727" customFormat="1" ht="13.5" customHeight="1">
      <c r="A32" s="738" t="s">
        <v>1386</v>
      </c>
      <c r="B32" s="2162"/>
      <c r="C32" s="49">
        <f ca="1">ROUND(C25+D26,4)</f>
        <v>9.1700000000000004E-2</v>
      </c>
      <c r="D32" s="441"/>
      <c r="E32" s="442"/>
      <c r="F32" s="443"/>
      <c r="G32" s="241"/>
      <c r="H32" s="1061"/>
      <c r="I32" s="1061"/>
      <c r="J32" s="1061"/>
      <c r="K32" s="258"/>
      <c r="L32" s="2708"/>
      <c r="M32" s="2708"/>
      <c r="N32" s="2708"/>
      <c r="O32" s="2708"/>
      <c r="P32" s="2708"/>
      <c r="Q32" s="2708"/>
      <c r="R32" s="2708"/>
      <c r="S32" s="2708"/>
      <c r="T32" s="2708"/>
      <c r="U32" s="2708"/>
      <c r="V32" s="2708"/>
      <c r="W32" s="2708"/>
      <c r="X32" s="2708"/>
      <c r="Y32" s="2708"/>
      <c r="Z32" s="2708"/>
    </row>
    <row r="33" spans="1:26" s="1729" customFormat="1" ht="13.5" customHeight="1">
      <c r="A33" s="2317" t="s">
        <v>2108</v>
      </c>
      <c r="B33" s="2315" t="s">
        <v>2106</v>
      </c>
      <c r="C33" s="447">
        <f ca="1">C35</f>
        <v>799</v>
      </c>
      <c r="D33" s="436">
        <f ca="1">C34</f>
        <v>0.10290000000000001</v>
      </c>
      <c r="E33" s="438" t="s">
        <v>455</v>
      </c>
      <c r="F33" s="448">
        <f ca="1">IF(B1="",'数据-取费表'!Q16,INDIRECT("'数据-取费表'!q"&amp;$K$1))</f>
        <v>0.1</v>
      </c>
      <c r="G33" s="1042"/>
      <c r="H33" s="1043"/>
      <c r="I33" s="1043"/>
      <c r="J33" s="1043"/>
      <c r="K33" s="130"/>
      <c r="L33" s="2710"/>
      <c r="M33" s="2710"/>
      <c r="N33" s="2710"/>
      <c r="O33" s="2710"/>
      <c r="P33" s="2710"/>
      <c r="Q33" s="2710"/>
      <c r="R33" s="2710"/>
      <c r="S33" s="2710"/>
      <c r="T33" s="2710"/>
      <c r="U33" s="2710"/>
      <c r="V33" s="2710"/>
      <c r="W33" s="2710"/>
      <c r="X33" s="2710"/>
      <c r="Y33" s="2710"/>
      <c r="Z33" s="2710"/>
    </row>
    <row r="34" spans="1:26" s="1730" customFormat="1" ht="13.5" customHeight="1">
      <c r="A34" s="345" t="s">
        <v>1385</v>
      </c>
      <c r="B34" s="2167" t="s">
        <v>461</v>
      </c>
      <c r="C34" s="441">
        <f ca="1">ROUND((1+C25)*F33,4)</f>
        <v>0.10290000000000001</v>
      </c>
      <c r="D34" s="441"/>
      <c r="E34" s="442"/>
      <c r="F34" s="449"/>
      <c r="G34" s="241" t="s">
        <v>1648</v>
      </c>
      <c r="H34" s="1061"/>
      <c r="I34" s="1061"/>
      <c r="J34" s="1061"/>
      <c r="K34" s="258"/>
      <c r="L34" s="2711"/>
      <c r="M34" s="2711"/>
      <c r="N34" s="2711"/>
      <c r="O34" s="2711"/>
      <c r="P34" s="2711"/>
      <c r="Q34" s="2711"/>
      <c r="R34" s="2711"/>
      <c r="S34" s="2711"/>
      <c r="T34" s="2711"/>
      <c r="U34" s="2711"/>
      <c r="V34" s="2711"/>
      <c r="W34" s="2711"/>
      <c r="X34" s="2711"/>
      <c r="Y34" s="2711"/>
      <c r="Z34" s="2711"/>
    </row>
    <row r="35" spans="1:26" s="1730" customFormat="1" ht="13.5" customHeight="1" thickBot="1">
      <c r="A35" s="1357" t="s">
        <v>1386</v>
      </c>
      <c r="B35" s="2316" t="s">
        <v>2114</v>
      </c>
      <c r="C35" s="1349">
        <f ca="1">ROUND((C18+C19+C20+C23+C24)*F33,0)</f>
        <v>799</v>
      </c>
      <c r="D35" s="1350"/>
      <c r="E35" s="2168"/>
      <c r="F35" s="1351"/>
      <c r="G35" s="2127"/>
      <c r="H35" s="2128"/>
      <c r="I35" s="2128"/>
      <c r="J35" s="2128"/>
      <c r="K35" s="2129"/>
      <c r="L35" s="2711"/>
      <c r="M35" s="2711"/>
      <c r="N35" s="2711"/>
      <c r="O35" s="2711"/>
      <c r="P35" s="2711"/>
      <c r="Q35" s="2711"/>
      <c r="R35" s="2711"/>
      <c r="S35" s="2711"/>
      <c r="T35" s="2711"/>
      <c r="U35" s="2711"/>
      <c r="V35" s="2711"/>
      <c r="W35" s="2711"/>
      <c r="X35" s="2711"/>
      <c r="Y35" s="2711"/>
      <c r="Z35" s="2711"/>
    </row>
    <row r="36" spans="1:26" s="1694" customFormat="1" ht="13.5" customHeight="1" thickBot="1">
      <c r="A36" s="262" t="s">
        <v>1373</v>
      </c>
      <c r="B36" s="2131"/>
      <c r="C36" s="2169">
        <f ca="1">ROUND((C6-C30-C33)/(1+D30+D33),0)</f>
        <v>15912</v>
      </c>
      <c r="D36" s="2131"/>
      <c r="E36" s="2131"/>
      <c r="F36" s="2131"/>
      <c r="G36" s="2130" t="s">
        <v>2115</v>
      </c>
      <c r="H36" s="2131"/>
      <c r="I36" s="2131"/>
      <c r="J36" s="2131"/>
      <c r="K36" s="2132"/>
      <c r="L36" s="2705"/>
      <c r="M36" s="2705"/>
      <c r="N36" s="2705"/>
      <c r="O36" s="2705"/>
      <c r="P36" s="2705"/>
      <c r="Q36" s="2705"/>
      <c r="R36" s="2705"/>
      <c r="S36" s="2705"/>
      <c r="T36" s="2705"/>
      <c r="U36" s="2705"/>
      <c r="V36" s="2705"/>
      <c r="W36" s="2705"/>
      <c r="X36" s="2705"/>
      <c r="Y36" s="2705"/>
      <c r="Z36" s="2705"/>
    </row>
    <row r="37" spans="1:26" s="1722" customFormat="1">
      <c r="A37" s="2712"/>
      <c r="C37" s="2713"/>
      <c r="E37" s="2712"/>
    </row>
    <row r="38" spans="1:26" s="1722" customFormat="1" ht="12.75" customHeight="1">
      <c r="A38" s="2712"/>
      <c r="C38" s="2713"/>
      <c r="E38" s="2712"/>
    </row>
    <row r="39" spans="1:26" s="1722" customFormat="1">
      <c r="A39" s="2712"/>
      <c r="C39" s="2713"/>
      <c r="E39" s="2712"/>
    </row>
    <row r="40" spans="1:26" s="1722" customFormat="1">
      <c r="A40" s="2712"/>
      <c r="C40" s="2713"/>
      <c r="E40" s="2712"/>
    </row>
    <row r="41" spans="1:26" s="1722" customFormat="1">
      <c r="A41" s="2712"/>
      <c r="C41" s="2713"/>
      <c r="E41" s="2712"/>
    </row>
    <row r="42" spans="1:26" s="1722" customFormat="1">
      <c r="A42" s="2712"/>
      <c r="C42" s="2713"/>
      <c r="E42" s="2712"/>
    </row>
    <row r="43" spans="1:26" s="1722" customFormat="1">
      <c r="A43" s="2712"/>
      <c r="C43" s="2713"/>
      <c r="E43" s="2712"/>
    </row>
    <row r="44" spans="1:26" s="1722" customFormat="1">
      <c r="A44" s="2712"/>
      <c r="C44" s="2713"/>
      <c r="E44" s="2712"/>
    </row>
    <row r="45" spans="1:26" s="1722" customFormat="1">
      <c r="A45" s="2712"/>
      <c r="C45" s="2713"/>
      <c r="E45" s="2712"/>
    </row>
    <row r="46" spans="1:26" s="1722" customFormat="1">
      <c r="A46" s="2712"/>
      <c r="C46" s="2713"/>
      <c r="E46" s="2712"/>
    </row>
    <row r="47" spans="1:26" s="1722" customFormat="1">
      <c r="A47" s="2712"/>
      <c r="C47" s="2713"/>
      <c r="E47" s="2712"/>
    </row>
    <row r="48" spans="1:26" s="1722" customFormat="1">
      <c r="A48" s="2712"/>
      <c r="C48" s="2713"/>
      <c r="E48" s="2712"/>
    </row>
    <row r="49" spans="1:5" s="1722" customFormat="1">
      <c r="A49" s="2712"/>
      <c r="C49" s="2713"/>
      <c r="E49" s="2712"/>
    </row>
    <row r="50" spans="1:5" s="1722" customFormat="1">
      <c r="A50" s="2712"/>
      <c r="C50" s="2713"/>
      <c r="E50" s="2712"/>
    </row>
    <row r="51" spans="1:5" s="1722" customFormat="1">
      <c r="A51" s="2712"/>
      <c r="C51" s="2713"/>
      <c r="E51" s="2712"/>
    </row>
    <row r="52" spans="1:5" s="1722" customFormat="1">
      <c r="A52" s="2712"/>
      <c r="C52" s="2713"/>
      <c r="E52" s="2712"/>
    </row>
    <row r="53" spans="1:5" s="1722" customFormat="1">
      <c r="A53" s="2712"/>
      <c r="C53" s="2713"/>
      <c r="E53" s="2712"/>
    </row>
    <row r="54" spans="1:5" s="1722" customFormat="1">
      <c r="A54" s="2712"/>
      <c r="C54" s="2713"/>
      <c r="E54" s="2712"/>
    </row>
    <row r="55" spans="1:5" s="1722" customFormat="1">
      <c r="A55" s="2712"/>
      <c r="C55" s="2713"/>
      <c r="E55" s="2712"/>
    </row>
    <row r="56" spans="1:5" s="1722" customFormat="1">
      <c r="A56" s="2712"/>
      <c r="C56" s="2713"/>
      <c r="E56" s="2712"/>
    </row>
    <row r="57" spans="1:5" s="1722" customFormat="1">
      <c r="A57" s="2712"/>
      <c r="C57" s="2713"/>
      <c r="E57" s="2712"/>
    </row>
    <row r="58" spans="1:5" s="1722" customFormat="1">
      <c r="A58" s="2712"/>
      <c r="C58" s="2713"/>
      <c r="E58" s="2712"/>
    </row>
    <row r="59" spans="1:5" s="1722" customFormat="1">
      <c r="A59" s="2712"/>
      <c r="C59" s="2713"/>
      <c r="E59" s="2712"/>
    </row>
    <row r="60" spans="1:5" s="1722" customFormat="1">
      <c r="A60" s="2712"/>
      <c r="C60" s="2713"/>
      <c r="E60" s="2712"/>
    </row>
    <row r="61" spans="1:5" s="1722" customFormat="1">
      <c r="A61" s="2712"/>
      <c r="C61" s="2713"/>
      <c r="E61" s="2712"/>
    </row>
    <row r="62" spans="1:5" s="1722" customFormat="1">
      <c r="A62" s="2712"/>
      <c r="C62" s="2713"/>
      <c r="E62" s="2712"/>
    </row>
    <row r="63" spans="1:5" s="1722" customFormat="1">
      <c r="A63" s="2712"/>
      <c r="C63" s="2713"/>
      <c r="E63" s="2712"/>
    </row>
    <row r="64" spans="1:5" s="1722" customFormat="1">
      <c r="A64" s="2712"/>
      <c r="C64" s="2713"/>
      <c r="E64" s="2712"/>
    </row>
    <row r="65" spans="1:5" s="1722" customFormat="1">
      <c r="A65" s="2712"/>
      <c r="C65" s="2713"/>
      <c r="E65" s="2712"/>
    </row>
    <row r="66" spans="1:5" s="1722" customFormat="1">
      <c r="A66" s="2712"/>
      <c r="C66" s="2713"/>
      <c r="E66" s="2712"/>
    </row>
    <row r="67" spans="1:5" s="1722" customFormat="1">
      <c r="A67" s="2712"/>
      <c r="C67" s="2713"/>
      <c r="E67" s="2712"/>
    </row>
    <row r="68" spans="1:5" s="1722" customFormat="1">
      <c r="A68" s="2712"/>
      <c r="C68" s="2713"/>
      <c r="E68" s="2712"/>
    </row>
    <row r="69" spans="1:5" s="1722" customFormat="1">
      <c r="A69" s="2712"/>
      <c r="C69" s="2713"/>
      <c r="E69" s="2712"/>
    </row>
    <row r="70" spans="1:5" s="1722" customFormat="1">
      <c r="A70" s="2712"/>
      <c r="C70" s="2713"/>
      <c r="E70" s="2712"/>
    </row>
    <row r="71" spans="1:5" s="1722" customFormat="1">
      <c r="A71" s="2712"/>
      <c r="C71" s="2713"/>
      <c r="E71" s="2712"/>
    </row>
    <row r="72" spans="1:5" s="1722" customFormat="1">
      <c r="A72" s="2712"/>
      <c r="C72" s="2713"/>
      <c r="E72" s="2712"/>
    </row>
    <row r="73" spans="1:5" s="1722" customFormat="1">
      <c r="A73" s="2712"/>
      <c r="C73" s="2713"/>
      <c r="E73" s="2712"/>
    </row>
    <row r="74" spans="1:5" s="1722" customFormat="1">
      <c r="A74" s="2712"/>
      <c r="C74" s="2713"/>
      <c r="E74" s="2712"/>
    </row>
    <row r="75" spans="1:5" s="1722" customFormat="1">
      <c r="A75" s="2712"/>
      <c r="C75" s="2713"/>
      <c r="E75" s="2712"/>
    </row>
    <row r="76" spans="1:5" s="1722" customFormat="1">
      <c r="A76" s="2712"/>
      <c r="C76" s="2713"/>
      <c r="E76" s="2712"/>
    </row>
    <row r="77" spans="1:5" s="1722" customFormat="1">
      <c r="A77" s="2712"/>
      <c r="C77" s="2713"/>
      <c r="E77" s="2712"/>
    </row>
    <row r="78" spans="1:5" s="1722" customFormat="1">
      <c r="A78" s="2712"/>
      <c r="C78" s="2713"/>
      <c r="E78" s="2712"/>
    </row>
    <row r="79" spans="1:5" s="1722" customFormat="1">
      <c r="A79" s="2712"/>
      <c r="C79" s="2713"/>
      <c r="E79" s="2712"/>
    </row>
    <row r="80" spans="1:5" s="1722" customFormat="1">
      <c r="A80" s="2712"/>
      <c r="C80" s="2713"/>
      <c r="E80" s="2712"/>
    </row>
    <row r="81" spans="1:5" s="1722" customFormat="1">
      <c r="A81" s="2712"/>
      <c r="C81" s="2713"/>
      <c r="E81" s="2712"/>
    </row>
    <row r="82" spans="1:5" s="1722" customFormat="1">
      <c r="A82" s="2712"/>
      <c r="C82" s="2713"/>
      <c r="E82" s="2712"/>
    </row>
    <row r="83" spans="1:5" s="1722" customFormat="1">
      <c r="A83" s="2712"/>
      <c r="C83" s="2713"/>
      <c r="E83" s="2712"/>
    </row>
    <row r="84" spans="1:5" s="1722" customFormat="1">
      <c r="A84" s="2712"/>
      <c r="C84" s="2713"/>
      <c r="E84" s="2712"/>
    </row>
    <row r="85" spans="1:5" s="1722" customFormat="1">
      <c r="A85" s="2712"/>
      <c r="C85" s="2713"/>
      <c r="E85" s="2712"/>
    </row>
    <row r="86" spans="1:5" s="1722" customFormat="1">
      <c r="A86" s="2712"/>
      <c r="C86" s="2713"/>
      <c r="E86" s="2712"/>
    </row>
    <row r="87" spans="1:5" s="1722" customFormat="1">
      <c r="A87" s="2712"/>
      <c r="C87" s="2713"/>
      <c r="E87" s="2712"/>
    </row>
    <row r="88" spans="1:5" s="1722" customFormat="1">
      <c r="A88" s="2712"/>
      <c r="C88" s="2713"/>
      <c r="E88" s="2712"/>
    </row>
    <row r="89" spans="1:5" s="1722" customFormat="1">
      <c r="A89" s="2712"/>
      <c r="C89" s="2713"/>
      <c r="E89" s="2712"/>
    </row>
    <row r="90" spans="1:5" s="1722" customFormat="1">
      <c r="A90" s="2712"/>
      <c r="C90" s="2713"/>
      <c r="E90" s="2712"/>
    </row>
    <row r="91" spans="1:5" s="1722" customFormat="1">
      <c r="A91" s="2712"/>
      <c r="C91" s="2713"/>
      <c r="E91" s="2712"/>
    </row>
    <row r="92" spans="1:5" s="1722" customFormat="1">
      <c r="A92" s="2712"/>
      <c r="C92" s="2713"/>
      <c r="E92" s="2712"/>
    </row>
    <row r="93" spans="1:5" s="1722" customFormat="1">
      <c r="A93" s="2712"/>
      <c r="C93" s="2713"/>
      <c r="E93" s="2712"/>
    </row>
    <row r="94" spans="1:5" s="1722" customFormat="1">
      <c r="A94" s="2712"/>
      <c r="C94" s="2713"/>
      <c r="E94" s="2712"/>
    </row>
    <row r="95" spans="1:5" s="1722" customFormat="1">
      <c r="A95" s="2712"/>
      <c r="C95" s="2713"/>
      <c r="E95" s="2712"/>
    </row>
    <row r="96" spans="1:5" s="1722" customFormat="1">
      <c r="A96" s="2712"/>
      <c r="C96" s="2713"/>
      <c r="E96" s="2712"/>
    </row>
    <row r="97" spans="1:5" s="1722" customFormat="1">
      <c r="A97" s="2712"/>
      <c r="C97" s="2713"/>
      <c r="E97" s="2712"/>
    </row>
    <row r="98" spans="1:5" s="1722" customFormat="1">
      <c r="A98" s="2712"/>
      <c r="C98" s="2713"/>
      <c r="E98" s="2712"/>
    </row>
    <row r="99" spans="1:5" s="1722" customFormat="1">
      <c r="A99" s="2712"/>
      <c r="C99" s="2713"/>
      <c r="E99" s="2712"/>
    </row>
    <row r="100" spans="1:5" s="1722" customFormat="1">
      <c r="A100" s="2712"/>
      <c r="C100" s="2713"/>
      <c r="E100" s="2712"/>
    </row>
    <row r="101" spans="1:5" s="1722" customFormat="1">
      <c r="A101" s="2712"/>
      <c r="C101" s="2713"/>
      <c r="E101" s="2712"/>
    </row>
    <row r="102" spans="1:5" s="1722" customFormat="1">
      <c r="A102" s="2712"/>
      <c r="C102" s="2713"/>
      <c r="E102" s="2712"/>
    </row>
    <row r="103" spans="1:5" s="1722" customFormat="1">
      <c r="A103" s="2712"/>
      <c r="C103" s="2713"/>
      <c r="E103" s="2712"/>
    </row>
    <row r="104" spans="1:5" s="1722" customFormat="1">
      <c r="A104" s="2712"/>
      <c r="C104" s="2713"/>
      <c r="E104" s="2712"/>
    </row>
    <row r="105" spans="1:5" s="1722" customFormat="1">
      <c r="A105" s="2712"/>
      <c r="C105" s="2713"/>
      <c r="E105" s="2712"/>
    </row>
    <row r="106" spans="1:5" s="1722" customFormat="1">
      <c r="A106" s="2712"/>
      <c r="C106" s="2713"/>
      <c r="E106" s="2712"/>
    </row>
    <row r="107" spans="1:5" s="1722" customFormat="1">
      <c r="A107" s="2712"/>
      <c r="C107" s="2713"/>
      <c r="E107" s="2712"/>
    </row>
    <row r="108" spans="1:5" s="1722" customFormat="1">
      <c r="A108" s="2712"/>
      <c r="C108" s="2713"/>
      <c r="E108" s="2712"/>
    </row>
    <row r="109" spans="1:5" s="1722" customFormat="1">
      <c r="A109" s="2712"/>
      <c r="C109" s="2713"/>
      <c r="E109" s="2712"/>
    </row>
    <row r="110" spans="1:5" s="1722" customFormat="1">
      <c r="A110" s="2712"/>
      <c r="C110" s="2713"/>
      <c r="E110" s="2712"/>
    </row>
    <row r="111" spans="1:5" s="1722" customFormat="1">
      <c r="A111" s="2712"/>
      <c r="C111" s="2713"/>
      <c r="E111" s="2712"/>
    </row>
    <row r="112" spans="1:5" s="1722" customFormat="1">
      <c r="A112" s="2712"/>
      <c r="C112" s="2713"/>
      <c r="E112" s="2712"/>
    </row>
    <row r="113" spans="1:5" s="1722" customFormat="1">
      <c r="A113" s="2712"/>
      <c r="C113" s="2713"/>
      <c r="E113" s="2712"/>
    </row>
    <row r="114" spans="1:5" s="1722" customFormat="1">
      <c r="A114" s="2712"/>
      <c r="C114" s="2713"/>
      <c r="E114" s="2712"/>
    </row>
    <row r="115" spans="1:5" s="1722" customFormat="1">
      <c r="A115" s="2712"/>
      <c r="C115" s="2713"/>
      <c r="E115" s="2712"/>
    </row>
    <row r="116" spans="1:5" s="1722" customFormat="1">
      <c r="A116" s="2712"/>
      <c r="C116" s="2713"/>
      <c r="E116" s="2712"/>
    </row>
    <row r="117" spans="1:5" s="1722" customFormat="1">
      <c r="A117" s="2712"/>
      <c r="C117" s="2713"/>
      <c r="E117" s="2712"/>
    </row>
    <row r="118" spans="1:5" s="1722" customFormat="1">
      <c r="A118" s="2712"/>
      <c r="C118" s="2713"/>
      <c r="E118" s="2712"/>
    </row>
    <row r="119" spans="1:5" s="1722" customFormat="1">
      <c r="A119" s="2712"/>
      <c r="C119" s="2713"/>
      <c r="E119" s="2712"/>
    </row>
    <row r="120" spans="1:5" s="1722" customFormat="1">
      <c r="A120" s="2712"/>
      <c r="C120" s="2713"/>
      <c r="E120" s="2712"/>
    </row>
    <row r="121" spans="1:5" s="1722" customFormat="1">
      <c r="A121" s="2712"/>
      <c r="C121" s="2713"/>
      <c r="E121" s="2712"/>
    </row>
    <row r="122" spans="1:5" s="1722" customFormat="1">
      <c r="A122" s="2712"/>
      <c r="C122" s="2713"/>
      <c r="E122" s="2712"/>
    </row>
    <row r="123" spans="1:5" s="1722" customFormat="1">
      <c r="A123" s="2712"/>
      <c r="C123" s="2713"/>
      <c r="E123" s="2712"/>
    </row>
    <row r="124" spans="1:5" s="1722" customFormat="1">
      <c r="A124" s="2712"/>
      <c r="C124" s="2713"/>
      <c r="E124" s="2712"/>
    </row>
    <row r="125" spans="1:5" s="1722" customFormat="1">
      <c r="A125" s="2712"/>
      <c r="C125" s="2713"/>
      <c r="E125" s="2712"/>
    </row>
    <row r="126" spans="1:5" s="1722" customFormat="1">
      <c r="A126" s="2712"/>
      <c r="C126" s="2713"/>
      <c r="E126" s="2712"/>
    </row>
    <row r="127" spans="1:5" s="1722" customFormat="1">
      <c r="A127" s="2712"/>
      <c r="C127" s="2713"/>
      <c r="E127" s="2712"/>
    </row>
    <row r="128" spans="1:5" s="1722" customFormat="1">
      <c r="A128" s="2712"/>
      <c r="C128" s="2713"/>
      <c r="E128" s="2712"/>
    </row>
    <row r="129" spans="1:5" s="1722" customFormat="1">
      <c r="A129" s="2712"/>
      <c r="C129" s="2713"/>
      <c r="E129" s="2712"/>
    </row>
    <row r="130" spans="1:5" s="1722" customFormat="1">
      <c r="A130" s="2712"/>
      <c r="C130" s="2713"/>
      <c r="E130" s="2712"/>
    </row>
    <row r="131" spans="1:5" s="1722" customFormat="1">
      <c r="A131" s="2712"/>
      <c r="C131" s="2713"/>
      <c r="E131" s="2712"/>
    </row>
    <row r="132" spans="1:5" s="1722" customFormat="1">
      <c r="A132" s="2712"/>
      <c r="C132" s="2713"/>
      <c r="E132" s="2712"/>
    </row>
    <row r="133" spans="1:5" s="1722" customFormat="1">
      <c r="A133" s="2712"/>
      <c r="C133" s="2713"/>
      <c r="E133" s="2712"/>
    </row>
    <row r="134" spans="1:5" s="1722" customFormat="1">
      <c r="A134" s="2712"/>
      <c r="C134" s="2713"/>
      <c r="E134" s="2712"/>
    </row>
    <row r="135" spans="1:5" s="1722" customFormat="1">
      <c r="A135" s="2712"/>
      <c r="C135" s="2713"/>
      <c r="E135" s="2712"/>
    </row>
    <row r="136" spans="1:5" s="1722" customFormat="1">
      <c r="A136" s="2712"/>
      <c r="C136" s="2713"/>
      <c r="E136" s="2712"/>
    </row>
    <row r="137" spans="1:5" s="1722" customFormat="1">
      <c r="A137" s="2712"/>
      <c r="C137" s="2713"/>
      <c r="E137" s="2712"/>
    </row>
    <row r="138" spans="1:5" s="1722" customFormat="1">
      <c r="A138" s="2712"/>
      <c r="C138" s="2713"/>
      <c r="E138" s="2712"/>
    </row>
    <row r="139" spans="1:5" s="1722" customFormat="1">
      <c r="A139" s="2712"/>
      <c r="C139" s="2713"/>
      <c r="E139" s="2712"/>
    </row>
    <row r="140" spans="1:5" s="1722" customFormat="1">
      <c r="A140" s="2712"/>
      <c r="C140" s="2713"/>
      <c r="E140" s="2712"/>
    </row>
    <row r="141" spans="1:5" s="1722" customFormat="1">
      <c r="A141" s="2712"/>
      <c r="C141" s="2713"/>
      <c r="E141" s="2712"/>
    </row>
    <row r="142" spans="1:5" s="1722" customFormat="1">
      <c r="A142" s="2712"/>
      <c r="C142" s="2713"/>
      <c r="E142" s="2712"/>
    </row>
    <row r="143" spans="1:5" s="1722" customFormat="1">
      <c r="A143" s="2712"/>
      <c r="C143" s="2713"/>
      <c r="E143" s="2712"/>
    </row>
    <row r="144" spans="1:5" s="1722" customFormat="1">
      <c r="A144" s="2712"/>
      <c r="C144" s="2713"/>
      <c r="E144" s="2712"/>
    </row>
    <row r="145" spans="1:5" s="1722" customFormat="1">
      <c r="A145" s="2712"/>
      <c r="C145" s="2713"/>
      <c r="E145" s="2712"/>
    </row>
    <row r="146" spans="1:5" s="1722" customFormat="1">
      <c r="A146" s="2712"/>
      <c r="C146" s="2713"/>
      <c r="E146" s="2712"/>
    </row>
    <row r="147" spans="1:5" s="1722" customFormat="1">
      <c r="A147" s="2712"/>
      <c r="C147" s="2713"/>
      <c r="E147" s="2712"/>
    </row>
    <row r="148" spans="1:5" s="1722" customFormat="1">
      <c r="A148" s="2712"/>
      <c r="C148" s="2713"/>
      <c r="E148" s="2712"/>
    </row>
    <row r="149" spans="1:5" s="1722" customFormat="1">
      <c r="A149" s="2712"/>
      <c r="C149" s="2713"/>
      <c r="E149" s="2712"/>
    </row>
    <row r="150" spans="1:5" s="1722" customFormat="1">
      <c r="A150" s="2712"/>
      <c r="C150" s="2713"/>
      <c r="E150" s="2712"/>
    </row>
    <row r="151" spans="1:5" s="1722" customFormat="1">
      <c r="A151" s="2712"/>
      <c r="C151" s="2713"/>
      <c r="E151" s="2712"/>
    </row>
    <row r="152" spans="1:5" s="1722" customFormat="1">
      <c r="A152" s="2712"/>
      <c r="C152" s="2713"/>
      <c r="E152" s="2712"/>
    </row>
    <row r="153" spans="1:5" s="1722" customFormat="1">
      <c r="A153" s="2712"/>
      <c r="C153" s="2713"/>
      <c r="E153" s="2712"/>
    </row>
    <row r="154" spans="1:5" s="1722" customFormat="1">
      <c r="A154" s="2712"/>
      <c r="C154" s="2713"/>
      <c r="E154" s="2712"/>
    </row>
    <row r="155" spans="1:5" s="1722" customFormat="1">
      <c r="A155" s="2712"/>
      <c r="C155" s="2713"/>
      <c r="E155" s="2712"/>
    </row>
    <row r="156" spans="1:5" s="1722" customFormat="1">
      <c r="A156" s="2712"/>
      <c r="C156" s="2713"/>
      <c r="E156" s="2712"/>
    </row>
    <row r="157" spans="1:5" s="1722" customFormat="1">
      <c r="A157" s="2712"/>
      <c r="C157" s="2713"/>
      <c r="E157" s="2712"/>
    </row>
    <row r="158" spans="1:5" s="1722" customFormat="1">
      <c r="A158" s="2712"/>
      <c r="C158" s="2713"/>
      <c r="E158" s="2712"/>
    </row>
    <row r="159" spans="1:5" s="1722" customFormat="1">
      <c r="A159" s="2712"/>
      <c r="C159" s="2713"/>
      <c r="E159" s="2712"/>
    </row>
    <row r="160" spans="1:5" s="1722" customFormat="1">
      <c r="A160" s="2712"/>
      <c r="C160" s="2713"/>
      <c r="E160" s="2712"/>
    </row>
    <row r="161" spans="1:5" s="1722" customFormat="1">
      <c r="A161" s="2712"/>
      <c r="C161" s="2713"/>
      <c r="E161" s="2712"/>
    </row>
    <row r="162" spans="1:5" s="1722" customFormat="1">
      <c r="A162" s="2712"/>
      <c r="C162" s="2713"/>
      <c r="E162" s="2712"/>
    </row>
    <row r="163" spans="1:5" s="1722" customFormat="1">
      <c r="A163" s="2712"/>
      <c r="C163" s="2713"/>
      <c r="E163" s="2712"/>
    </row>
    <row r="164" spans="1:5" s="1722" customFormat="1">
      <c r="A164" s="2712"/>
      <c r="C164" s="2713"/>
      <c r="E164" s="2712"/>
    </row>
    <row r="165" spans="1:5" s="1722" customFormat="1">
      <c r="A165" s="2712"/>
      <c r="C165" s="2713"/>
      <c r="E165" s="2712"/>
    </row>
    <row r="166" spans="1:5" s="1722" customFormat="1">
      <c r="A166" s="2712"/>
      <c r="C166" s="2713"/>
      <c r="E166" s="2712"/>
    </row>
    <row r="167" spans="1:5" s="1722" customFormat="1">
      <c r="A167" s="2712"/>
      <c r="C167" s="2713"/>
      <c r="E167" s="2712"/>
    </row>
    <row r="168" spans="1:5" s="1722" customFormat="1">
      <c r="A168" s="2712"/>
      <c r="C168" s="2713"/>
      <c r="E168" s="2712"/>
    </row>
    <row r="169" spans="1:5" s="1722" customFormat="1">
      <c r="A169" s="2712"/>
      <c r="C169" s="2713"/>
      <c r="E169" s="2712"/>
    </row>
    <row r="170" spans="1:5" s="1722" customFormat="1">
      <c r="A170" s="2712"/>
      <c r="C170" s="2713"/>
      <c r="E170" s="2712"/>
    </row>
    <row r="171" spans="1:5" s="1722" customFormat="1">
      <c r="A171" s="2712"/>
      <c r="C171" s="2713"/>
      <c r="E171" s="2712"/>
    </row>
    <row r="172" spans="1:5" s="1722" customFormat="1">
      <c r="A172" s="2712"/>
      <c r="C172" s="2713"/>
      <c r="E172" s="2712"/>
    </row>
    <row r="173" spans="1:5" s="1722" customFormat="1">
      <c r="A173" s="2712"/>
      <c r="C173" s="2713"/>
      <c r="E173" s="2712"/>
    </row>
    <row r="174" spans="1:5" s="1722" customFormat="1">
      <c r="A174" s="2712"/>
      <c r="C174" s="2713"/>
      <c r="E174" s="2712"/>
    </row>
    <row r="175" spans="1:5" s="1722" customFormat="1">
      <c r="A175" s="2712"/>
      <c r="C175" s="2713"/>
      <c r="E175" s="2712"/>
    </row>
    <row r="176" spans="1:5" s="1722" customFormat="1">
      <c r="A176" s="2712"/>
      <c r="C176" s="2713"/>
      <c r="E176" s="2712"/>
    </row>
    <row r="177" spans="1:5" s="1722" customFormat="1">
      <c r="A177" s="2712"/>
      <c r="C177" s="2713"/>
      <c r="E177" s="2712"/>
    </row>
    <row r="178" spans="1:5" s="1722" customFormat="1">
      <c r="A178" s="2712"/>
      <c r="C178" s="2713"/>
      <c r="E178" s="2712"/>
    </row>
    <row r="179" spans="1:5" s="1722" customFormat="1">
      <c r="A179" s="2712"/>
      <c r="C179" s="2713"/>
      <c r="E179" s="2712"/>
    </row>
    <row r="180" spans="1:5" s="1722" customFormat="1">
      <c r="A180" s="2712"/>
      <c r="C180" s="2713"/>
      <c r="E180" s="2712"/>
    </row>
    <row r="181" spans="1:5" s="1722" customFormat="1">
      <c r="A181" s="2712"/>
      <c r="C181" s="2713"/>
      <c r="E181" s="2712"/>
    </row>
    <row r="182" spans="1:5" s="1722" customFormat="1">
      <c r="A182" s="2712"/>
      <c r="C182" s="2713"/>
      <c r="E182" s="2712"/>
    </row>
    <row r="183" spans="1:5" s="1722" customFormat="1">
      <c r="A183" s="2712"/>
      <c r="C183" s="2713"/>
      <c r="E183" s="2712"/>
    </row>
    <row r="184" spans="1:5" s="1722" customFormat="1">
      <c r="A184" s="2712"/>
      <c r="C184" s="2713"/>
      <c r="E184" s="2712"/>
    </row>
    <row r="185" spans="1:5" s="1722" customFormat="1">
      <c r="A185" s="2712"/>
      <c r="C185" s="2713"/>
      <c r="E185" s="2712"/>
    </row>
    <row r="186" spans="1:5" s="1722" customFormat="1">
      <c r="A186" s="2712"/>
      <c r="C186" s="2713"/>
      <c r="E186" s="2712"/>
    </row>
    <row r="187" spans="1:5" s="1722" customFormat="1">
      <c r="A187" s="2712"/>
      <c r="C187" s="2713"/>
      <c r="E187" s="2712"/>
    </row>
    <row r="188" spans="1:5" s="1722" customFormat="1">
      <c r="A188" s="2712"/>
      <c r="C188" s="2713"/>
      <c r="E188" s="2712"/>
    </row>
    <row r="189" spans="1:5" s="1722" customFormat="1">
      <c r="A189" s="2712"/>
      <c r="C189" s="2713"/>
      <c r="E189" s="2712"/>
    </row>
    <row r="190" spans="1:5" s="1722" customFormat="1">
      <c r="A190" s="2712"/>
      <c r="C190" s="2713"/>
      <c r="E190" s="2712"/>
    </row>
    <row r="191" spans="1:5" s="1722" customFormat="1">
      <c r="A191" s="2712"/>
      <c r="C191" s="2713"/>
      <c r="E191" s="2712"/>
    </row>
    <row r="192" spans="1:5" s="1722" customFormat="1">
      <c r="A192" s="2712"/>
      <c r="C192" s="2713"/>
      <c r="E192" s="2712"/>
    </row>
    <row r="193" spans="1:5" s="1722" customFormat="1">
      <c r="A193" s="2712"/>
      <c r="C193" s="2713"/>
      <c r="E193" s="2712"/>
    </row>
    <row r="194" spans="1:5" s="1722" customFormat="1">
      <c r="A194" s="2712"/>
      <c r="C194" s="2713"/>
      <c r="E194" s="2712"/>
    </row>
    <row r="195" spans="1:5" s="1722" customFormat="1">
      <c r="A195" s="2712"/>
      <c r="C195" s="2713"/>
      <c r="E195" s="2712"/>
    </row>
    <row r="196" spans="1:5" s="1722" customFormat="1">
      <c r="A196" s="2712"/>
      <c r="C196" s="2713"/>
      <c r="E196" s="2712"/>
    </row>
    <row r="197" spans="1:5" s="1722" customFormat="1">
      <c r="A197" s="2712"/>
      <c r="C197" s="2713"/>
      <c r="E197" s="2712"/>
    </row>
    <row r="198" spans="1:5" s="1722" customFormat="1">
      <c r="A198" s="2712"/>
      <c r="C198" s="2713"/>
      <c r="E198" s="2712"/>
    </row>
    <row r="199" spans="1:5" s="1722" customFormat="1">
      <c r="A199" s="2712"/>
      <c r="C199" s="2713"/>
      <c r="E199" s="2712"/>
    </row>
    <row r="200" spans="1:5" s="1722" customFormat="1">
      <c r="A200" s="2712"/>
      <c r="C200" s="2713"/>
      <c r="E200" s="2712"/>
    </row>
    <row r="201" spans="1:5" s="1722" customFormat="1">
      <c r="A201" s="2712"/>
      <c r="C201" s="2713"/>
      <c r="E201" s="2712"/>
    </row>
    <row r="202" spans="1:5" s="1722" customFormat="1">
      <c r="A202" s="2712"/>
      <c r="C202" s="2713"/>
      <c r="E202" s="2712"/>
    </row>
    <row r="203" spans="1:5" s="1722" customFormat="1">
      <c r="A203" s="2712"/>
      <c r="C203" s="2713"/>
      <c r="E203" s="2712"/>
    </row>
    <row r="204" spans="1:5" s="1722" customFormat="1">
      <c r="A204" s="2712"/>
      <c r="C204" s="2713"/>
      <c r="E204" s="2712"/>
    </row>
    <row r="205" spans="1:5" s="1722" customFormat="1">
      <c r="A205" s="2712"/>
      <c r="C205" s="2713"/>
      <c r="E205" s="2712"/>
    </row>
    <row r="206" spans="1:5" s="1722" customFormat="1">
      <c r="A206" s="2712"/>
      <c r="C206" s="2713"/>
      <c r="E206" s="2712"/>
    </row>
    <row r="207" spans="1:5" s="1722" customFormat="1">
      <c r="A207" s="2712"/>
      <c r="C207" s="2713"/>
      <c r="E207" s="2712"/>
    </row>
    <row r="208" spans="1:5" s="1722" customFormat="1">
      <c r="A208" s="2712"/>
      <c r="C208" s="2713"/>
      <c r="E208" s="2712"/>
    </row>
    <row r="209" spans="1:5" s="1722" customFormat="1">
      <c r="A209" s="2712"/>
      <c r="C209" s="2713"/>
      <c r="E209" s="2712"/>
    </row>
    <row r="210" spans="1:5" s="1722" customFormat="1">
      <c r="A210" s="2712"/>
      <c r="C210" s="2713"/>
      <c r="E210" s="2712"/>
    </row>
    <row r="211" spans="1:5" s="1722" customFormat="1">
      <c r="A211" s="2712"/>
      <c r="C211" s="2713"/>
      <c r="E211" s="2712"/>
    </row>
    <row r="212" spans="1:5" s="1722" customFormat="1">
      <c r="A212" s="2712"/>
      <c r="C212" s="2713"/>
      <c r="E212" s="2712"/>
    </row>
    <row r="213" spans="1:5" s="1722" customFormat="1">
      <c r="A213" s="2712"/>
      <c r="C213" s="2713"/>
      <c r="E213" s="2712"/>
    </row>
    <row r="214" spans="1:5" s="1722" customFormat="1">
      <c r="A214" s="2712"/>
      <c r="C214" s="2713"/>
      <c r="E214" s="2712"/>
    </row>
    <row r="215" spans="1:5" s="1722" customFormat="1">
      <c r="A215" s="2712"/>
      <c r="C215" s="2713"/>
      <c r="E215" s="2712"/>
    </row>
    <row r="216" spans="1:5" s="1722" customFormat="1">
      <c r="A216" s="2712"/>
      <c r="C216" s="2713"/>
      <c r="E216" s="2712"/>
    </row>
    <row r="217" spans="1:5" s="1722" customFormat="1">
      <c r="A217" s="2712"/>
      <c r="C217" s="2713"/>
      <c r="E217" s="2712"/>
    </row>
    <row r="218" spans="1:5" s="1722" customFormat="1">
      <c r="A218" s="2712"/>
      <c r="C218" s="2713"/>
      <c r="E218" s="2712"/>
    </row>
    <row r="219" spans="1:5" s="1722" customFormat="1">
      <c r="A219" s="2712"/>
      <c r="C219" s="2713"/>
      <c r="E219" s="2712"/>
    </row>
    <row r="220" spans="1:5" s="1722" customFormat="1">
      <c r="A220" s="2712"/>
      <c r="C220" s="2713"/>
      <c r="E220" s="2712"/>
    </row>
    <row r="221" spans="1:5" s="1722" customFormat="1">
      <c r="A221" s="2712"/>
      <c r="C221" s="2713"/>
      <c r="E221" s="2712"/>
    </row>
    <row r="222" spans="1:5" s="1722" customFormat="1">
      <c r="A222" s="2712"/>
      <c r="C222" s="2713"/>
      <c r="E222" s="2712"/>
    </row>
    <row r="223" spans="1:5" s="1722" customFormat="1">
      <c r="A223" s="2712"/>
      <c r="C223" s="2713"/>
      <c r="E223" s="2712"/>
    </row>
    <row r="224" spans="1:5" s="1722" customFormat="1">
      <c r="A224" s="2712"/>
      <c r="C224" s="2713"/>
      <c r="E224" s="2712"/>
    </row>
    <row r="225" spans="1:5" s="1722" customFormat="1">
      <c r="A225" s="2712"/>
      <c r="C225" s="2713"/>
      <c r="E225" s="2712"/>
    </row>
    <row r="226" spans="1:5" s="1722" customFormat="1">
      <c r="A226" s="2712"/>
      <c r="C226" s="2713"/>
      <c r="E226" s="2712"/>
    </row>
    <row r="227" spans="1:5" s="1722" customFormat="1">
      <c r="A227" s="2712"/>
      <c r="C227" s="2713"/>
      <c r="E227" s="2712"/>
    </row>
    <row r="228" spans="1:5" s="1722" customFormat="1">
      <c r="A228" s="2712"/>
      <c r="C228" s="2713"/>
      <c r="E228" s="2712"/>
    </row>
    <row r="229" spans="1:5" s="1722" customFormat="1">
      <c r="A229" s="2712"/>
      <c r="C229" s="2713"/>
      <c r="E229" s="2712"/>
    </row>
    <row r="230" spans="1:5" s="1722" customFormat="1">
      <c r="A230" s="2712"/>
      <c r="C230" s="2713"/>
      <c r="E230" s="2712"/>
    </row>
    <row r="231" spans="1:5" s="1722" customFormat="1">
      <c r="A231" s="2712"/>
      <c r="C231" s="2713"/>
      <c r="E231" s="2712"/>
    </row>
    <row r="232" spans="1:5" s="1722" customFormat="1">
      <c r="A232" s="2712"/>
      <c r="C232" s="2713"/>
      <c r="E232" s="2712"/>
    </row>
    <row r="233" spans="1:5" s="1722" customFormat="1">
      <c r="A233" s="2712"/>
      <c r="C233" s="2713"/>
      <c r="E233" s="2712"/>
    </row>
    <row r="234" spans="1:5" s="1722" customFormat="1">
      <c r="A234" s="2712"/>
      <c r="C234" s="2713"/>
      <c r="E234" s="2712"/>
    </row>
    <row r="235" spans="1:5" s="1722" customFormat="1">
      <c r="A235" s="2712"/>
      <c r="C235" s="2713"/>
      <c r="E235" s="2712"/>
    </row>
    <row r="236" spans="1:5" s="1722" customFormat="1">
      <c r="A236" s="2712"/>
      <c r="C236" s="2713"/>
      <c r="E236" s="2712"/>
    </row>
    <row r="237" spans="1:5" s="1722" customFormat="1">
      <c r="A237" s="2712"/>
      <c r="C237" s="2713"/>
      <c r="E237" s="2712"/>
    </row>
    <row r="238" spans="1:5" s="1722" customFormat="1">
      <c r="A238" s="2712"/>
      <c r="C238" s="2713"/>
      <c r="E238" s="2712"/>
    </row>
    <row r="239" spans="1:5" s="1722" customFormat="1">
      <c r="A239" s="2712"/>
      <c r="C239" s="2713"/>
      <c r="E239" s="2712"/>
    </row>
    <row r="240" spans="1:5" s="1722" customFormat="1">
      <c r="A240" s="2712"/>
      <c r="C240" s="2713"/>
      <c r="E240" s="2712"/>
    </row>
    <row r="241" spans="1:5" s="1722" customFormat="1">
      <c r="A241" s="2712"/>
      <c r="C241" s="2713"/>
      <c r="E241" s="2712"/>
    </row>
    <row r="242" spans="1:5" s="1722" customFormat="1">
      <c r="A242" s="2712"/>
      <c r="C242" s="2713"/>
      <c r="E242" s="2712"/>
    </row>
    <row r="243" spans="1:5" s="1722" customFormat="1">
      <c r="A243" s="2712"/>
      <c r="C243" s="2713"/>
      <c r="E243" s="2712"/>
    </row>
    <row r="244" spans="1:5" s="1722" customFormat="1">
      <c r="A244" s="2712"/>
      <c r="C244" s="2713"/>
      <c r="E244" s="2712"/>
    </row>
    <row r="245" spans="1:5" s="1722" customFormat="1">
      <c r="A245" s="2712"/>
      <c r="C245" s="2713"/>
      <c r="E245" s="2712"/>
    </row>
    <row r="246" spans="1:5" s="1722" customFormat="1">
      <c r="A246" s="2712"/>
      <c r="C246" s="2713"/>
      <c r="E246" s="2712"/>
    </row>
    <row r="247" spans="1:5" s="1722" customFormat="1">
      <c r="A247" s="2712"/>
      <c r="C247" s="2713"/>
      <c r="E247" s="2712"/>
    </row>
    <row r="248" spans="1:5" s="1722" customFormat="1">
      <c r="A248" s="2712"/>
      <c r="C248" s="2713"/>
      <c r="E248" s="2712"/>
    </row>
    <row r="249" spans="1:5" s="1722" customFormat="1">
      <c r="A249" s="2712"/>
      <c r="C249" s="2713"/>
      <c r="E249" s="2712"/>
    </row>
    <row r="250" spans="1:5" s="1722" customFormat="1">
      <c r="A250" s="2712"/>
      <c r="C250" s="2713"/>
      <c r="E250" s="2712"/>
    </row>
    <row r="251" spans="1:5" s="1722" customFormat="1">
      <c r="A251" s="2712"/>
      <c r="C251" s="2713"/>
      <c r="E251" s="2712"/>
    </row>
    <row r="252" spans="1:5" s="1722" customFormat="1">
      <c r="A252" s="2712"/>
      <c r="C252" s="2713"/>
      <c r="E252" s="2712"/>
    </row>
    <row r="253" spans="1:5" s="1722" customFormat="1">
      <c r="A253" s="2712"/>
      <c r="C253" s="2713"/>
      <c r="E253" s="2712"/>
    </row>
    <row r="254" spans="1:5" s="1722" customFormat="1">
      <c r="A254" s="2712"/>
      <c r="C254" s="2713"/>
      <c r="E254" s="2712"/>
    </row>
    <row r="255" spans="1:5" s="1722" customFormat="1">
      <c r="A255" s="2712"/>
      <c r="C255" s="2713"/>
      <c r="E255" s="2712"/>
    </row>
    <row r="256" spans="1:5" s="1722" customFormat="1">
      <c r="A256" s="2712"/>
      <c r="C256" s="2713"/>
      <c r="E256" s="2712"/>
    </row>
    <row r="257" spans="1:5" s="1722" customFormat="1">
      <c r="A257" s="2712"/>
      <c r="C257" s="2713"/>
      <c r="E257" s="2712"/>
    </row>
    <row r="258" spans="1:5" s="1722" customFormat="1">
      <c r="A258" s="2712"/>
      <c r="C258" s="2713"/>
      <c r="E258" s="2712"/>
    </row>
    <row r="259" spans="1:5" s="1722" customFormat="1">
      <c r="A259" s="2712"/>
      <c r="C259" s="2713"/>
      <c r="E259" s="2712"/>
    </row>
    <row r="260" spans="1:5" s="1722" customFormat="1">
      <c r="A260" s="2712"/>
      <c r="C260" s="2713"/>
      <c r="E260" s="2712"/>
    </row>
    <row r="261" spans="1:5" s="1722" customFormat="1">
      <c r="A261" s="2712"/>
      <c r="C261" s="2713"/>
      <c r="E261" s="2712"/>
    </row>
    <row r="262" spans="1:5" s="1722" customFormat="1">
      <c r="A262" s="2712"/>
      <c r="C262" s="2713"/>
      <c r="E262" s="2712"/>
    </row>
    <row r="263" spans="1:5" s="1722" customFormat="1">
      <c r="A263" s="2712"/>
      <c r="C263" s="2713"/>
      <c r="E263" s="2712"/>
    </row>
    <row r="264" spans="1:5" s="1722" customFormat="1">
      <c r="A264" s="2712"/>
      <c r="C264" s="2713"/>
      <c r="E264" s="2712"/>
    </row>
    <row r="265" spans="1:5" s="1722" customFormat="1">
      <c r="A265" s="2712"/>
      <c r="C265" s="2713"/>
      <c r="E265" s="2712"/>
    </row>
    <row r="266" spans="1:5" s="1722" customFormat="1">
      <c r="A266" s="2712"/>
      <c r="C266" s="2713"/>
      <c r="E266" s="2712"/>
    </row>
    <row r="267" spans="1:5" s="1722" customFormat="1">
      <c r="A267" s="2712"/>
      <c r="C267" s="2713"/>
      <c r="E267" s="2712"/>
    </row>
    <row r="268" spans="1:5" s="1722" customFormat="1">
      <c r="A268" s="2712"/>
      <c r="C268" s="2713"/>
      <c r="E268" s="2712"/>
    </row>
    <row r="269" spans="1:5" s="1722" customFormat="1">
      <c r="A269" s="2712"/>
      <c r="C269" s="2713"/>
      <c r="E269" s="2712"/>
    </row>
    <row r="270" spans="1:5" s="1722" customFormat="1">
      <c r="A270" s="2712"/>
      <c r="C270" s="2713"/>
      <c r="E270" s="2712"/>
    </row>
    <row r="271" spans="1:5" s="1722" customFormat="1">
      <c r="A271" s="2712"/>
      <c r="C271" s="2713"/>
      <c r="E271" s="2712"/>
    </row>
    <row r="272" spans="1:5" s="1722" customFormat="1">
      <c r="A272" s="2712"/>
      <c r="C272" s="2713"/>
      <c r="E272" s="2712"/>
    </row>
    <row r="273" spans="1:5" s="1722" customFormat="1">
      <c r="A273" s="2712"/>
      <c r="C273" s="2713"/>
      <c r="E273" s="2712"/>
    </row>
    <row r="274" spans="1:5" s="1722" customFormat="1">
      <c r="A274" s="2712"/>
      <c r="C274" s="2713"/>
      <c r="E274" s="2712"/>
    </row>
    <row r="275" spans="1:5" s="1722" customFormat="1">
      <c r="A275" s="2712"/>
      <c r="C275" s="2713"/>
      <c r="E275" s="2712"/>
    </row>
    <row r="276" spans="1:5" s="1722" customFormat="1">
      <c r="A276" s="2712"/>
      <c r="C276" s="2713"/>
      <c r="E276" s="2712"/>
    </row>
    <row r="277" spans="1:5" s="1722" customFormat="1">
      <c r="A277" s="2712"/>
      <c r="C277" s="2713"/>
      <c r="E277" s="2712"/>
    </row>
    <row r="278" spans="1:5" s="1722" customFormat="1">
      <c r="A278" s="2712"/>
      <c r="C278" s="2713"/>
      <c r="E278" s="2712"/>
    </row>
    <row r="279" spans="1:5" s="1722" customFormat="1">
      <c r="A279" s="2712"/>
      <c r="C279" s="2713"/>
      <c r="E279" s="2712"/>
    </row>
    <row r="280" spans="1:5" s="1722" customFormat="1">
      <c r="A280" s="2712"/>
      <c r="C280" s="2713"/>
      <c r="E280" s="2712"/>
    </row>
    <row r="281" spans="1:5" s="1722" customFormat="1">
      <c r="A281" s="2712"/>
      <c r="C281" s="2713"/>
      <c r="E281" s="2712"/>
    </row>
    <row r="282" spans="1:5" s="1722" customFormat="1">
      <c r="A282" s="2712"/>
      <c r="C282" s="2713"/>
      <c r="E282" s="2712"/>
    </row>
    <row r="283" spans="1:5" s="1722" customFormat="1">
      <c r="A283" s="2712"/>
      <c r="C283" s="2713"/>
      <c r="E283" s="2712"/>
    </row>
    <row r="284" spans="1:5" s="1722" customFormat="1">
      <c r="A284" s="2712"/>
      <c r="C284" s="2713"/>
      <c r="E284" s="2712"/>
    </row>
    <row r="285" spans="1:5" s="1722" customFormat="1">
      <c r="A285" s="2712"/>
      <c r="C285" s="2713"/>
      <c r="E285" s="2712"/>
    </row>
    <row r="286" spans="1:5" s="1722" customFormat="1">
      <c r="A286" s="2712"/>
      <c r="C286" s="2713"/>
      <c r="E286" s="2712"/>
    </row>
    <row r="287" spans="1:5" s="1722" customFormat="1">
      <c r="A287" s="2712"/>
      <c r="C287" s="2713"/>
      <c r="E287" s="2712"/>
    </row>
    <row r="288" spans="1:5" s="1722" customFormat="1">
      <c r="A288" s="2712"/>
      <c r="C288" s="2713"/>
      <c r="E288" s="2712"/>
    </row>
    <row r="289" spans="1:5" s="1722" customFormat="1">
      <c r="A289" s="2712"/>
      <c r="C289" s="2713"/>
      <c r="E289" s="2712"/>
    </row>
    <row r="290" spans="1:5" s="1722" customFormat="1">
      <c r="A290" s="2712"/>
      <c r="C290" s="2713"/>
      <c r="E290" s="2712"/>
    </row>
    <row r="291" spans="1:5" s="1722" customFormat="1">
      <c r="A291" s="2712"/>
      <c r="C291" s="2713"/>
      <c r="E291" s="2712"/>
    </row>
    <row r="292" spans="1:5" s="1722" customFormat="1">
      <c r="A292" s="2712"/>
      <c r="C292" s="2713"/>
      <c r="E292" s="2712"/>
    </row>
    <row r="293" spans="1:5" s="1722" customFormat="1">
      <c r="A293" s="2712"/>
      <c r="C293" s="2713"/>
      <c r="E293" s="2712"/>
    </row>
    <row r="294" spans="1:5" s="1722" customFormat="1">
      <c r="A294" s="2712"/>
      <c r="C294" s="2713"/>
      <c r="E294" s="2712"/>
    </row>
    <row r="295" spans="1:5" s="1722" customFormat="1">
      <c r="A295" s="2712"/>
      <c r="C295" s="2713"/>
      <c r="E295" s="2712"/>
    </row>
    <row r="296" spans="1:5" s="1722" customFormat="1">
      <c r="A296" s="2712"/>
      <c r="C296" s="2713"/>
      <c r="E296" s="2712"/>
    </row>
    <row r="297" spans="1:5" s="1722" customFormat="1">
      <c r="A297" s="2712"/>
      <c r="C297" s="2713"/>
      <c r="E297" s="2712"/>
    </row>
    <row r="298" spans="1:5" s="1722" customFormat="1">
      <c r="A298" s="2712"/>
      <c r="C298" s="2713"/>
      <c r="E298" s="2712"/>
    </row>
    <row r="299" spans="1:5" s="1722" customFormat="1">
      <c r="A299" s="2712"/>
      <c r="C299" s="2713"/>
      <c r="E299" s="2712"/>
    </row>
    <row r="300" spans="1:5" s="1722" customFormat="1">
      <c r="A300" s="2712"/>
      <c r="C300" s="2713"/>
      <c r="E300" s="2712"/>
    </row>
    <row r="301" spans="1:5" s="1722" customFormat="1">
      <c r="A301" s="2712"/>
      <c r="C301" s="2713"/>
      <c r="E301" s="2712"/>
    </row>
    <row r="302" spans="1:5" s="1722" customFormat="1">
      <c r="A302" s="2712"/>
      <c r="C302" s="2713"/>
      <c r="E302" s="2712"/>
    </row>
    <row r="303" spans="1:5" s="1722" customFormat="1">
      <c r="A303" s="2712"/>
      <c r="C303" s="2713"/>
      <c r="E303" s="2712"/>
    </row>
    <row r="304" spans="1:5" s="1722" customFormat="1">
      <c r="A304" s="2712"/>
      <c r="C304" s="2713"/>
      <c r="E304" s="2712"/>
    </row>
    <row r="305" spans="1:5" s="1722" customFormat="1">
      <c r="A305" s="2712"/>
      <c r="C305" s="2713"/>
      <c r="E305" s="2712"/>
    </row>
    <row r="306" spans="1:5" s="1722" customFormat="1">
      <c r="A306" s="2712"/>
      <c r="C306" s="2713"/>
      <c r="E306" s="2712"/>
    </row>
    <row r="307" spans="1:5" s="1722" customFormat="1">
      <c r="A307" s="2712"/>
      <c r="C307" s="2713"/>
      <c r="E307" s="2712"/>
    </row>
    <row r="308" spans="1:5" s="1722" customFormat="1">
      <c r="A308" s="2712"/>
      <c r="C308" s="2713"/>
      <c r="E308" s="2712"/>
    </row>
    <row r="309" spans="1:5" s="1722" customFormat="1">
      <c r="A309" s="2712"/>
      <c r="C309" s="2713"/>
      <c r="E309" s="2712"/>
    </row>
    <row r="310" spans="1:5" s="1722" customFormat="1">
      <c r="A310" s="2712"/>
      <c r="C310" s="2713"/>
      <c r="E310" s="2712"/>
    </row>
    <row r="311" spans="1:5" s="1722" customFormat="1">
      <c r="A311" s="2712"/>
      <c r="C311" s="2713"/>
      <c r="E311" s="2712"/>
    </row>
    <row r="312" spans="1:5" s="1722" customFormat="1">
      <c r="A312" s="2712"/>
      <c r="C312" s="2713"/>
      <c r="E312" s="2712"/>
    </row>
    <row r="313" spans="1:5" s="1722" customFormat="1">
      <c r="A313" s="2712"/>
      <c r="C313" s="2713"/>
      <c r="E313" s="2712"/>
    </row>
    <row r="314" spans="1:5" s="1722" customFormat="1">
      <c r="A314" s="2712"/>
      <c r="C314" s="2713"/>
      <c r="E314" s="2712"/>
    </row>
    <row r="315" spans="1:5" s="1722" customFormat="1">
      <c r="A315" s="2712"/>
      <c r="C315" s="2713"/>
      <c r="E315" s="2712"/>
    </row>
    <row r="316" spans="1:5" s="1722" customFormat="1">
      <c r="A316" s="2712"/>
      <c r="C316" s="2713"/>
      <c r="E316" s="2712"/>
    </row>
    <row r="317" spans="1:5" s="1722" customFormat="1">
      <c r="A317" s="2712"/>
      <c r="C317" s="2713"/>
      <c r="E317" s="2712"/>
    </row>
    <row r="318" spans="1:5" s="1722" customFormat="1">
      <c r="A318" s="2712"/>
      <c r="C318" s="2713"/>
      <c r="E318" s="2712"/>
    </row>
    <row r="319" spans="1:5" s="1722" customFormat="1">
      <c r="A319" s="2712"/>
      <c r="C319" s="2713"/>
      <c r="E319" s="2712"/>
    </row>
    <row r="320" spans="1:5" s="1722" customFormat="1">
      <c r="A320" s="2712"/>
      <c r="C320" s="2713"/>
      <c r="E320" s="2712"/>
    </row>
    <row r="321" spans="1:5" s="1722" customFormat="1">
      <c r="A321" s="2712"/>
      <c r="C321" s="2713"/>
      <c r="E321" s="2712"/>
    </row>
    <row r="322" spans="1:5" s="1722" customFormat="1">
      <c r="A322" s="2712"/>
      <c r="C322" s="2713"/>
      <c r="E322" s="2712"/>
    </row>
    <row r="323" spans="1:5" s="1722" customFormat="1">
      <c r="A323" s="2712"/>
      <c r="C323" s="2713"/>
      <c r="E323" s="2712"/>
    </row>
    <row r="324" spans="1:5" s="1722" customFormat="1">
      <c r="A324" s="2712"/>
      <c r="C324" s="2713"/>
      <c r="E324" s="2712"/>
    </row>
    <row r="325" spans="1:5" s="1722" customFormat="1">
      <c r="A325" s="2712"/>
      <c r="C325" s="2713"/>
      <c r="E325" s="2712"/>
    </row>
    <row r="326" spans="1:5" s="1722" customFormat="1">
      <c r="A326" s="2712"/>
      <c r="C326" s="2713"/>
      <c r="E326" s="2712"/>
    </row>
    <row r="327" spans="1:5" s="1722" customFormat="1">
      <c r="A327" s="2712"/>
      <c r="C327" s="2713"/>
      <c r="E327" s="2712"/>
    </row>
    <row r="328" spans="1:5" s="1722" customFormat="1">
      <c r="A328" s="2712"/>
      <c r="C328" s="2713"/>
      <c r="E328" s="2712"/>
    </row>
    <row r="329" spans="1:5" s="1722" customFormat="1">
      <c r="A329" s="2712"/>
      <c r="C329" s="2713"/>
      <c r="E329" s="2712"/>
    </row>
    <row r="330" spans="1:5" s="1722" customFormat="1">
      <c r="A330" s="2712"/>
      <c r="C330" s="2713"/>
      <c r="E330" s="2712"/>
    </row>
    <row r="331" spans="1:5" s="1722" customFormat="1">
      <c r="A331" s="2712"/>
      <c r="C331" s="2713"/>
      <c r="E331" s="2712"/>
    </row>
    <row r="332" spans="1:5" s="1722" customFormat="1">
      <c r="A332" s="2712"/>
      <c r="C332" s="2713"/>
      <c r="E332" s="2712"/>
    </row>
    <row r="333" spans="1:5" s="1722" customFormat="1">
      <c r="A333" s="2712"/>
      <c r="C333" s="2713"/>
      <c r="E333" s="2712"/>
    </row>
    <row r="334" spans="1:5" s="1722" customFormat="1">
      <c r="A334" s="2712"/>
      <c r="C334" s="2713"/>
      <c r="E334" s="2712"/>
    </row>
    <row r="335" spans="1:5" s="1722" customFormat="1">
      <c r="A335" s="2712"/>
      <c r="C335" s="2713"/>
      <c r="E335" s="2712"/>
    </row>
    <row r="336" spans="1:5" s="1722" customFormat="1">
      <c r="A336" s="2712"/>
      <c r="C336" s="2713"/>
      <c r="E336" s="2712"/>
    </row>
    <row r="337" spans="1:5" s="1722" customFormat="1">
      <c r="A337" s="2712"/>
      <c r="C337" s="2713"/>
      <c r="E337" s="2712"/>
    </row>
    <row r="338" spans="1:5" s="1722" customFormat="1">
      <c r="A338" s="2712"/>
      <c r="C338" s="2713"/>
      <c r="E338" s="2712"/>
    </row>
    <row r="339" spans="1:5" s="1722" customFormat="1">
      <c r="A339" s="2712"/>
      <c r="C339" s="2713"/>
      <c r="E339" s="2712"/>
    </row>
    <row r="340" spans="1:5" s="1722" customFormat="1">
      <c r="A340" s="2712"/>
      <c r="C340" s="2713"/>
      <c r="E340" s="2712"/>
    </row>
    <row r="341" spans="1:5" s="1722" customFormat="1">
      <c r="A341" s="2712"/>
      <c r="C341" s="2713"/>
      <c r="E341" s="2712"/>
    </row>
    <row r="342" spans="1:5" s="1722" customFormat="1">
      <c r="A342" s="2712"/>
      <c r="C342" s="2713"/>
      <c r="E342" s="2712"/>
    </row>
    <row r="343" spans="1:5" s="1722" customFormat="1">
      <c r="A343" s="2712"/>
      <c r="C343" s="2713"/>
      <c r="E343" s="2712"/>
    </row>
    <row r="344" spans="1:5" s="1722" customFormat="1">
      <c r="A344" s="2712"/>
      <c r="C344" s="2713"/>
      <c r="E344" s="2712"/>
    </row>
    <row r="345" spans="1:5" s="1722" customFormat="1">
      <c r="A345" s="2712"/>
      <c r="C345" s="2713"/>
      <c r="E345" s="2712"/>
    </row>
    <row r="346" spans="1:5" s="1722" customFormat="1">
      <c r="A346" s="2712"/>
      <c r="C346" s="2713"/>
      <c r="E346" s="2712"/>
    </row>
    <row r="347" spans="1:5" s="1722" customFormat="1">
      <c r="A347" s="2712"/>
      <c r="C347" s="2713"/>
      <c r="E347" s="2712"/>
    </row>
    <row r="348" spans="1:5" s="1722" customFormat="1">
      <c r="A348" s="2712"/>
      <c r="C348" s="2713"/>
      <c r="E348" s="2712"/>
    </row>
    <row r="349" spans="1:5" s="1722" customFormat="1">
      <c r="A349" s="2712"/>
      <c r="C349" s="2713"/>
      <c r="E349" s="2712"/>
    </row>
    <row r="350" spans="1:5" s="1722" customFormat="1">
      <c r="A350" s="2712"/>
      <c r="C350" s="2713"/>
      <c r="E350" s="2712"/>
    </row>
    <row r="351" spans="1:5" s="1722" customFormat="1">
      <c r="A351" s="2712"/>
      <c r="C351" s="2713"/>
      <c r="E351" s="2712"/>
    </row>
    <row r="352" spans="1:5" s="1722" customFormat="1">
      <c r="A352" s="2712"/>
      <c r="C352" s="2713"/>
      <c r="E352" s="2712"/>
    </row>
    <row r="353" spans="1:5" s="1722" customFormat="1">
      <c r="A353" s="2712"/>
      <c r="C353" s="2713"/>
      <c r="E353" s="2712"/>
    </row>
    <row r="354" spans="1:5" s="1722" customFormat="1">
      <c r="A354" s="2712"/>
      <c r="C354" s="2713"/>
      <c r="E354" s="2712"/>
    </row>
    <row r="355" spans="1:5" s="1722" customFormat="1">
      <c r="A355" s="2712"/>
      <c r="C355" s="2713"/>
      <c r="E355" s="2712"/>
    </row>
    <row r="356" spans="1:5" s="1722" customFormat="1">
      <c r="A356" s="2712"/>
      <c r="C356" s="2713"/>
      <c r="E356" s="2712"/>
    </row>
    <row r="357" spans="1:5" s="1722" customFormat="1">
      <c r="A357" s="2712"/>
      <c r="C357" s="2713"/>
      <c r="E357" s="2712"/>
    </row>
    <row r="358" spans="1:5" s="1722" customFormat="1">
      <c r="A358" s="2712"/>
      <c r="C358" s="2713"/>
      <c r="E358" s="2712"/>
    </row>
    <row r="359" spans="1:5" s="1722" customFormat="1">
      <c r="A359" s="2712"/>
      <c r="C359" s="2713"/>
      <c r="E359" s="2712"/>
    </row>
    <row r="360" spans="1:5" s="1722" customFormat="1">
      <c r="A360" s="2712"/>
      <c r="C360" s="2713"/>
      <c r="E360" s="2712"/>
    </row>
    <row r="361" spans="1:5" s="1722" customFormat="1">
      <c r="A361" s="2712"/>
      <c r="C361" s="2713"/>
      <c r="E361" s="2712"/>
    </row>
    <row r="362" spans="1:5" s="1722" customFormat="1">
      <c r="A362" s="2712"/>
      <c r="C362" s="2713"/>
      <c r="E362" s="2712"/>
    </row>
    <row r="363" spans="1:5" s="1722" customFormat="1">
      <c r="A363" s="2712"/>
      <c r="C363" s="2713"/>
      <c r="E363" s="2712"/>
    </row>
    <row r="364" spans="1:5" s="1722" customFormat="1">
      <c r="A364" s="2712"/>
      <c r="C364" s="2713"/>
      <c r="E364" s="2712"/>
    </row>
    <row r="365" spans="1:5" s="1722" customFormat="1">
      <c r="A365" s="2712"/>
      <c r="C365" s="2713"/>
      <c r="E365" s="2712"/>
    </row>
    <row r="366" spans="1:5" s="1722" customFormat="1">
      <c r="A366" s="2712"/>
      <c r="C366" s="2713"/>
      <c r="E366" s="2712"/>
    </row>
    <row r="367" spans="1:5" s="1722" customFormat="1">
      <c r="A367" s="2712"/>
      <c r="C367" s="2713"/>
      <c r="E367" s="2712"/>
    </row>
    <row r="368" spans="1:5" s="1722" customFormat="1">
      <c r="A368" s="2712"/>
      <c r="C368" s="2713"/>
      <c r="E368" s="2712"/>
    </row>
    <row r="369" spans="1:5" s="1722" customFormat="1">
      <c r="A369" s="2712"/>
      <c r="C369" s="2713"/>
      <c r="E369" s="2712"/>
    </row>
    <row r="370" spans="1:5" s="1722" customFormat="1">
      <c r="A370" s="2712"/>
      <c r="C370" s="2713"/>
      <c r="E370" s="2712"/>
    </row>
    <row r="371" spans="1:5" s="1722" customFormat="1">
      <c r="A371" s="2712"/>
      <c r="C371" s="2713"/>
      <c r="E371" s="2712"/>
    </row>
    <row r="372" spans="1:5" s="1722" customFormat="1">
      <c r="A372" s="2712"/>
      <c r="C372" s="2713"/>
      <c r="E372" s="2712"/>
    </row>
    <row r="373" spans="1:5" s="1722" customFormat="1">
      <c r="A373" s="2712"/>
      <c r="C373" s="2713"/>
      <c r="E373" s="2712"/>
    </row>
    <row r="374" spans="1:5" s="1722" customFormat="1">
      <c r="A374" s="2712"/>
      <c r="C374" s="2713"/>
      <c r="E374" s="2712"/>
    </row>
    <row r="375" spans="1:5" s="1722" customFormat="1">
      <c r="A375" s="2712"/>
      <c r="C375" s="2713"/>
      <c r="E375" s="2712"/>
    </row>
    <row r="376" spans="1:5" s="1722" customFormat="1">
      <c r="A376" s="2712"/>
      <c r="C376" s="2713"/>
      <c r="E376" s="2712"/>
    </row>
    <row r="377" spans="1:5" s="1722" customFormat="1">
      <c r="A377" s="2712"/>
      <c r="C377" s="2713"/>
      <c r="E377" s="2712"/>
    </row>
    <row r="378" spans="1:5" s="1722" customFormat="1">
      <c r="A378" s="2712"/>
      <c r="C378" s="2713"/>
      <c r="E378" s="2712"/>
    </row>
    <row r="379" spans="1:5" s="1722" customFormat="1">
      <c r="A379" s="2712"/>
      <c r="C379" s="2713"/>
      <c r="E379" s="2712"/>
    </row>
    <row r="380" spans="1:5" s="1722" customFormat="1">
      <c r="A380" s="2712"/>
      <c r="C380" s="2713"/>
      <c r="E380" s="2712"/>
    </row>
    <row r="381" spans="1:5" s="1722" customFormat="1">
      <c r="A381" s="2712"/>
      <c r="C381" s="2713"/>
      <c r="E381" s="2712"/>
    </row>
    <row r="382" spans="1:5" s="1722" customFormat="1">
      <c r="A382" s="2712"/>
      <c r="C382" s="2713"/>
      <c r="E382" s="2712"/>
    </row>
    <row r="383" spans="1:5" s="1722" customFormat="1">
      <c r="A383" s="2712"/>
      <c r="C383" s="2713"/>
      <c r="E383" s="2712"/>
    </row>
    <row r="384" spans="1:5" s="1722" customFormat="1">
      <c r="A384" s="2712"/>
      <c r="C384" s="2713"/>
      <c r="E384" s="2712"/>
    </row>
    <row r="385" spans="1:5" s="1722" customFormat="1">
      <c r="A385" s="2712"/>
      <c r="C385" s="2713"/>
      <c r="E385" s="2712"/>
    </row>
    <row r="386" spans="1:5" s="1722" customFormat="1">
      <c r="A386" s="2712"/>
      <c r="C386" s="2713"/>
      <c r="E386" s="2712"/>
    </row>
    <row r="387" spans="1:5" s="1722" customFormat="1">
      <c r="A387" s="2712"/>
      <c r="C387" s="2713"/>
      <c r="E387" s="2712"/>
    </row>
    <row r="388" spans="1:5" s="1722" customFormat="1">
      <c r="A388" s="2712"/>
      <c r="C388" s="2713"/>
      <c r="E388" s="2712"/>
    </row>
    <row r="389" spans="1:5" s="1722" customFormat="1">
      <c r="A389" s="2712"/>
      <c r="C389" s="2713"/>
      <c r="E389" s="2712"/>
    </row>
    <row r="390" spans="1:5" s="1722" customFormat="1">
      <c r="A390" s="2712"/>
      <c r="C390" s="2713"/>
      <c r="E390" s="2712"/>
    </row>
    <row r="391" spans="1:5" s="1722" customFormat="1">
      <c r="A391" s="2712"/>
      <c r="C391" s="2713"/>
      <c r="E391" s="2712"/>
    </row>
    <row r="392" spans="1:5" s="1722" customFormat="1">
      <c r="A392" s="2712"/>
      <c r="C392" s="2713"/>
      <c r="E392" s="2712"/>
    </row>
    <row r="393" spans="1:5" s="1722" customFormat="1">
      <c r="A393" s="2712"/>
      <c r="C393" s="2713"/>
      <c r="E393" s="2712"/>
    </row>
    <row r="394" spans="1:5" s="1722" customFormat="1">
      <c r="A394" s="2712"/>
      <c r="C394" s="2713"/>
      <c r="E394" s="2712"/>
    </row>
    <row r="395" spans="1:5" s="1722" customFormat="1">
      <c r="A395" s="2712"/>
      <c r="C395" s="2713"/>
      <c r="E395" s="2712"/>
    </row>
    <row r="396" spans="1:5" s="1722" customFormat="1">
      <c r="A396" s="2712"/>
      <c r="C396" s="2713"/>
      <c r="E396" s="2712"/>
    </row>
    <row r="397" spans="1:5" s="1722" customFormat="1">
      <c r="A397" s="2712"/>
      <c r="C397" s="2713"/>
      <c r="E397" s="2712"/>
    </row>
    <row r="398" spans="1:5" s="1722" customFormat="1">
      <c r="A398" s="2712"/>
      <c r="C398" s="2713"/>
      <c r="E398" s="2712"/>
    </row>
    <row r="399" spans="1:5" s="1722" customFormat="1">
      <c r="A399" s="2712"/>
      <c r="C399" s="2713"/>
      <c r="E399" s="2712"/>
    </row>
    <row r="400" spans="1:5" s="1722" customFormat="1">
      <c r="A400" s="2712"/>
      <c r="C400" s="2713"/>
      <c r="E400" s="2712"/>
    </row>
    <row r="401" spans="1:5" s="1722" customFormat="1">
      <c r="A401" s="2712"/>
      <c r="C401" s="2713"/>
      <c r="E401" s="2712"/>
    </row>
    <row r="402" spans="1:5" s="1722" customFormat="1">
      <c r="A402" s="2712"/>
      <c r="C402" s="2713"/>
      <c r="E402" s="2712"/>
    </row>
    <row r="403" spans="1:5" s="1722" customFormat="1">
      <c r="A403" s="2712"/>
      <c r="C403" s="2713"/>
      <c r="E403" s="2712"/>
    </row>
    <row r="404" spans="1:5" s="1722" customFormat="1">
      <c r="A404" s="2712"/>
      <c r="C404" s="2713"/>
      <c r="E404" s="2712"/>
    </row>
    <row r="405" spans="1:5" s="1722" customFormat="1">
      <c r="A405" s="2712"/>
      <c r="C405" s="2713"/>
      <c r="E405" s="2712"/>
    </row>
    <row r="406" spans="1:5" s="1722" customFormat="1">
      <c r="A406" s="2712"/>
      <c r="C406" s="2713"/>
      <c r="E406" s="2712"/>
    </row>
    <row r="407" spans="1:5" s="1722" customFormat="1">
      <c r="A407" s="2712"/>
      <c r="C407" s="2713"/>
      <c r="E407" s="2712"/>
    </row>
    <row r="408" spans="1:5" s="1722" customFormat="1">
      <c r="A408" s="2712"/>
      <c r="C408" s="2713"/>
      <c r="E408" s="2712"/>
    </row>
    <row r="409" spans="1:5" s="1722" customFormat="1">
      <c r="A409" s="2712"/>
      <c r="C409" s="2713"/>
      <c r="E409" s="2712"/>
    </row>
    <row r="410" spans="1:5" s="1722" customFormat="1">
      <c r="A410" s="2712"/>
      <c r="C410" s="2713"/>
      <c r="E410" s="2712"/>
    </row>
    <row r="411" spans="1:5" s="1722" customFormat="1">
      <c r="A411" s="2712"/>
      <c r="C411" s="2713"/>
      <c r="E411" s="2712"/>
    </row>
    <row r="412" spans="1:5" s="1722" customFormat="1">
      <c r="A412" s="2712"/>
      <c r="C412" s="2713"/>
      <c r="E412" s="2712"/>
    </row>
    <row r="413" spans="1:5" s="1722" customFormat="1">
      <c r="A413" s="2712"/>
      <c r="C413" s="2713"/>
      <c r="E413" s="2712"/>
    </row>
    <row r="414" spans="1:5" s="1722" customFormat="1">
      <c r="A414" s="2712"/>
      <c r="C414" s="2713"/>
      <c r="E414" s="2712"/>
    </row>
    <row r="415" spans="1:5" s="1722" customFormat="1">
      <c r="A415" s="2712"/>
      <c r="C415" s="2713"/>
      <c r="E415" s="2712"/>
    </row>
    <row r="416" spans="1:5" s="1722" customFormat="1">
      <c r="A416" s="2712"/>
      <c r="C416" s="2713"/>
      <c r="E416" s="2712"/>
    </row>
    <row r="417" spans="1:5" s="1722" customFormat="1">
      <c r="A417" s="2712"/>
      <c r="C417" s="2713"/>
      <c r="E417" s="2712"/>
    </row>
    <row r="418" spans="1:5" s="1722" customFormat="1">
      <c r="A418" s="2712"/>
      <c r="C418" s="2713"/>
      <c r="E418" s="2712"/>
    </row>
    <row r="419" spans="1:5" s="1722" customFormat="1">
      <c r="A419" s="2712"/>
      <c r="C419" s="2713"/>
      <c r="E419" s="2712"/>
    </row>
    <row r="420" spans="1:5" s="1722" customFormat="1">
      <c r="A420" s="2712"/>
      <c r="C420" s="2713"/>
      <c r="E420" s="2712"/>
    </row>
    <row r="421" spans="1:5" s="1722" customFormat="1">
      <c r="A421" s="2712"/>
      <c r="C421" s="2713"/>
      <c r="E421" s="2712"/>
    </row>
    <row r="422" spans="1:5" s="1722" customFormat="1">
      <c r="A422" s="2712"/>
      <c r="C422" s="2713"/>
      <c r="E422" s="2712"/>
    </row>
    <row r="423" spans="1:5" s="1722" customFormat="1">
      <c r="A423" s="2712"/>
      <c r="C423" s="2713"/>
      <c r="E423" s="2712"/>
    </row>
    <row r="424" spans="1:5" s="1722" customFormat="1">
      <c r="A424" s="2712"/>
      <c r="C424" s="2713"/>
      <c r="E424" s="2712"/>
    </row>
    <row r="425" spans="1:5" s="1722" customFormat="1">
      <c r="A425" s="2712"/>
      <c r="C425" s="2713"/>
      <c r="E425" s="2712"/>
    </row>
    <row r="426" spans="1:5" s="1722" customFormat="1">
      <c r="A426" s="2712"/>
      <c r="C426" s="2713"/>
      <c r="E426" s="2712"/>
    </row>
    <row r="427" spans="1:5" s="1722" customFormat="1">
      <c r="A427" s="2712"/>
      <c r="C427" s="2713"/>
      <c r="E427" s="2712"/>
    </row>
    <row r="428" spans="1:5" s="1722" customFormat="1">
      <c r="A428" s="2712"/>
      <c r="C428" s="2713"/>
      <c r="E428" s="2712"/>
    </row>
    <row r="429" spans="1:5" s="1722" customFormat="1">
      <c r="A429" s="2712"/>
      <c r="C429" s="2713"/>
      <c r="E429" s="2712"/>
    </row>
    <row r="430" spans="1:5" s="1722" customFormat="1">
      <c r="A430" s="2712"/>
      <c r="C430" s="2713"/>
      <c r="E430" s="2712"/>
    </row>
    <row r="431" spans="1:5" s="1722" customFormat="1">
      <c r="A431" s="2712"/>
      <c r="C431" s="2713"/>
      <c r="E431" s="2712"/>
    </row>
    <row r="432" spans="1:5" s="1722" customFormat="1">
      <c r="A432" s="2712"/>
      <c r="C432" s="2713"/>
      <c r="E432" s="2712"/>
    </row>
    <row r="433" spans="1:5" s="1722" customFormat="1">
      <c r="A433" s="2712"/>
      <c r="C433" s="2713"/>
      <c r="E433" s="2712"/>
    </row>
    <row r="434" spans="1:5" s="1722" customFormat="1">
      <c r="A434" s="2712"/>
      <c r="C434" s="2713"/>
      <c r="E434" s="2712"/>
    </row>
    <row r="435" spans="1:5" s="1722" customFormat="1">
      <c r="A435" s="2712"/>
      <c r="C435" s="2713"/>
      <c r="E435" s="2712"/>
    </row>
    <row r="436" spans="1:5" s="1722" customFormat="1">
      <c r="A436" s="2712"/>
      <c r="C436" s="2713"/>
      <c r="E436" s="2712"/>
    </row>
    <row r="437" spans="1:5" s="1722" customFormat="1">
      <c r="A437" s="2712"/>
      <c r="C437" s="2713"/>
      <c r="E437" s="2712"/>
    </row>
    <row r="438" spans="1:5" s="1722" customFormat="1">
      <c r="A438" s="2712"/>
      <c r="C438" s="2713"/>
      <c r="E438" s="2712"/>
    </row>
    <row r="439" spans="1:5" s="1722" customFormat="1">
      <c r="A439" s="2712"/>
      <c r="C439" s="2713"/>
      <c r="E439" s="2712"/>
    </row>
    <row r="440" spans="1:5" s="1722" customFormat="1">
      <c r="A440" s="2712"/>
      <c r="C440" s="2713"/>
      <c r="E440" s="2712"/>
    </row>
    <row r="441" spans="1:5" s="1722" customFormat="1">
      <c r="A441" s="2712"/>
      <c r="C441" s="2713"/>
      <c r="E441" s="2712"/>
    </row>
    <row r="442" spans="1:5" s="1722" customFormat="1">
      <c r="A442" s="2712"/>
      <c r="C442" s="2713"/>
      <c r="E442" s="2712"/>
    </row>
    <row r="443" spans="1:5" s="1722" customFormat="1">
      <c r="A443" s="2712"/>
      <c r="C443" s="2713"/>
      <c r="E443" s="2712"/>
    </row>
    <row r="444" spans="1:5" s="1722" customFormat="1">
      <c r="A444" s="2712"/>
      <c r="C444" s="2713"/>
      <c r="E444" s="2712"/>
    </row>
    <row r="445" spans="1:5" s="1722" customFormat="1">
      <c r="A445" s="2712"/>
      <c r="C445" s="2713"/>
      <c r="E445" s="2712"/>
    </row>
    <row r="446" spans="1:5" s="1722" customFormat="1">
      <c r="A446" s="2712"/>
      <c r="C446" s="2713"/>
      <c r="E446" s="2712"/>
    </row>
    <row r="447" spans="1:5" s="1722" customFormat="1">
      <c r="A447" s="2712"/>
      <c r="C447" s="2713"/>
      <c r="E447" s="2712"/>
    </row>
    <row r="448" spans="1:5" s="1722" customFormat="1">
      <c r="A448" s="2712"/>
      <c r="C448" s="2713"/>
      <c r="E448" s="2712"/>
    </row>
    <row r="449" spans="1:5" s="1722" customFormat="1">
      <c r="A449" s="2712"/>
      <c r="C449" s="2713"/>
      <c r="E449" s="2712"/>
    </row>
    <row r="450" spans="1:5" s="1722" customFormat="1">
      <c r="A450" s="2712"/>
      <c r="C450" s="2713"/>
      <c r="E450" s="2712"/>
    </row>
    <row r="451" spans="1:5" s="1722" customFormat="1">
      <c r="A451" s="2712"/>
      <c r="C451" s="2713"/>
      <c r="E451" s="2712"/>
    </row>
    <row r="452" spans="1:5" s="1722" customFormat="1">
      <c r="A452" s="2712"/>
      <c r="C452" s="2713"/>
      <c r="E452" s="2712"/>
    </row>
    <row r="453" spans="1:5" s="1722" customFormat="1">
      <c r="A453" s="2712"/>
      <c r="C453" s="2713"/>
      <c r="E453" s="2712"/>
    </row>
    <row r="454" spans="1:5" s="1722" customFormat="1">
      <c r="A454" s="2712"/>
      <c r="C454" s="2713"/>
      <c r="E454" s="2712"/>
    </row>
    <row r="455" spans="1:5" s="1722" customFormat="1">
      <c r="A455" s="2712"/>
      <c r="C455" s="2713"/>
      <c r="E455" s="2712"/>
    </row>
    <row r="456" spans="1:5" s="1722" customFormat="1">
      <c r="A456" s="2712"/>
      <c r="C456" s="2713"/>
      <c r="E456" s="2712"/>
    </row>
    <row r="457" spans="1:5" s="1722" customFormat="1">
      <c r="A457" s="2712"/>
      <c r="C457" s="2713"/>
      <c r="E457" s="2712"/>
    </row>
    <row r="458" spans="1:5" s="1722" customFormat="1">
      <c r="A458" s="2712"/>
      <c r="C458" s="2713"/>
      <c r="E458" s="2712"/>
    </row>
    <row r="459" spans="1:5" s="1722" customFormat="1">
      <c r="A459" s="2712"/>
      <c r="C459" s="2713"/>
      <c r="E459" s="2712"/>
    </row>
    <row r="460" spans="1:5" s="1722" customFormat="1">
      <c r="A460" s="2712"/>
      <c r="C460" s="2713"/>
      <c r="E460" s="2712"/>
    </row>
    <row r="461" spans="1:5" s="1722" customFormat="1">
      <c r="A461" s="2712"/>
      <c r="C461" s="2713"/>
      <c r="E461" s="2712"/>
    </row>
    <row r="462" spans="1:5" s="1722" customFormat="1">
      <c r="A462" s="2712"/>
      <c r="C462" s="2713"/>
      <c r="E462" s="2712"/>
    </row>
    <row r="463" spans="1:5" s="1722" customFormat="1">
      <c r="A463" s="2712"/>
      <c r="C463" s="2713"/>
      <c r="E463" s="2712"/>
    </row>
    <row r="464" spans="1:5" s="1722" customFormat="1">
      <c r="A464" s="2712"/>
      <c r="C464" s="2713"/>
      <c r="E464" s="2712"/>
    </row>
    <row r="465" spans="1:5" s="1722" customFormat="1">
      <c r="A465" s="2712"/>
      <c r="C465" s="2713"/>
      <c r="E465" s="2712"/>
    </row>
    <row r="466" spans="1:5" s="1722" customFormat="1">
      <c r="A466" s="2712"/>
      <c r="C466" s="2713"/>
      <c r="E466" s="2712"/>
    </row>
    <row r="467" spans="1:5" s="1722" customFormat="1">
      <c r="A467" s="2712"/>
      <c r="C467" s="2713"/>
      <c r="E467" s="2712"/>
    </row>
    <row r="468" spans="1:5" s="1722" customFormat="1">
      <c r="A468" s="2712"/>
      <c r="C468" s="2713"/>
      <c r="E468" s="2712"/>
    </row>
    <row r="469" spans="1:5" s="1722" customFormat="1">
      <c r="A469" s="2712"/>
      <c r="C469" s="2713"/>
      <c r="E469" s="2712"/>
    </row>
    <row r="470" spans="1:5" s="1722" customFormat="1">
      <c r="A470" s="2712"/>
      <c r="C470" s="2713"/>
      <c r="E470" s="2712"/>
    </row>
    <row r="471" spans="1:5" s="1722" customFormat="1">
      <c r="A471" s="2712"/>
      <c r="C471" s="2713"/>
      <c r="E471" s="2712"/>
    </row>
    <row r="472" spans="1:5" s="1722" customFormat="1">
      <c r="A472" s="2712"/>
      <c r="C472" s="2713"/>
      <c r="E472" s="2712"/>
    </row>
    <row r="473" spans="1:5" s="1722" customFormat="1">
      <c r="A473" s="2712"/>
      <c r="C473" s="2713"/>
      <c r="E473" s="2712"/>
    </row>
    <row r="474" spans="1:5" s="1722" customFormat="1">
      <c r="A474" s="2712"/>
      <c r="C474" s="2713"/>
      <c r="E474" s="2712"/>
    </row>
    <row r="475" spans="1:5" s="1722" customFormat="1">
      <c r="A475" s="2712"/>
      <c r="C475" s="2713"/>
      <c r="E475" s="2712"/>
    </row>
    <row r="476" spans="1:5" s="1722" customFormat="1">
      <c r="A476" s="2712"/>
      <c r="C476" s="2713"/>
      <c r="E476" s="2712"/>
    </row>
    <row r="477" spans="1:5" s="1722" customFormat="1">
      <c r="A477" s="2712"/>
      <c r="C477" s="2713"/>
      <c r="E477" s="2712"/>
    </row>
    <row r="478" spans="1:5" s="1722" customFormat="1">
      <c r="A478" s="2712"/>
      <c r="C478" s="2713"/>
      <c r="E478" s="2712"/>
    </row>
    <row r="479" spans="1:5" s="1722" customFormat="1">
      <c r="A479" s="2712"/>
      <c r="C479" s="2713"/>
      <c r="E479" s="2712"/>
    </row>
    <row r="480" spans="1:5" s="1722" customFormat="1">
      <c r="A480" s="2712"/>
      <c r="C480" s="2713"/>
      <c r="E480" s="2712"/>
    </row>
    <row r="481" spans="1:5" s="1722" customFormat="1">
      <c r="A481" s="2712"/>
      <c r="C481" s="2713"/>
      <c r="E481" s="2712"/>
    </row>
    <row r="482" spans="1:5" s="1722" customFormat="1">
      <c r="A482" s="2712"/>
      <c r="C482" s="2713"/>
      <c r="E482" s="2712"/>
    </row>
    <row r="483" spans="1:5" s="1722" customFormat="1">
      <c r="A483" s="2712"/>
      <c r="C483" s="2713"/>
      <c r="E483" s="2712"/>
    </row>
    <row r="484" spans="1:5" s="1722" customFormat="1">
      <c r="A484" s="2712"/>
      <c r="C484" s="2713"/>
      <c r="E484" s="2712"/>
    </row>
    <row r="485" spans="1:5" s="1722" customFormat="1">
      <c r="A485" s="2712"/>
      <c r="C485" s="2713"/>
      <c r="E485" s="2712"/>
    </row>
    <row r="486" spans="1:5" s="1722" customFormat="1">
      <c r="A486" s="2712"/>
      <c r="C486" s="2713"/>
      <c r="E486" s="2712"/>
    </row>
    <row r="487" spans="1:5" s="1722" customFormat="1">
      <c r="A487" s="2712"/>
      <c r="C487" s="2713"/>
      <c r="E487" s="2712"/>
    </row>
    <row r="488" spans="1:5" s="1722" customFormat="1">
      <c r="A488" s="2712"/>
      <c r="C488" s="2713"/>
      <c r="E488" s="2712"/>
    </row>
    <row r="489" spans="1:5" s="1722" customFormat="1">
      <c r="A489" s="2712"/>
      <c r="C489" s="2713"/>
      <c r="E489" s="2712"/>
    </row>
    <row r="490" spans="1:5" s="1722" customFormat="1">
      <c r="A490" s="2712"/>
      <c r="C490" s="2713"/>
      <c r="E490" s="2712"/>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731" customWidth="1"/>
    <col min="2" max="2" width="25.77734375" style="1721" customWidth="1"/>
    <col min="3" max="3" width="11.44140625" style="1732" customWidth="1"/>
    <col min="4" max="4" width="12" style="1721" customWidth="1"/>
    <col min="5" max="5" width="9.44140625" style="1731" customWidth="1"/>
    <col min="6" max="6" width="10.109375" style="1721" customWidth="1"/>
    <col min="7" max="7" width="9.44140625" style="1721" customWidth="1"/>
    <col min="8" max="8" width="10" style="1721" customWidth="1"/>
    <col min="9" max="11" width="9.44140625" style="1721" customWidth="1"/>
    <col min="12" max="12" width="9" style="1722" customWidth="1"/>
    <col min="13" max="13" width="10.44140625" style="1722" bestFit="1" customWidth="1"/>
    <col min="14" max="26" width="9" style="1722" customWidth="1"/>
    <col min="27" max="254" width="9" style="1721" customWidth="1"/>
    <col min="255" max="16384" width="6.6640625" style="1721"/>
  </cols>
  <sheetData>
    <row r="1" spans="1:41" s="1653" customFormat="1" ht="21">
      <c r="A1" s="391" t="s">
        <v>426</v>
      </c>
      <c r="B1" s="2118"/>
      <c r="C1" s="1711"/>
      <c r="D1" s="1711"/>
      <c r="E1" s="1711"/>
      <c r="F1" s="1711"/>
      <c r="G1" s="1711"/>
      <c r="H1" s="1711"/>
      <c r="I1" s="1711"/>
      <c r="J1" s="1711"/>
      <c r="K1" s="392">
        <f>MATCH(B1,'数据-取费表'!A6:A16,0)+5</f>
        <v>8</v>
      </c>
      <c r="L1" s="237"/>
      <c r="M1" s="237"/>
      <c r="N1" s="237"/>
      <c r="O1" s="237"/>
      <c r="P1" s="237"/>
      <c r="Q1" s="237"/>
      <c r="R1" s="237"/>
      <c r="S1" s="237"/>
      <c r="T1" s="237"/>
      <c r="U1" s="237"/>
      <c r="V1" s="237"/>
      <c r="W1" s="237"/>
      <c r="X1" s="237"/>
      <c r="Y1" s="237"/>
      <c r="Z1" s="237"/>
    </row>
    <row r="2" spans="1:41" s="1653" customFormat="1" ht="18" customHeight="1">
      <c r="A2" s="393" t="s">
        <v>427</v>
      </c>
      <c r="B2" s="394">
        <f ca="1">C27</f>
        <v>0</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41" s="1653" customFormat="1" ht="18" customHeight="1">
      <c r="A3" s="1169" t="s">
        <v>1217</v>
      </c>
      <c r="B3" s="395">
        <f ca="1">ROUND(B2*10000/IF(B1="",'数据-汇总表'!E3,INDIRECT("'数据-取费表'!K"&amp;$K$1)),0)</f>
        <v>0</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41" s="1653" customFormat="1" ht="18" customHeight="1">
      <c r="A4" s="396" t="s">
        <v>428</v>
      </c>
      <c r="B4" s="397">
        <f ca="1">ROUND(B2*10000/IF(B1="",'数据-汇总表'!D3,INDIRECT("'数据-取费表'!R"&amp;$K$1)),0)</f>
        <v>0</v>
      </c>
      <c r="C4" s="1673"/>
      <c r="D4" s="1711"/>
      <c r="E4" s="1711"/>
      <c r="F4" s="1711"/>
      <c r="G4" s="1711"/>
      <c r="H4" s="1711"/>
      <c r="I4" s="1711"/>
      <c r="J4" s="1711"/>
      <c r="K4" s="1711"/>
      <c r="L4" s="237"/>
      <c r="M4" s="237"/>
      <c r="N4" s="237"/>
      <c r="O4" s="237"/>
      <c r="P4" s="237"/>
      <c r="Q4" s="237"/>
      <c r="R4" s="237"/>
      <c r="S4" s="237"/>
      <c r="T4" s="237"/>
      <c r="U4" s="237"/>
      <c r="V4" s="237"/>
      <c r="W4" s="237"/>
      <c r="X4" s="237"/>
      <c r="Y4" s="237"/>
      <c r="Z4" s="237"/>
    </row>
    <row r="5" spans="1:41" s="1653" customFormat="1" ht="18" customHeight="1" thickBot="1">
      <c r="A5" s="399"/>
      <c r="B5" s="400">
        <f ca="1">ROUND(B2/(IF(B1="",'数据-汇总表'!D3,INDIRECT("'数据-取费表'!R"&amp;$K$1))/666.67),0)</f>
        <v>0</v>
      </c>
      <c r="C5" s="401" t="s">
        <v>429</v>
      </c>
      <c r="D5" s="1711"/>
      <c r="E5" s="1711"/>
      <c r="F5" s="1711"/>
      <c r="G5" s="1711"/>
      <c r="H5" s="1711"/>
      <c r="I5" s="1711"/>
      <c r="J5" s="1711"/>
      <c r="K5" s="1711"/>
      <c r="L5" s="237"/>
      <c r="M5" s="237"/>
      <c r="N5" s="237"/>
      <c r="O5" s="237"/>
      <c r="P5" s="237"/>
      <c r="Q5" s="237"/>
      <c r="R5" s="237"/>
      <c r="S5" s="237"/>
      <c r="T5" s="237"/>
      <c r="U5" s="237"/>
      <c r="V5" s="237"/>
      <c r="W5" s="237"/>
      <c r="X5" s="237"/>
      <c r="Y5" s="237"/>
      <c r="Z5" s="237"/>
    </row>
    <row r="6" spans="1:41" s="1718" customFormat="1" ht="16.5" customHeight="1">
      <c r="A6" s="402" t="s">
        <v>1934</v>
      </c>
      <c r="B6" s="403"/>
      <c r="C6" s="1344">
        <f>SUM(C10:K10)</f>
        <v>0</v>
      </c>
      <c r="D6" s="1716"/>
      <c r="E6" s="1716"/>
      <c r="F6" s="1716"/>
      <c r="G6" s="1716"/>
      <c r="H6" s="1716"/>
      <c r="I6" s="1716"/>
      <c r="J6" s="1716"/>
      <c r="K6" s="1717"/>
      <c r="L6" s="2704"/>
      <c r="M6" s="2704"/>
      <c r="N6" s="2704"/>
      <c r="O6" s="2704"/>
      <c r="P6" s="2704"/>
      <c r="Q6" s="2704"/>
      <c r="R6" s="2704"/>
      <c r="S6" s="2704"/>
      <c r="T6" s="2704"/>
      <c r="U6" s="2704"/>
      <c r="V6" s="2704"/>
      <c r="W6" s="2704"/>
      <c r="X6" s="2704"/>
      <c r="Y6" s="2704"/>
      <c r="Z6" s="2704"/>
    </row>
    <row r="7" spans="1:41" s="1720" customFormat="1" ht="14.4">
      <c r="A7" s="404" t="s">
        <v>430</v>
      </c>
      <c r="B7" s="405" t="s">
        <v>431</v>
      </c>
      <c r="C7" s="2814"/>
      <c r="D7" s="406"/>
      <c r="E7" s="406"/>
      <c r="F7" s="406"/>
      <c r="G7" s="406"/>
      <c r="H7" s="406"/>
      <c r="I7" s="406"/>
      <c r="J7" s="406"/>
      <c r="K7" s="407"/>
      <c r="AA7" s="1719"/>
      <c r="AB7" s="1719"/>
      <c r="AC7" s="1719"/>
      <c r="AD7" s="1719"/>
      <c r="AE7" s="1719"/>
      <c r="AF7" s="1719"/>
      <c r="AG7" s="1719"/>
      <c r="AH7" s="1719"/>
      <c r="AI7" s="1719"/>
      <c r="AJ7" s="1719"/>
      <c r="AK7" s="1719"/>
      <c r="AL7" s="1719"/>
      <c r="AM7" s="1719"/>
      <c r="AN7" s="1719"/>
      <c r="AO7" s="1719"/>
    </row>
    <row r="8" spans="1:41" s="1722" customFormat="1" ht="13.5" customHeight="1">
      <c r="A8" s="1352" t="s">
        <v>1374</v>
      </c>
      <c r="B8" s="408" t="s">
        <v>432</v>
      </c>
      <c r="C8" s="409"/>
      <c r="D8" s="409"/>
      <c r="E8" s="409"/>
      <c r="F8" s="409"/>
      <c r="G8" s="409"/>
      <c r="H8" s="409"/>
      <c r="I8" s="409"/>
      <c r="J8" s="409"/>
      <c r="K8" s="410"/>
      <c r="AA8" s="1721"/>
      <c r="AB8" s="1721"/>
      <c r="AC8" s="1721"/>
      <c r="AD8" s="1721"/>
      <c r="AE8" s="1721"/>
      <c r="AF8" s="1721"/>
      <c r="AG8" s="1721"/>
      <c r="AH8" s="1721"/>
      <c r="AI8" s="1721"/>
      <c r="AJ8" s="1721"/>
      <c r="AK8" s="1721"/>
      <c r="AL8" s="1721"/>
      <c r="AM8" s="1721"/>
      <c r="AN8" s="1721"/>
      <c r="AO8" s="1721"/>
    </row>
    <row r="9" spans="1:41" s="1722" customFormat="1" ht="13.5" customHeight="1">
      <c r="A9" s="1352"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3" t="s">
        <v>1376</v>
      </c>
      <c r="B10" s="1345" t="s">
        <v>434</v>
      </c>
      <c r="C10" s="1346"/>
      <c r="D10" s="1346"/>
      <c r="E10" s="1346"/>
      <c r="F10" s="1347"/>
      <c r="G10" s="1347"/>
      <c r="H10" s="1347"/>
      <c r="I10" s="1347"/>
      <c r="J10" s="1347"/>
      <c r="K10" s="1348"/>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1" t="s">
        <v>1393</v>
      </c>
      <c r="B11" s="1342"/>
      <c r="C11" s="1342"/>
      <c r="D11" s="1342"/>
      <c r="E11" s="1342"/>
      <c r="F11" s="1342"/>
      <c r="G11" s="1342"/>
      <c r="H11" s="1342"/>
      <c r="I11" s="1342"/>
      <c r="J11" s="1342"/>
      <c r="K11" s="1343"/>
      <c r="L11" s="2704"/>
      <c r="M11" s="2704"/>
      <c r="N11" s="2704"/>
      <c r="O11" s="2704"/>
      <c r="P11" s="2704"/>
      <c r="Q11" s="2704"/>
      <c r="R11" s="2704"/>
      <c r="S11" s="2704"/>
      <c r="T11" s="2704"/>
      <c r="U11" s="2704"/>
      <c r="V11" s="2704"/>
      <c r="W11" s="2704"/>
      <c r="X11" s="2704"/>
      <c r="Y11" s="2704"/>
      <c r="Z11" s="2704"/>
    </row>
    <row r="12" spans="1:41" s="1694" customFormat="1" ht="13.5" customHeight="1">
      <c r="A12" s="404" t="s">
        <v>430</v>
      </c>
      <c r="B12" s="413" t="s">
        <v>431</v>
      </c>
      <c r="C12" s="414" t="s">
        <v>435</v>
      </c>
      <c r="D12" s="415" t="s">
        <v>436</v>
      </c>
      <c r="E12" s="415" t="s">
        <v>437</v>
      </c>
      <c r="F12" s="415" t="s">
        <v>438</v>
      </c>
      <c r="G12" s="413"/>
      <c r="H12" s="416"/>
      <c r="I12" s="416"/>
      <c r="J12" s="416"/>
      <c r="K12" s="417"/>
      <c r="L12" s="2705"/>
      <c r="M12" s="2705"/>
      <c r="N12" s="2705"/>
      <c r="O12" s="2705"/>
      <c r="P12" s="2705"/>
      <c r="Q12" s="2705"/>
      <c r="R12" s="2705"/>
      <c r="S12" s="2705"/>
      <c r="T12" s="2705"/>
      <c r="U12" s="2705"/>
      <c r="V12" s="2705"/>
      <c r="W12" s="2705"/>
      <c r="X12" s="2705"/>
      <c r="Y12" s="2705"/>
      <c r="Z12" s="2705"/>
    </row>
    <row r="13" spans="1:41" s="1723" customFormat="1" ht="13.5" customHeight="1">
      <c r="A13" s="1354" t="s">
        <v>1377</v>
      </c>
      <c r="B13" s="418" t="s">
        <v>439</v>
      </c>
      <c r="C13" s="419">
        <f ca="1">IF(B1="",'数据-取费表'!M16,INDIRECT("'数据-取费表'!M"&amp;$K$1)+INDIRECT("'数据-取费表'!t"&amp;$K$1))</f>
        <v>5604</v>
      </c>
      <c r="D13" s="420"/>
      <c r="E13" s="339"/>
      <c r="F13" s="421"/>
      <c r="G13" s="413"/>
      <c r="H13" s="416"/>
      <c r="I13" s="416"/>
      <c r="J13" s="416"/>
      <c r="K13" s="417"/>
      <c r="L13" s="1724"/>
      <c r="M13" s="1724"/>
      <c r="N13" s="1724"/>
      <c r="O13" s="1724"/>
      <c r="P13" s="1724"/>
      <c r="Q13" s="1724"/>
      <c r="R13" s="1724"/>
      <c r="S13" s="1724"/>
      <c r="T13" s="1724"/>
      <c r="U13" s="1724"/>
      <c r="V13" s="1724"/>
      <c r="W13" s="1724"/>
      <c r="X13" s="1724"/>
      <c r="Y13" s="1724"/>
      <c r="Z13" s="1724"/>
    </row>
    <row r="14" spans="1:41" s="1723" customFormat="1" ht="13.5" customHeight="1">
      <c r="A14" s="1354" t="s">
        <v>1378</v>
      </c>
      <c r="B14" s="418" t="s">
        <v>440</v>
      </c>
      <c r="C14" s="49">
        <f ca="1">ROUND(C13*F14,0)</f>
        <v>168</v>
      </c>
      <c r="D14" s="420"/>
      <c r="E14" s="339"/>
      <c r="F14" s="425">
        <f>'数据-取费表'!B33</f>
        <v>0.03</v>
      </c>
      <c r="G14" s="413" t="s">
        <v>462</v>
      </c>
      <c r="H14" s="416"/>
      <c r="I14" s="416"/>
      <c r="J14" s="416"/>
      <c r="K14" s="417"/>
      <c r="L14" s="1724"/>
      <c r="M14" s="1724"/>
      <c r="N14" s="1724"/>
      <c r="O14" s="1724"/>
      <c r="P14" s="1724"/>
      <c r="Q14" s="1724"/>
      <c r="R14" s="1724"/>
      <c r="S14" s="1724"/>
      <c r="T14" s="1724"/>
      <c r="U14" s="1724"/>
      <c r="V14" s="1724"/>
      <c r="W14" s="1724"/>
      <c r="X14" s="1724"/>
      <c r="Y14" s="1724"/>
      <c r="Z14" s="1724"/>
    </row>
    <row r="15" spans="1:41" s="1723" customFormat="1" ht="13.5" customHeight="1">
      <c r="A15" s="1354" t="s">
        <v>1379</v>
      </c>
      <c r="B15" s="418" t="s">
        <v>442</v>
      </c>
      <c r="C15" s="49">
        <f ca="1">ROUND(IF(B1="",SUMIF('数据-取费表'!C:C,"住宅",'数据-取费表'!M:M)*F15,IF(INDIRECT("'数据-取费表'!c"&amp;$K$1)="住宅",INDIRECT("'数据-取费表'!M"&amp;$K$1)*F15,0)),0)</f>
        <v>269</v>
      </c>
      <c r="D15" s="420"/>
      <c r="E15" s="339"/>
      <c r="F15" s="425">
        <f>'数据-取费表'!B34</f>
        <v>0.05</v>
      </c>
      <c r="G15" s="413" t="s">
        <v>462</v>
      </c>
      <c r="H15" s="416"/>
      <c r="I15" s="416"/>
      <c r="J15" s="416"/>
      <c r="K15" s="417"/>
      <c r="L15" s="1724"/>
      <c r="M15" s="1724"/>
      <c r="N15" s="1724"/>
      <c r="O15" s="1724"/>
      <c r="P15" s="1724"/>
      <c r="Q15" s="1724"/>
      <c r="R15" s="1724"/>
      <c r="S15" s="1724"/>
      <c r="T15" s="1724"/>
      <c r="U15" s="1724"/>
      <c r="V15" s="1724"/>
      <c r="W15" s="1724"/>
      <c r="X15" s="1724"/>
      <c r="Y15" s="1724"/>
      <c r="Z15" s="1724"/>
    </row>
    <row r="16" spans="1:41" s="1724" customFormat="1" ht="13.5" customHeight="1">
      <c r="A16" s="1354" t="s">
        <v>1380</v>
      </c>
      <c r="B16" s="418" t="s">
        <v>444</v>
      </c>
      <c r="C16" s="49">
        <f ca="1">ROUND(D16*E16/10000,0)</f>
        <v>560</v>
      </c>
      <c r="D16" s="420">
        <f ca="1">IF(B1="",'数据-汇总表'!E3,INDIRECT("'数据-取费表'!K"&amp;$K$1)+INDIRECT("'数据-取费表'!S"&amp;$K$1))</f>
        <v>28022</v>
      </c>
      <c r="E16" s="49">
        <f>'数据-取费表'!B35</f>
        <v>200</v>
      </c>
      <c r="F16" s="422"/>
      <c r="G16" s="413"/>
      <c r="H16" s="416"/>
      <c r="I16" s="416"/>
      <c r="J16" s="416"/>
      <c r="K16" s="417"/>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4" t="s">
        <v>1381</v>
      </c>
      <c r="B17" s="418" t="s">
        <v>445</v>
      </c>
      <c r="C17" s="423">
        <f ca="1">ROUND(C13*F17,0)</f>
        <v>112</v>
      </c>
      <c r="D17" s="424"/>
      <c r="E17" s="423"/>
      <c r="F17" s="425">
        <f>'数据-取费表'!B36</f>
        <v>0.02</v>
      </c>
      <c r="G17" s="413" t="s">
        <v>462</v>
      </c>
      <c r="H17" s="426"/>
      <c r="I17" s="426"/>
      <c r="J17" s="426"/>
      <c r="K17" s="427"/>
      <c r="L17" s="1724"/>
      <c r="M17" s="1724"/>
      <c r="N17" s="1724"/>
      <c r="O17" s="1724"/>
      <c r="P17" s="1724"/>
      <c r="Q17" s="1724"/>
      <c r="R17" s="1724"/>
      <c r="S17" s="1724"/>
      <c r="T17" s="1724"/>
      <c r="U17" s="1724"/>
      <c r="V17" s="1724"/>
      <c r="W17" s="1724"/>
      <c r="X17" s="1724"/>
      <c r="Y17" s="1724"/>
      <c r="Z17" s="1724"/>
    </row>
    <row r="18" spans="1:26" s="1726" customFormat="1" ht="13.5" customHeight="1">
      <c r="A18" s="1355" t="s">
        <v>1382</v>
      </c>
      <c r="B18" s="428" t="s">
        <v>447</v>
      </c>
      <c r="C18" s="429">
        <f ca="1">SUM(C13:C17)</f>
        <v>6713</v>
      </c>
      <c r="D18" s="430"/>
      <c r="E18" s="431"/>
      <c r="F18" s="431"/>
      <c r="G18" s="1130" t="s">
        <v>1783</v>
      </c>
      <c r="H18" s="416"/>
      <c r="I18" s="416"/>
      <c r="J18" s="416"/>
      <c r="K18" s="417"/>
      <c r="L18" s="2707"/>
      <c r="M18" s="2707"/>
      <c r="N18" s="2707"/>
      <c r="O18" s="2707"/>
      <c r="P18" s="2707"/>
      <c r="Q18" s="2707"/>
      <c r="R18" s="2707"/>
      <c r="S18" s="2707"/>
      <c r="T18" s="2707"/>
      <c r="U18" s="2707"/>
      <c r="V18" s="2707"/>
      <c r="W18" s="2707"/>
      <c r="X18" s="2707"/>
      <c r="Y18" s="2707"/>
      <c r="Z18" s="2707"/>
    </row>
    <row r="19" spans="1:26" s="1726" customFormat="1" ht="13.5" customHeight="1">
      <c r="A19" s="1355" t="s">
        <v>1383</v>
      </c>
      <c r="B19" s="428" t="s">
        <v>453</v>
      </c>
      <c r="C19" s="429">
        <f ca="1">ROUND(C18*F19,0)</f>
        <v>101</v>
      </c>
      <c r="D19" s="430"/>
      <c r="E19" s="431"/>
      <c r="F19" s="435">
        <f>'数据-取费表'!B37</f>
        <v>1.4999999999999999E-2</v>
      </c>
      <c r="G19" s="413" t="s">
        <v>463</v>
      </c>
      <c r="H19" s="416"/>
      <c r="I19" s="416"/>
      <c r="J19" s="416"/>
      <c r="K19" s="417"/>
      <c r="L19" s="2709"/>
      <c r="M19" s="2709"/>
      <c r="N19" s="2709"/>
      <c r="O19" s="2707"/>
      <c r="P19" s="2707"/>
      <c r="Q19" s="2707"/>
      <c r="R19" s="2707"/>
      <c r="S19" s="2707"/>
      <c r="T19" s="2707"/>
      <c r="U19" s="2707"/>
      <c r="V19" s="2707"/>
      <c r="W19" s="2707"/>
      <c r="X19" s="2707"/>
      <c r="Y19" s="2707"/>
      <c r="Z19" s="2707"/>
    </row>
    <row r="20" spans="1:26" s="1728" customFormat="1" ht="13.5" customHeight="1">
      <c r="A20" s="1355" t="s">
        <v>1384</v>
      </c>
      <c r="B20" s="430" t="s">
        <v>454</v>
      </c>
      <c r="C20" s="439">
        <f ca="1">ROUND(IF('数据-取费表'!B22&lt;=1,(C18+C19)*F20*'数据-取费表'!B20/2,(C18+C19)*(POWER((1+F20),'数据-取费表'!B20/2)-1)),0)</f>
        <v>204</v>
      </c>
      <c r="D20" s="431">
        <f ca="1">ROUND(((1+F20)^'数据-取费表'!B20)-1,4)</f>
        <v>6.0900000000000003E-2</v>
      </c>
      <c r="E20" s="431"/>
      <c r="F20" s="440">
        <f ca="1">'数据-取费表'!B40</f>
        <v>0.03</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5" t="s">
        <v>1800</v>
      </c>
      <c r="M20" s="2716"/>
      <c r="N20" s="2716"/>
      <c r="O20" s="2716"/>
      <c r="P20" s="2716"/>
      <c r="Q20" s="2709"/>
      <c r="R20" s="2709"/>
      <c r="S20" s="2709"/>
      <c r="T20" s="2709"/>
      <c r="U20" s="2709"/>
      <c r="V20" s="2709"/>
      <c r="W20" s="2709"/>
      <c r="X20" s="2709"/>
      <c r="Y20" s="2709"/>
      <c r="Z20" s="2709"/>
    </row>
    <row r="21" spans="1:26" s="1727" customFormat="1" ht="13.5" customHeight="1">
      <c r="A21" s="1355" t="s">
        <v>2295</v>
      </c>
      <c r="B21" s="2315" t="s">
        <v>2107</v>
      </c>
      <c r="C21" s="447">
        <f ca="1">ROUND((C18+C19)*F21,0)</f>
        <v>681</v>
      </c>
      <c r="D21" s="2786"/>
      <c r="E21" s="431"/>
      <c r="F21" s="448">
        <f ca="1">IF(B1="",'数据-取费表'!Q16,INDIRECT("'数据-取费表'!q"&amp;$K$1))</f>
        <v>0.1</v>
      </c>
      <c r="G21" s="413"/>
      <c r="H21" s="416"/>
      <c r="I21" s="416"/>
      <c r="J21" s="416"/>
      <c r="K21" s="417"/>
      <c r="L21" s="2708"/>
      <c r="M21" s="2708"/>
      <c r="N21" s="2708"/>
      <c r="O21" s="2708"/>
      <c r="P21" s="2708"/>
      <c r="Q21" s="2708"/>
      <c r="R21" s="2708"/>
      <c r="S21" s="2708"/>
      <c r="T21" s="2708"/>
      <c r="U21" s="2708"/>
      <c r="V21" s="2708"/>
      <c r="W21" s="2708"/>
      <c r="X21" s="2708"/>
      <c r="Y21" s="2708"/>
      <c r="Z21" s="2708"/>
    </row>
    <row r="22" spans="1:26" s="1728" customFormat="1" ht="13.5" customHeight="1">
      <c r="A22" s="1355" t="s">
        <v>1388</v>
      </c>
      <c r="B22" s="445" t="s">
        <v>464</v>
      </c>
      <c r="C22" s="450"/>
      <c r="D22" s="450"/>
      <c r="E22" s="451"/>
      <c r="F22" s="2788">
        <f ca="1">IF(B1="",'数据-取费表'!N16,INDIRECT("'数据-取费表'!N"&amp;$K$1))</f>
        <v>0</v>
      </c>
      <c r="G22" s="413"/>
      <c r="H22" s="416"/>
      <c r="I22" s="416"/>
      <c r="J22" s="416"/>
      <c r="K22" s="417"/>
      <c r="L22" s="2709"/>
      <c r="M22" s="2709"/>
      <c r="N22" s="2709"/>
      <c r="O22" s="2709"/>
      <c r="P22" s="2709"/>
      <c r="Q22" s="2709"/>
      <c r="R22" s="2709"/>
      <c r="S22" s="2709"/>
      <c r="T22" s="2709"/>
      <c r="U22" s="2709"/>
      <c r="V22" s="2709"/>
      <c r="W22" s="2709"/>
      <c r="X22" s="2709"/>
      <c r="Y22" s="2709"/>
      <c r="Z22" s="2709"/>
    </row>
    <row r="23" spans="1:26" s="1728" customFormat="1" ht="13.5" customHeight="1" thickBot="1">
      <c r="A23" s="2789" t="s">
        <v>1389</v>
      </c>
      <c r="B23" s="2790" t="s">
        <v>2296</v>
      </c>
      <c r="C23" s="2791">
        <f ca="1">ROUND((C18+C19+C20+C21)*F22,0)</f>
        <v>0</v>
      </c>
      <c r="D23" s="2792"/>
      <c r="E23" s="2793"/>
      <c r="F23" s="452"/>
      <c r="G23" s="405"/>
      <c r="H23" s="2794"/>
      <c r="I23" s="2794"/>
      <c r="J23" s="2794"/>
      <c r="K23" s="2795"/>
      <c r="L23" s="2709"/>
      <c r="M23" s="2709"/>
      <c r="N23" s="2709"/>
      <c r="O23" s="2709"/>
      <c r="P23" s="2709"/>
      <c r="Q23" s="2709"/>
      <c r="R23" s="2709"/>
      <c r="S23" s="2709"/>
      <c r="T23" s="2709"/>
      <c r="U23" s="2709"/>
      <c r="V23" s="2709"/>
      <c r="W23" s="2709"/>
      <c r="X23" s="2709"/>
      <c r="Y23" s="2709"/>
      <c r="Z23" s="2709"/>
    </row>
    <row r="24" spans="1:26" s="1728" customFormat="1" ht="13.5" customHeight="1" thickBot="1">
      <c r="A24" s="3608" t="s">
        <v>1394</v>
      </c>
      <c r="B24" s="3609"/>
      <c r="C24" s="2796">
        <f>ROUND(C6*F24/(1+'数据-取费表'!B42),0)</f>
        <v>0</v>
      </c>
      <c r="D24" s="2797"/>
      <c r="E24" s="2798"/>
      <c r="F24" s="2799">
        <f>'数据-取费表'!B41</f>
        <v>5.5000000000000007E-2</v>
      </c>
      <c r="G24" s="2800"/>
      <c r="H24" s="2800"/>
      <c r="I24" s="2800"/>
      <c r="J24" s="2800"/>
      <c r="K24" s="2801"/>
      <c r="L24" s="2709"/>
      <c r="M24" s="2709"/>
      <c r="N24" s="2709"/>
      <c r="O24" s="2709"/>
      <c r="P24" s="2709"/>
      <c r="Q24" s="2709"/>
      <c r="R24" s="2709"/>
      <c r="S24" s="2709"/>
      <c r="T24" s="2709"/>
      <c r="U24" s="2709"/>
      <c r="V24" s="2709"/>
      <c r="W24" s="2709"/>
      <c r="X24" s="2709"/>
      <c r="Y24" s="2709"/>
      <c r="Z24" s="2709"/>
    </row>
    <row r="25" spans="1:26" s="1728" customFormat="1" ht="13.5" customHeight="1" thickBot="1">
      <c r="A25" s="3608" t="s">
        <v>2293</v>
      </c>
      <c r="B25" s="3609"/>
      <c r="C25" s="2796">
        <f>ROUND(C6*F25,0)</f>
        <v>0</v>
      </c>
      <c r="D25" s="2797"/>
      <c r="E25" s="2798"/>
      <c r="F25" s="2802">
        <f>'数据-取费表'!B38</f>
        <v>0.02</v>
      </c>
      <c r="G25" s="2803"/>
      <c r="H25" s="2800"/>
      <c r="I25" s="2800"/>
      <c r="J25" s="2800"/>
      <c r="K25" s="2801"/>
      <c r="L25" s="2709"/>
      <c r="M25" s="2709"/>
      <c r="N25" s="2709"/>
      <c r="O25" s="2709"/>
      <c r="P25" s="2709"/>
      <c r="Q25" s="2709"/>
      <c r="R25" s="2709"/>
      <c r="S25" s="2709"/>
      <c r="T25" s="2709"/>
      <c r="U25" s="2709"/>
      <c r="V25" s="2709"/>
      <c r="W25" s="2709"/>
      <c r="X25" s="2709"/>
      <c r="Y25" s="2709"/>
      <c r="Z25" s="2709"/>
    </row>
    <row r="26" spans="1:26" s="1733" customFormat="1" ht="13.5" customHeight="1" thickBot="1">
      <c r="A26" s="3608" t="s">
        <v>2294</v>
      </c>
      <c r="B26" s="3609"/>
      <c r="C26" s="2808"/>
      <c r="D26" s="2809"/>
      <c r="E26" s="2809"/>
      <c r="F26" s="2810">
        <f>'数据-取费表'!B48+'数据-取费表'!B49</f>
        <v>3.0499999999999999E-2</v>
      </c>
      <c r="G26" s="2811"/>
      <c r="H26" s="2811"/>
      <c r="I26" s="2811"/>
      <c r="J26" s="2812"/>
      <c r="K26" s="2813"/>
      <c r="L26" s="2714"/>
      <c r="M26" s="2714"/>
      <c r="N26" s="2714"/>
      <c r="O26" s="2714"/>
      <c r="P26" s="2714"/>
      <c r="Q26" s="2714"/>
      <c r="R26" s="2714"/>
      <c r="S26" s="2714"/>
      <c r="T26" s="2714"/>
      <c r="U26" s="2714"/>
      <c r="V26" s="2714"/>
      <c r="W26" s="2714"/>
      <c r="X26" s="2714"/>
      <c r="Y26" s="2714"/>
      <c r="Z26" s="2714"/>
    </row>
    <row r="27" spans="1:26" s="2787" customFormat="1" ht="13.5" customHeight="1" thickBot="1">
      <c r="A27" s="3610" t="s">
        <v>2292</v>
      </c>
      <c r="B27" s="3611"/>
      <c r="C27" s="2804">
        <f ca="1">(C6-C23-C24-C25)/((1+F26)*(1+D20+F21))</f>
        <v>0</v>
      </c>
      <c r="D27" s="2805"/>
      <c r="E27" s="2805"/>
      <c r="F27" s="2805"/>
      <c r="G27" s="2806" t="s">
        <v>2231</v>
      </c>
      <c r="H27" s="2805"/>
      <c r="I27" s="2805"/>
      <c r="J27" s="2805"/>
      <c r="K27" s="2807"/>
    </row>
    <row r="28" spans="1:26" s="1722" customFormat="1">
      <c r="A28" s="2712"/>
      <c r="C28" s="2713"/>
      <c r="E28" s="2712"/>
    </row>
    <row r="29" spans="1:26" s="1722" customFormat="1" ht="12.75" customHeight="1">
      <c r="A29" s="2712"/>
      <c r="C29" s="2713"/>
      <c r="E29" s="2712"/>
    </row>
    <row r="30" spans="1:26" s="1722" customFormat="1">
      <c r="A30" s="2712"/>
      <c r="C30" s="2713"/>
      <c r="E30" s="2712"/>
    </row>
    <row r="31" spans="1:26" s="1722" customFormat="1">
      <c r="A31" s="2712"/>
      <c r="C31" s="2713"/>
      <c r="E31" s="2712"/>
    </row>
    <row r="32" spans="1:26" s="1722" customFormat="1">
      <c r="A32" s="2712"/>
      <c r="C32" s="2713"/>
      <c r="E32" s="2712"/>
    </row>
    <row r="33" spans="1:5" s="1722" customFormat="1">
      <c r="A33" s="2712"/>
      <c r="C33" s="2713"/>
      <c r="E33" s="2712"/>
    </row>
    <row r="34" spans="1:5" s="1722" customFormat="1">
      <c r="A34" s="2712"/>
      <c r="C34" s="2713"/>
      <c r="E34" s="2712"/>
    </row>
    <row r="35" spans="1:5" s="1722" customFormat="1">
      <c r="A35" s="2712"/>
      <c r="C35" s="2713"/>
      <c r="E35" s="2712"/>
    </row>
    <row r="36" spans="1:5" s="1722" customFormat="1">
      <c r="A36" s="2712"/>
      <c r="C36" s="2713"/>
      <c r="E36" s="2712"/>
    </row>
    <row r="37" spans="1:5" s="1722" customFormat="1">
      <c r="A37" s="2712"/>
      <c r="C37" s="2713"/>
      <c r="E37" s="2712"/>
    </row>
    <row r="38" spans="1:5" s="1722" customFormat="1">
      <c r="A38" s="2712"/>
      <c r="C38" s="2713"/>
      <c r="E38" s="2712"/>
    </row>
    <row r="39" spans="1:5" s="1722" customFormat="1">
      <c r="A39" s="2712"/>
      <c r="C39" s="2713"/>
      <c r="E39" s="2712"/>
    </row>
    <row r="40" spans="1:5" s="1722" customFormat="1">
      <c r="A40" s="2712"/>
      <c r="C40" s="2713"/>
      <c r="E40" s="2712"/>
    </row>
    <row r="41" spans="1:5" s="1722" customFormat="1">
      <c r="A41" s="2712"/>
      <c r="C41" s="2713"/>
      <c r="E41" s="2712"/>
    </row>
    <row r="42" spans="1:5" s="1722" customFormat="1">
      <c r="A42" s="2712"/>
      <c r="C42" s="2713"/>
      <c r="E42" s="2712"/>
    </row>
    <row r="43" spans="1:5" s="1722" customFormat="1">
      <c r="A43" s="2712"/>
      <c r="C43" s="2713"/>
      <c r="E43" s="2712"/>
    </row>
    <row r="44" spans="1:5" s="1722" customFormat="1">
      <c r="A44" s="2712"/>
      <c r="C44" s="2713"/>
      <c r="E44" s="2712"/>
    </row>
    <row r="45" spans="1:5" s="1722" customFormat="1">
      <c r="A45" s="2712"/>
      <c r="C45" s="2713"/>
      <c r="E45" s="2712"/>
    </row>
    <row r="46" spans="1:5" s="1722" customFormat="1">
      <c r="A46" s="2712"/>
      <c r="C46" s="2713"/>
      <c r="E46" s="2712"/>
    </row>
    <row r="47" spans="1:5" s="1722" customFormat="1">
      <c r="A47" s="2712"/>
      <c r="C47" s="2713"/>
      <c r="E47" s="2712"/>
    </row>
    <row r="48" spans="1:5" s="1722" customFormat="1">
      <c r="A48" s="2712"/>
      <c r="C48" s="2713"/>
      <c r="E48" s="2712"/>
    </row>
    <row r="49" spans="1:5" s="1722" customFormat="1">
      <c r="A49" s="2712"/>
      <c r="C49" s="2713"/>
      <c r="E49" s="2712"/>
    </row>
    <row r="50" spans="1:5" s="1722" customFormat="1">
      <c r="A50" s="2712"/>
      <c r="C50" s="2713"/>
      <c r="E50" s="2712"/>
    </row>
    <row r="51" spans="1:5" s="1722" customFormat="1">
      <c r="A51" s="2712"/>
      <c r="C51" s="2713"/>
      <c r="E51" s="2712"/>
    </row>
    <row r="52" spans="1:5" s="1722" customFormat="1">
      <c r="A52" s="2712"/>
      <c r="C52" s="2713"/>
      <c r="E52" s="2712"/>
    </row>
    <row r="53" spans="1:5" s="1722" customFormat="1">
      <c r="A53" s="2712"/>
      <c r="C53" s="2713"/>
      <c r="E53" s="2712"/>
    </row>
    <row r="54" spans="1:5" s="1722" customFormat="1">
      <c r="A54" s="2712"/>
      <c r="C54" s="2713"/>
      <c r="E54" s="2712"/>
    </row>
    <row r="55" spans="1:5" s="1722" customFormat="1">
      <c r="A55" s="2712"/>
      <c r="C55" s="2713"/>
      <c r="E55" s="2712"/>
    </row>
    <row r="56" spans="1:5" s="1722" customFormat="1">
      <c r="A56" s="2712"/>
      <c r="C56" s="2713"/>
      <c r="E56" s="2712"/>
    </row>
    <row r="57" spans="1:5" s="1722" customFormat="1">
      <c r="A57" s="2712"/>
      <c r="C57" s="2713"/>
      <c r="E57" s="2712"/>
    </row>
    <row r="58" spans="1:5" s="1722" customFormat="1">
      <c r="A58" s="2712"/>
      <c r="C58" s="2713"/>
      <c r="E58" s="2712"/>
    </row>
    <row r="59" spans="1:5" s="1722" customFormat="1">
      <c r="A59" s="2712"/>
      <c r="C59" s="2713"/>
      <c r="E59" s="2712"/>
    </row>
    <row r="60" spans="1:5" s="1722" customFormat="1">
      <c r="A60" s="2712"/>
      <c r="C60" s="2713"/>
      <c r="E60" s="2712"/>
    </row>
    <row r="61" spans="1:5" s="1722" customFormat="1">
      <c r="A61" s="2712"/>
      <c r="C61" s="2713"/>
      <c r="E61" s="2712"/>
    </row>
    <row r="62" spans="1:5" s="1722" customFormat="1">
      <c r="A62" s="2712"/>
      <c r="C62" s="2713"/>
      <c r="E62" s="2712"/>
    </row>
    <row r="63" spans="1:5" s="1722" customFormat="1">
      <c r="A63" s="2712"/>
      <c r="C63" s="2713"/>
      <c r="E63" s="2712"/>
    </row>
    <row r="64" spans="1:5" s="1722" customFormat="1">
      <c r="A64" s="2712"/>
      <c r="C64" s="2713"/>
      <c r="E64" s="2712"/>
    </row>
    <row r="65" spans="1:5" s="1722" customFormat="1">
      <c r="A65" s="2712"/>
      <c r="C65" s="2713"/>
      <c r="E65" s="2712"/>
    </row>
    <row r="66" spans="1:5" s="1722" customFormat="1">
      <c r="A66" s="2712"/>
      <c r="C66" s="2713"/>
      <c r="E66" s="2712"/>
    </row>
    <row r="67" spans="1:5" s="1722" customFormat="1">
      <c r="A67" s="2712"/>
      <c r="C67" s="2713"/>
      <c r="E67" s="2712"/>
    </row>
    <row r="68" spans="1:5" s="1722" customFormat="1">
      <c r="A68" s="2712"/>
      <c r="C68" s="2713"/>
      <c r="E68" s="2712"/>
    </row>
    <row r="69" spans="1:5" s="1722" customFormat="1">
      <c r="A69" s="2712"/>
      <c r="C69" s="2713"/>
      <c r="E69" s="2712"/>
    </row>
    <row r="70" spans="1:5" s="1722" customFormat="1">
      <c r="A70" s="2712"/>
      <c r="C70" s="2713"/>
      <c r="E70" s="2712"/>
    </row>
    <row r="71" spans="1:5" s="1722" customFormat="1">
      <c r="A71" s="2712"/>
      <c r="C71" s="2713"/>
      <c r="E71" s="2712"/>
    </row>
    <row r="72" spans="1:5" s="1722" customFormat="1">
      <c r="A72" s="2712"/>
      <c r="C72" s="2713"/>
      <c r="E72" s="2712"/>
    </row>
    <row r="73" spans="1:5" s="1722" customFormat="1">
      <c r="A73" s="2712"/>
      <c r="C73" s="2713"/>
      <c r="E73" s="2712"/>
    </row>
    <row r="74" spans="1:5" s="1722" customFormat="1">
      <c r="A74" s="2712"/>
      <c r="C74" s="2713"/>
      <c r="E74" s="2712"/>
    </row>
    <row r="75" spans="1:5" s="1722" customFormat="1">
      <c r="A75" s="2712"/>
      <c r="C75" s="2713"/>
      <c r="E75" s="2712"/>
    </row>
    <row r="76" spans="1:5" s="1722" customFormat="1">
      <c r="A76" s="2712"/>
      <c r="C76" s="2713"/>
      <c r="E76" s="2712"/>
    </row>
    <row r="77" spans="1:5" s="1722" customFormat="1">
      <c r="A77" s="2712"/>
      <c r="C77" s="2713"/>
      <c r="E77" s="2712"/>
    </row>
    <row r="78" spans="1:5" s="1722" customFormat="1">
      <c r="A78" s="2712"/>
      <c r="C78" s="2713"/>
      <c r="E78" s="2712"/>
    </row>
    <row r="79" spans="1:5" s="1722" customFormat="1">
      <c r="A79" s="2712"/>
      <c r="C79" s="2713"/>
      <c r="E79" s="2712"/>
    </row>
    <row r="80" spans="1:5" s="1722" customFormat="1">
      <c r="A80" s="2712"/>
      <c r="C80" s="2713"/>
      <c r="E80" s="2712"/>
    </row>
    <row r="81" spans="1:5" s="1722" customFormat="1">
      <c r="A81" s="2712"/>
      <c r="C81" s="2713"/>
      <c r="E81" s="2712"/>
    </row>
    <row r="82" spans="1:5" s="1722" customFormat="1">
      <c r="A82" s="2712"/>
      <c r="C82" s="2713"/>
      <c r="E82" s="2712"/>
    </row>
    <row r="83" spans="1:5" s="1722" customFormat="1">
      <c r="A83" s="2712"/>
      <c r="C83" s="2713"/>
      <c r="E83" s="2712"/>
    </row>
    <row r="84" spans="1:5" s="1722" customFormat="1">
      <c r="A84" s="2712"/>
      <c r="C84" s="2713"/>
      <c r="E84" s="2712"/>
    </row>
    <row r="85" spans="1:5" s="1722" customFormat="1">
      <c r="A85" s="2712"/>
      <c r="C85" s="2713"/>
      <c r="E85" s="2712"/>
    </row>
    <row r="86" spans="1:5" s="1722" customFormat="1">
      <c r="A86" s="2712"/>
      <c r="C86" s="2713"/>
      <c r="E86" s="2712"/>
    </row>
    <row r="87" spans="1:5" s="1722" customFormat="1">
      <c r="A87" s="2712"/>
      <c r="C87" s="2713"/>
      <c r="E87" s="2712"/>
    </row>
    <row r="88" spans="1:5" s="1722" customFormat="1">
      <c r="A88" s="2712"/>
      <c r="C88" s="2713"/>
      <c r="E88" s="2712"/>
    </row>
    <row r="89" spans="1:5" s="1722" customFormat="1">
      <c r="A89" s="2712"/>
      <c r="C89" s="2713"/>
      <c r="E89" s="2712"/>
    </row>
    <row r="90" spans="1:5" s="1722" customFormat="1">
      <c r="A90" s="2712"/>
      <c r="C90" s="2713"/>
      <c r="E90" s="2712"/>
    </row>
    <row r="91" spans="1:5" s="1722" customFormat="1">
      <c r="A91" s="2712"/>
      <c r="C91" s="2713"/>
      <c r="E91" s="2712"/>
    </row>
    <row r="92" spans="1:5" s="1722" customFormat="1">
      <c r="A92" s="2712"/>
      <c r="C92" s="2713"/>
      <c r="E92" s="2712"/>
    </row>
    <row r="93" spans="1:5" s="1722" customFormat="1">
      <c r="A93" s="2712"/>
      <c r="C93" s="2713"/>
      <c r="E93" s="2712"/>
    </row>
    <row r="94" spans="1:5" s="1722" customFormat="1">
      <c r="A94" s="2712"/>
      <c r="C94" s="2713"/>
      <c r="E94" s="2712"/>
    </row>
    <row r="95" spans="1:5" s="1722" customFormat="1">
      <c r="A95" s="2712"/>
      <c r="C95" s="2713"/>
      <c r="E95" s="2712"/>
    </row>
    <row r="96" spans="1:5" s="1722" customFormat="1">
      <c r="A96" s="2712"/>
      <c r="C96" s="2713"/>
      <c r="E96" s="2712"/>
    </row>
    <row r="97" spans="1:5" s="1722" customFormat="1">
      <c r="A97" s="2712"/>
      <c r="C97" s="2713"/>
      <c r="E97" s="2712"/>
    </row>
    <row r="98" spans="1:5" s="1722" customFormat="1">
      <c r="A98" s="2712"/>
      <c r="C98" s="2713"/>
      <c r="E98" s="2712"/>
    </row>
    <row r="99" spans="1:5" s="1722" customFormat="1">
      <c r="A99" s="2712"/>
      <c r="C99" s="2713"/>
      <c r="E99" s="2712"/>
    </row>
    <row r="100" spans="1:5" s="1722" customFormat="1">
      <c r="A100" s="2712"/>
      <c r="C100" s="2713"/>
      <c r="E100" s="2712"/>
    </row>
    <row r="101" spans="1:5" s="1722" customFormat="1">
      <c r="A101" s="2712"/>
      <c r="C101" s="2713"/>
      <c r="E101" s="2712"/>
    </row>
    <row r="102" spans="1:5" s="1722" customFormat="1">
      <c r="A102" s="2712"/>
      <c r="C102" s="2713"/>
      <c r="E102" s="2712"/>
    </row>
    <row r="103" spans="1:5" s="1722" customFormat="1">
      <c r="A103" s="2712"/>
      <c r="C103" s="2713"/>
      <c r="E103" s="2712"/>
    </row>
    <row r="104" spans="1:5" s="1722" customFormat="1">
      <c r="A104" s="2712"/>
      <c r="C104" s="2713"/>
      <c r="E104" s="2712"/>
    </row>
    <row r="105" spans="1:5" s="1722" customFormat="1">
      <c r="A105" s="2712"/>
      <c r="C105" s="2713"/>
      <c r="E105" s="2712"/>
    </row>
    <row r="106" spans="1:5" s="1722" customFormat="1">
      <c r="A106" s="2712"/>
      <c r="C106" s="2713"/>
      <c r="E106" s="2712"/>
    </row>
    <row r="107" spans="1:5" s="1722" customFormat="1">
      <c r="A107" s="2712"/>
      <c r="C107" s="2713"/>
      <c r="E107" s="2712"/>
    </row>
    <row r="108" spans="1:5" s="1722" customFormat="1">
      <c r="A108" s="2712"/>
      <c r="C108" s="2713"/>
      <c r="E108" s="2712"/>
    </row>
    <row r="109" spans="1:5" s="1722" customFormat="1">
      <c r="A109" s="2712"/>
      <c r="C109" s="2713"/>
      <c r="E109" s="2712"/>
    </row>
    <row r="110" spans="1:5" s="1722" customFormat="1">
      <c r="A110" s="2712"/>
      <c r="C110" s="2713"/>
      <c r="E110" s="2712"/>
    </row>
    <row r="111" spans="1:5" s="1722" customFormat="1">
      <c r="A111" s="2712"/>
      <c r="C111" s="2713"/>
      <c r="E111" s="2712"/>
    </row>
    <row r="112" spans="1:5" s="1722" customFormat="1">
      <c r="A112" s="2712"/>
      <c r="C112" s="2713"/>
      <c r="E112" s="2712"/>
    </row>
    <row r="113" spans="1:5" s="1722" customFormat="1">
      <c r="A113" s="2712"/>
      <c r="C113" s="2713"/>
      <c r="E113" s="2712"/>
    </row>
    <row r="114" spans="1:5" s="1722" customFormat="1">
      <c r="A114" s="2712"/>
      <c r="C114" s="2713"/>
      <c r="E114" s="2712"/>
    </row>
    <row r="115" spans="1:5" s="1722" customFormat="1">
      <c r="A115" s="2712"/>
      <c r="C115" s="2713"/>
      <c r="E115" s="2712"/>
    </row>
    <row r="116" spans="1:5" s="1722" customFormat="1">
      <c r="A116" s="2712"/>
      <c r="C116" s="2713"/>
      <c r="E116" s="2712"/>
    </row>
    <row r="117" spans="1:5" s="1722" customFormat="1">
      <c r="A117" s="2712"/>
      <c r="C117" s="2713"/>
      <c r="E117" s="2712"/>
    </row>
    <row r="118" spans="1:5" s="1722" customFormat="1">
      <c r="A118" s="2712"/>
      <c r="C118" s="2713"/>
      <c r="E118" s="2712"/>
    </row>
    <row r="119" spans="1:5" s="1722" customFormat="1">
      <c r="A119" s="2712"/>
      <c r="C119" s="2713"/>
      <c r="E119" s="2712"/>
    </row>
    <row r="120" spans="1:5" s="1722" customFormat="1">
      <c r="A120" s="2712"/>
      <c r="C120" s="2713"/>
      <c r="E120" s="2712"/>
    </row>
    <row r="121" spans="1:5" s="1722" customFormat="1">
      <c r="A121" s="2712"/>
      <c r="C121" s="2713"/>
      <c r="E121" s="2712"/>
    </row>
    <row r="122" spans="1:5" s="1722" customFormat="1">
      <c r="A122" s="2712"/>
      <c r="C122" s="2713"/>
      <c r="E122" s="2712"/>
    </row>
    <row r="123" spans="1:5" s="1722" customFormat="1">
      <c r="A123" s="2712"/>
      <c r="C123" s="2713"/>
      <c r="E123" s="2712"/>
    </row>
    <row r="124" spans="1:5" s="1722" customFormat="1">
      <c r="A124" s="2712"/>
      <c r="C124" s="2713"/>
      <c r="E124" s="2712"/>
    </row>
    <row r="125" spans="1:5" s="1722" customFormat="1">
      <c r="A125" s="2712"/>
      <c r="C125" s="2713"/>
      <c r="E125" s="2712"/>
    </row>
    <row r="126" spans="1:5" s="1722" customFormat="1">
      <c r="A126" s="2712"/>
      <c r="C126" s="2713"/>
      <c r="E126" s="2712"/>
    </row>
    <row r="127" spans="1:5" s="1722" customFormat="1">
      <c r="A127" s="2712"/>
      <c r="C127" s="2713"/>
      <c r="E127" s="2712"/>
    </row>
    <row r="128" spans="1:5" s="1722" customFormat="1">
      <c r="A128" s="2712"/>
      <c r="C128" s="2713"/>
      <c r="E128" s="2712"/>
    </row>
    <row r="129" spans="1:5" s="1722" customFormat="1">
      <c r="A129" s="2712"/>
      <c r="C129" s="2713"/>
      <c r="E129" s="2712"/>
    </row>
    <row r="130" spans="1:5" s="1722" customFormat="1">
      <c r="A130" s="2712"/>
      <c r="C130" s="2713"/>
      <c r="E130" s="2712"/>
    </row>
    <row r="131" spans="1:5" s="1722" customFormat="1">
      <c r="A131" s="2712"/>
      <c r="C131" s="2713"/>
      <c r="E131" s="2712"/>
    </row>
    <row r="132" spans="1:5" s="1722" customFormat="1">
      <c r="A132" s="2712"/>
      <c r="C132" s="2713"/>
      <c r="E132" s="2712"/>
    </row>
    <row r="133" spans="1:5" s="1722" customFormat="1">
      <c r="A133" s="2712"/>
      <c r="C133" s="2713"/>
      <c r="E133" s="2712"/>
    </row>
    <row r="134" spans="1:5" s="1722" customFormat="1">
      <c r="A134" s="2712"/>
      <c r="C134" s="2713"/>
      <c r="E134" s="2712"/>
    </row>
    <row r="135" spans="1:5" s="1722" customFormat="1">
      <c r="A135" s="2712"/>
      <c r="C135" s="2713"/>
      <c r="E135" s="2712"/>
    </row>
    <row r="136" spans="1:5" s="1722" customFormat="1">
      <c r="A136" s="2712"/>
      <c r="C136" s="2713"/>
      <c r="E136" s="2712"/>
    </row>
    <row r="137" spans="1:5" s="1722" customFormat="1">
      <c r="A137" s="2712"/>
      <c r="C137" s="2713"/>
      <c r="E137" s="2712"/>
    </row>
    <row r="138" spans="1:5" s="1722" customFormat="1">
      <c r="A138" s="2712"/>
      <c r="C138" s="2713"/>
      <c r="E138" s="2712"/>
    </row>
    <row r="139" spans="1:5" s="1722" customFormat="1">
      <c r="A139" s="2712"/>
      <c r="C139" s="2713"/>
      <c r="E139" s="2712"/>
    </row>
    <row r="140" spans="1:5" s="1722" customFormat="1">
      <c r="A140" s="2712"/>
      <c r="C140" s="2713"/>
      <c r="E140" s="2712"/>
    </row>
    <row r="141" spans="1:5" s="1722" customFormat="1">
      <c r="A141" s="2712"/>
      <c r="C141" s="2713"/>
      <c r="E141" s="2712"/>
    </row>
    <row r="142" spans="1:5" s="1722" customFormat="1">
      <c r="A142" s="2712"/>
      <c r="C142" s="2713"/>
      <c r="E142" s="2712"/>
    </row>
    <row r="143" spans="1:5" s="1722" customFormat="1">
      <c r="A143" s="2712"/>
      <c r="C143" s="2713"/>
      <c r="E143" s="2712"/>
    </row>
    <row r="144" spans="1:5" s="1722" customFormat="1">
      <c r="A144" s="2712"/>
      <c r="C144" s="2713"/>
      <c r="E144" s="2712"/>
    </row>
    <row r="145" spans="1:5" s="1722" customFormat="1">
      <c r="A145" s="2712"/>
      <c r="C145" s="2713"/>
      <c r="E145" s="2712"/>
    </row>
    <row r="146" spans="1:5" s="1722" customFormat="1">
      <c r="A146" s="2712"/>
      <c r="C146" s="2713"/>
      <c r="E146" s="2712"/>
    </row>
    <row r="147" spans="1:5" s="1722" customFormat="1">
      <c r="A147" s="2712"/>
      <c r="C147" s="2713"/>
      <c r="E147" s="2712"/>
    </row>
    <row r="148" spans="1:5" s="1722" customFormat="1">
      <c r="A148" s="2712"/>
      <c r="C148" s="2713"/>
      <c r="E148" s="2712"/>
    </row>
    <row r="149" spans="1:5" s="1722" customFormat="1">
      <c r="A149" s="2712"/>
      <c r="C149" s="2713"/>
      <c r="E149" s="2712"/>
    </row>
    <row r="150" spans="1:5" s="1722" customFormat="1">
      <c r="A150" s="2712"/>
      <c r="C150" s="2713"/>
      <c r="E150" s="2712"/>
    </row>
    <row r="151" spans="1:5" s="1722" customFormat="1">
      <c r="A151" s="2712"/>
      <c r="C151" s="2713"/>
      <c r="E151" s="2712"/>
    </row>
    <row r="152" spans="1:5" s="1722" customFormat="1">
      <c r="A152" s="2712"/>
      <c r="C152" s="2713"/>
      <c r="E152" s="2712"/>
    </row>
    <row r="153" spans="1:5" s="1722" customFormat="1">
      <c r="A153" s="2712"/>
      <c r="C153" s="2713"/>
      <c r="E153" s="2712"/>
    </row>
    <row r="154" spans="1:5" s="1722" customFormat="1">
      <c r="A154" s="2712"/>
      <c r="C154" s="2713"/>
      <c r="E154" s="2712"/>
    </row>
    <row r="155" spans="1:5" s="1722" customFormat="1">
      <c r="A155" s="2712"/>
      <c r="C155" s="2713"/>
      <c r="E155" s="2712"/>
    </row>
    <row r="156" spans="1:5" s="1722" customFormat="1">
      <c r="A156" s="2712"/>
      <c r="C156" s="2713"/>
      <c r="E156" s="2712"/>
    </row>
    <row r="157" spans="1:5" s="1722" customFormat="1">
      <c r="A157" s="2712"/>
      <c r="C157" s="2713"/>
      <c r="E157" s="2712"/>
    </row>
    <row r="158" spans="1:5" s="1722" customFormat="1">
      <c r="A158" s="2712"/>
      <c r="C158" s="2713"/>
      <c r="E158" s="2712"/>
    </row>
    <row r="159" spans="1:5" s="1722" customFormat="1">
      <c r="A159" s="2712"/>
      <c r="C159" s="2713"/>
      <c r="E159" s="2712"/>
    </row>
    <row r="160" spans="1:5" s="1722" customFormat="1">
      <c r="A160" s="2712"/>
      <c r="C160" s="2713"/>
      <c r="E160" s="2712"/>
    </row>
    <row r="161" spans="1:5" s="1722" customFormat="1">
      <c r="A161" s="2712"/>
      <c r="C161" s="2713"/>
      <c r="E161" s="2712"/>
    </row>
    <row r="162" spans="1:5" s="1722" customFormat="1">
      <c r="A162" s="2712"/>
      <c r="C162" s="2713"/>
      <c r="E162" s="2712"/>
    </row>
    <row r="163" spans="1:5" s="1722" customFormat="1">
      <c r="A163" s="2712"/>
      <c r="C163" s="2713"/>
      <c r="E163" s="2712"/>
    </row>
    <row r="164" spans="1:5" s="1722" customFormat="1">
      <c r="A164" s="2712"/>
      <c r="C164" s="2713"/>
      <c r="E164" s="2712"/>
    </row>
    <row r="165" spans="1:5" s="1722" customFormat="1">
      <c r="A165" s="2712"/>
      <c r="C165" s="2713"/>
      <c r="E165" s="2712"/>
    </row>
    <row r="166" spans="1:5" s="1722" customFormat="1">
      <c r="A166" s="2712"/>
      <c r="C166" s="2713"/>
      <c r="E166" s="2712"/>
    </row>
    <row r="167" spans="1:5" s="1722" customFormat="1">
      <c r="A167" s="2712"/>
      <c r="C167" s="2713"/>
      <c r="E167" s="2712"/>
    </row>
    <row r="168" spans="1:5" s="1722" customFormat="1">
      <c r="A168" s="2712"/>
      <c r="C168" s="2713"/>
      <c r="E168" s="2712"/>
    </row>
    <row r="169" spans="1:5" s="1722" customFormat="1">
      <c r="A169" s="2712"/>
      <c r="C169" s="2713"/>
      <c r="E169" s="2712"/>
    </row>
    <row r="170" spans="1:5" s="1722" customFormat="1">
      <c r="A170" s="2712"/>
      <c r="C170" s="2713"/>
      <c r="E170" s="2712"/>
    </row>
    <row r="171" spans="1:5" s="1722" customFormat="1">
      <c r="A171" s="2712"/>
      <c r="C171" s="2713"/>
      <c r="E171" s="2712"/>
    </row>
    <row r="172" spans="1:5" s="1722" customFormat="1">
      <c r="A172" s="2712"/>
      <c r="C172" s="2713"/>
      <c r="E172" s="2712"/>
    </row>
    <row r="173" spans="1:5" s="1722" customFormat="1">
      <c r="A173" s="2712"/>
      <c r="C173" s="2713"/>
      <c r="E173" s="2712"/>
    </row>
    <row r="174" spans="1:5" s="1722" customFormat="1">
      <c r="A174" s="2712"/>
      <c r="C174" s="2713"/>
      <c r="E174" s="2712"/>
    </row>
    <row r="175" spans="1:5" s="1722" customFormat="1">
      <c r="A175" s="2712"/>
      <c r="C175" s="2713"/>
      <c r="E175" s="2712"/>
    </row>
    <row r="176" spans="1:5" s="1722" customFormat="1">
      <c r="A176" s="2712"/>
      <c r="C176" s="2713"/>
      <c r="E176" s="2712"/>
    </row>
    <row r="177" spans="1:5" s="1722" customFormat="1">
      <c r="A177" s="2712"/>
      <c r="C177" s="2713"/>
      <c r="E177" s="2712"/>
    </row>
    <row r="178" spans="1:5" s="1722" customFormat="1">
      <c r="A178" s="2712"/>
      <c r="C178" s="2713"/>
      <c r="E178" s="2712"/>
    </row>
    <row r="179" spans="1:5" s="1722" customFormat="1">
      <c r="A179" s="2712"/>
      <c r="C179" s="2713"/>
      <c r="E179" s="2712"/>
    </row>
    <row r="180" spans="1:5" s="1722" customFormat="1">
      <c r="A180" s="2712"/>
      <c r="C180" s="2713"/>
      <c r="E180" s="2712"/>
    </row>
    <row r="181" spans="1:5" s="1722" customFormat="1">
      <c r="A181" s="2712"/>
      <c r="C181" s="2713"/>
      <c r="E181" s="2712"/>
    </row>
    <row r="182" spans="1:5" s="1722" customFormat="1">
      <c r="A182" s="2712"/>
      <c r="C182" s="2713"/>
      <c r="E182" s="2712"/>
    </row>
    <row r="183" spans="1:5" s="1722" customFormat="1">
      <c r="A183" s="2712"/>
      <c r="C183" s="2713"/>
      <c r="E183" s="2712"/>
    </row>
    <row r="184" spans="1:5" s="1722" customFormat="1">
      <c r="A184" s="2712"/>
      <c r="C184" s="2713"/>
      <c r="E184" s="2712"/>
    </row>
    <row r="185" spans="1:5" s="1722" customFormat="1">
      <c r="A185" s="2712"/>
      <c r="C185" s="2713"/>
      <c r="E185" s="2712"/>
    </row>
    <row r="186" spans="1:5" s="1722" customFormat="1">
      <c r="A186" s="2712"/>
      <c r="C186" s="2713"/>
      <c r="E186" s="2712"/>
    </row>
    <row r="187" spans="1:5" s="1722" customFormat="1">
      <c r="A187" s="2712"/>
      <c r="C187" s="2713"/>
      <c r="E187" s="2712"/>
    </row>
    <row r="188" spans="1:5" s="1722" customFormat="1">
      <c r="A188" s="2712"/>
      <c r="C188" s="2713"/>
      <c r="E188" s="2712"/>
    </row>
    <row r="189" spans="1:5" s="1722" customFormat="1">
      <c r="A189" s="2712"/>
      <c r="C189" s="2713"/>
      <c r="E189" s="2712"/>
    </row>
    <row r="190" spans="1:5" s="1722" customFormat="1">
      <c r="A190" s="2712"/>
      <c r="C190" s="2713"/>
      <c r="E190" s="2712"/>
    </row>
    <row r="191" spans="1:5" s="1722" customFormat="1">
      <c r="A191" s="2712"/>
      <c r="C191" s="2713"/>
      <c r="E191" s="2712"/>
    </row>
    <row r="192" spans="1:5" s="1722" customFormat="1">
      <c r="A192" s="2712"/>
      <c r="C192" s="2713"/>
      <c r="E192" s="2712"/>
    </row>
    <row r="193" spans="1:5" s="1722" customFormat="1">
      <c r="A193" s="2712"/>
      <c r="C193" s="2713"/>
      <c r="E193" s="2712"/>
    </row>
    <row r="194" spans="1:5" s="1722" customFormat="1">
      <c r="A194" s="2712"/>
      <c r="C194" s="2713"/>
      <c r="E194" s="2712"/>
    </row>
    <row r="195" spans="1:5" s="1722" customFormat="1">
      <c r="A195" s="2712"/>
      <c r="C195" s="2713"/>
      <c r="E195" s="2712"/>
    </row>
    <row r="196" spans="1:5" s="1722" customFormat="1">
      <c r="A196" s="2712"/>
      <c r="C196" s="2713"/>
      <c r="E196" s="2712"/>
    </row>
    <row r="197" spans="1:5" s="1722" customFormat="1">
      <c r="A197" s="2712"/>
      <c r="C197" s="2713"/>
      <c r="E197" s="2712"/>
    </row>
    <row r="198" spans="1:5" s="1722" customFormat="1">
      <c r="A198" s="2712"/>
      <c r="C198" s="2713"/>
      <c r="E198" s="2712"/>
    </row>
    <row r="199" spans="1:5" s="1722" customFormat="1">
      <c r="A199" s="2712"/>
      <c r="C199" s="2713"/>
      <c r="E199" s="2712"/>
    </row>
    <row r="200" spans="1:5" s="1722" customFormat="1">
      <c r="A200" s="2712"/>
      <c r="C200" s="2713"/>
      <c r="E200" s="2712"/>
    </row>
    <row r="201" spans="1:5" s="1722" customFormat="1">
      <c r="A201" s="2712"/>
      <c r="C201" s="2713"/>
      <c r="E201" s="2712"/>
    </row>
    <row r="202" spans="1:5" s="1722" customFormat="1">
      <c r="A202" s="2712"/>
      <c r="C202" s="2713"/>
      <c r="E202" s="2712"/>
    </row>
    <row r="203" spans="1:5" s="1722" customFormat="1">
      <c r="A203" s="2712"/>
      <c r="C203" s="2713"/>
      <c r="E203" s="2712"/>
    </row>
    <row r="204" spans="1:5" s="1722" customFormat="1">
      <c r="A204" s="2712"/>
      <c r="C204" s="2713"/>
      <c r="E204" s="2712"/>
    </row>
    <row r="205" spans="1:5" s="1722" customFormat="1">
      <c r="A205" s="2712"/>
      <c r="C205" s="2713"/>
      <c r="E205" s="2712"/>
    </row>
    <row r="206" spans="1:5" s="1722" customFormat="1">
      <c r="A206" s="2712"/>
      <c r="C206" s="2713"/>
      <c r="E206" s="2712"/>
    </row>
    <row r="207" spans="1:5" s="1722" customFormat="1">
      <c r="A207" s="2712"/>
      <c r="C207" s="2713"/>
      <c r="E207" s="2712"/>
    </row>
    <row r="208" spans="1:5" s="1722" customFormat="1">
      <c r="A208" s="2712"/>
      <c r="C208" s="2713"/>
      <c r="E208" s="2712"/>
    </row>
    <row r="209" spans="1:5" s="1722" customFormat="1">
      <c r="A209" s="2712"/>
      <c r="C209" s="2713"/>
      <c r="E209" s="2712"/>
    </row>
    <row r="210" spans="1:5" s="1722" customFormat="1">
      <c r="A210" s="2712"/>
      <c r="C210" s="2713"/>
      <c r="E210" s="2712"/>
    </row>
    <row r="211" spans="1:5" s="1722" customFormat="1">
      <c r="A211" s="2712"/>
      <c r="C211" s="2713"/>
      <c r="E211" s="271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73" customWidth="1"/>
    <col min="2" max="2" width="10.77734375" style="1373" customWidth="1"/>
    <col min="3" max="4" width="11.6640625" style="1373" customWidth="1"/>
    <col min="5" max="5" width="6.6640625" style="1373" customWidth="1"/>
    <col min="6" max="16384" width="9" style="1373"/>
  </cols>
  <sheetData>
    <row r="36" spans="1:9">
      <c r="A36" s="1372" t="s">
        <v>1425</v>
      </c>
      <c r="B36" s="1372" t="s">
        <v>1426</v>
      </c>
    </row>
    <row r="37" spans="1:9" ht="28.5" customHeight="1">
      <c r="A37" s="1372"/>
      <c r="B37" s="3438" t="str">
        <f>项目基本情况!B1</f>
        <v>江苏省淮安市淮安区淮安生态文旅区站前路西侧、淮启路南侧出让国有建设用地使用权抵押价格预评估</v>
      </c>
      <c r="C37" s="3438"/>
      <c r="D37" s="3438"/>
      <c r="E37" s="3438"/>
      <c r="F37" s="3438"/>
      <c r="G37" s="3438"/>
      <c r="H37" s="3438"/>
      <c r="I37" s="3438"/>
    </row>
    <row r="38" spans="1:9">
      <c r="A38" s="1374"/>
      <c r="B38" s="1374"/>
    </row>
    <row r="39" spans="1:9">
      <c r="A39" s="1372" t="s">
        <v>1425</v>
      </c>
      <c r="B39" s="1372" t="s">
        <v>1564</v>
      </c>
    </row>
    <row r="40" spans="1:9">
      <c r="A40" s="1372"/>
      <c r="B40" s="1372">
        <f>项目基本情况!B5</f>
        <v>0</v>
      </c>
    </row>
    <row r="41" spans="1:9">
      <c r="A41" s="1372"/>
      <c r="B41" s="1372"/>
    </row>
    <row r="42" spans="1:9">
      <c r="A42" s="1372" t="s">
        <v>1425</v>
      </c>
      <c r="B42" s="1372" t="s">
        <v>1565</v>
      </c>
    </row>
    <row r="43" spans="1:9">
      <c r="A43" s="1372"/>
      <c r="B43" s="1372" t="s">
        <v>1427</v>
      </c>
    </row>
    <row r="44" spans="1:9">
      <c r="A44" s="1372"/>
      <c r="B44" s="1372"/>
    </row>
    <row r="45" spans="1:9">
      <c r="A45" s="1372" t="s">
        <v>1425</v>
      </c>
      <c r="B45" s="1372" t="s">
        <v>1563</v>
      </c>
    </row>
    <row r="46" spans="1:9" s="1372" customFormat="1">
      <c r="B46" s="1372" t="str">
        <f>项目基本情况!K4</f>
        <v>土地估价师、土地估价师</v>
      </c>
    </row>
    <row r="47" spans="1:9">
      <c r="A47" s="1372"/>
      <c r="B47" s="1372"/>
    </row>
    <row r="48" spans="1:9">
      <c r="A48" s="1372" t="s">
        <v>1425</v>
      </c>
      <c r="B48" s="1372" t="s">
        <v>1566</v>
      </c>
    </row>
    <row r="49" spans="2:2">
      <c r="B49" s="137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10" zoomScale="95" zoomScaleNormal="95" zoomScaleSheetLayoutView="95" workbookViewId="0">
      <selection activeCell="K35" sqref="K35"/>
    </sheetView>
  </sheetViews>
  <sheetFormatPr defaultColWidth="9" defaultRowHeight="13.8"/>
  <cols>
    <col min="1" max="1" width="15.6640625" style="1132" customWidth="1"/>
    <col min="2" max="2" width="15.77734375" style="1132" customWidth="1"/>
    <col min="3" max="3" width="17.109375" style="1132" customWidth="1"/>
    <col min="4" max="4" width="12.21875" style="1132" customWidth="1"/>
    <col min="5" max="5" width="18" style="1132" customWidth="1"/>
    <col min="6" max="6" width="12.21875" style="1132" customWidth="1"/>
    <col min="7" max="7" width="17.5546875" style="1132" customWidth="1"/>
    <col min="8" max="8" width="12.21875" style="1132" customWidth="1"/>
    <col min="9" max="9" width="17.10937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31" customFormat="1" ht="28.5" customHeight="1">
      <c r="A2" s="393" t="s">
        <v>427</v>
      </c>
      <c r="B2" s="459">
        <f>F67</f>
        <v>16127</v>
      </c>
      <c r="C2" s="2726"/>
      <c r="D2" s="2726"/>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31" customFormat="1" ht="28.5" customHeight="1">
      <c r="A3" s="1169" t="s">
        <v>1217</v>
      </c>
      <c r="B3" s="461">
        <f>ROUND(B2*10000/'数据-汇总表'!E3,0)</f>
        <v>5755</v>
      </c>
      <c r="C3" s="2727"/>
      <c r="D3" s="2731"/>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2719"/>
      <c r="AC3" s="1673"/>
    </row>
    <row r="4" spans="1:29" s="1131" customFormat="1" ht="28.5" customHeight="1">
      <c r="A4" s="462" t="s">
        <v>469</v>
      </c>
      <c r="B4" s="397">
        <f>IF(B48="单位面积地价",C50,ROUND(B2*10000/'数据-汇总表'!D3,0))</f>
        <v>7482</v>
      </c>
      <c r="C4" s="2727"/>
      <c r="D4" s="2731"/>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31" customFormat="1" ht="28.5" customHeight="1" thickBot="1">
      <c r="A5" s="399"/>
      <c r="B5" s="400">
        <f>ROUND(B2/('数据-汇总表'!D3/666.67),0)</f>
        <v>499</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1739"/>
      <c r="AC5" s="1673"/>
    </row>
    <row r="6" spans="1:29" ht="21">
      <c r="A6" s="463" t="s">
        <v>470</v>
      </c>
      <c r="B6" s="464"/>
      <c r="C6" s="3635" t="s">
        <v>471</v>
      </c>
      <c r="D6" s="3636"/>
      <c r="E6" s="3635" t="s">
        <v>472</v>
      </c>
      <c r="F6" s="3636"/>
      <c r="G6" s="3635" t="s">
        <v>473</v>
      </c>
      <c r="H6" s="3636"/>
      <c r="I6" s="3635" t="s">
        <v>474</v>
      </c>
      <c r="J6" s="3636"/>
      <c r="K6" s="465" t="s">
        <v>475</v>
      </c>
      <c r="L6" s="1740"/>
      <c r="M6" s="1739"/>
      <c r="N6" s="1739"/>
      <c r="O6" s="1741"/>
      <c r="P6" s="3637" t="s">
        <v>476</v>
      </c>
      <c r="Q6" s="3638"/>
      <c r="R6" s="3621" t="s">
        <v>472</v>
      </c>
      <c r="S6" s="3622"/>
      <c r="T6" s="3621" t="s">
        <v>473</v>
      </c>
      <c r="U6" s="3622"/>
      <c r="V6" s="3643" t="s">
        <v>474</v>
      </c>
      <c r="W6" s="3643"/>
      <c r="X6" s="1301"/>
      <c r="Y6" s="3621" t="s">
        <v>476</v>
      </c>
      <c r="Z6" s="3622"/>
      <c r="AA6" s="3616" t="s">
        <v>472</v>
      </c>
      <c r="AB6" s="3617" t="s">
        <v>473</v>
      </c>
      <c r="AC6" s="3616" t="s">
        <v>474</v>
      </c>
    </row>
    <row r="7" spans="1:29" ht="21">
      <c r="A7" s="466"/>
      <c r="B7" s="467"/>
      <c r="C7" s="3646" t="s">
        <v>2192</v>
      </c>
      <c r="D7" s="3647"/>
      <c r="E7" s="3646" t="str">
        <f>土地案例!A2</f>
        <v>生态文旅区G15地块</v>
      </c>
      <c r="F7" s="3647"/>
      <c r="G7" s="3646" t="str">
        <f>土地案例!A3</f>
        <v>淮安区国际商城东侧地块</v>
      </c>
      <c r="H7" s="3647"/>
      <c r="I7" s="3646" t="str">
        <f>土地案例!A4</f>
        <v>生态文旅区龙江路北侧地块</v>
      </c>
      <c r="J7" s="3647"/>
      <c r="K7" s="465"/>
      <c r="L7" s="1740"/>
      <c r="M7" s="1739"/>
      <c r="N7" s="1739"/>
      <c r="O7" s="1741"/>
      <c r="P7" s="3639"/>
      <c r="Q7" s="3640"/>
      <c r="R7" s="3623"/>
      <c r="S7" s="3624"/>
      <c r="T7" s="3623"/>
      <c r="U7" s="3624"/>
      <c r="V7" s="3643"/>
      <c r="W7" s="3643"/>
      <c r="X7" s="1301"/>
      <c r="Y7" s="3623"/>
      <c r="Z7" s="3624"/>
      <c r="AA7" s="3617"/>
      <c r="AB7" s="3617"/>
      <c r="AC7" s="3617"/>
    </row>
    <row r="8" spans="1:29" ht="21.6" thickBot="1">
      <c r="A8" s="466"/>
      <c r="B8" s="467"/>
      <c r="C8" s="3648" t="s">
        <v>2196</v>
      </c>
      <c r="D8" s="3649"/>
      <c r="E8" s="3648" t="s">
        <v>2196</v>
      </c>
      <c r="F8" s="3649"/>
      <c r="G8" s="3644" t="s">
        <v>2196</v>
      </c>
      <c r="H8" s="3645"/>
      <c r="I8" s="3644" t="s">
        <v>2196</v>
      </c>
      <c r="J8" s="3645"/>
      <c r="K8" s="465" t="s">
        <v>477</v>
      </c>
      <c r="L8" s="1740"/>
      <c r="M8" s="1739"/>
      <c r="N8" s="1739"/>
      <c r="O8" s="1741"/>
      <c r="P8" s="3641"/>
      <c r="Q8" s="3642"/>
      <c r="R8" s="3623"/>
      <c r="S8" s="3624"/>
      <c r="T8" s="3625"/>
      <c r="U8" s="3626"/>
      <c r="V8" s="3643"/>
      <c r="W8" s="3643"/>
      <c r="X8" s="1301"/>
      <c r="Y8" s="3625"/>
      <c r="Z8" s="3626"/>
      <c r="AA8" s="3618"/>
      <c r="AB8" s="3618"/>
      <c r="AC8" s="3618"/>
    </row>
    <row r="9" spans="1:29" s="1060" customFormat="1" ht="21.6" thickBot="1">
      <c r="A9" s="2208"/>
      <c r="B9" s="2215" t="s">
        <v>478</v>
      </c>
      <c r="C9" s="2207">
        <f>'数据-取费表'!B2</f>
        <v>45849</v>
      </c>
      <c r="D9" s="471">
        <v>100</v>
      </c>
      <c r="E9" s="472">
        <v>45577</v>
      </c>
      <c r="F9" s="473">
        <f>SUMIF(71:71,YEAR(E9)&amp;"-"&amp;INT((MONTH(E9)+2)/3),72:72)</f>
        <v>100</v>
      </c>
      <c r="G9" s="474">
        <v>45525</v>
      </c>
      <c r="H9" s="471">
        <f>SUMIF(71:71,YEAR(G9)&amp;"-"&amp;INT((MONTH(G9)+2)/3),72:72)</f>
        <v>100</v>
      </c>
      <c r="I9" s="474">
        <v>45255</v>
      </c>
      <c r="J9" s="471">
        <f>SUMIF(71:71,YEAR(I9)&amp;"-"&amp;INT((MONTH(I9)+2)/3),72:72)</f>
        <v>100</v>
      </c>
      <c r="K9" s="88"/>
      <c r="L9" s="1742"/>
      <c r="M9" s="1739"/>
      <c r="N9" s="1739"/>
      <c r="O9" s="1639"/>
      <c r="P9" s="3619" t="s">
        <v>479</v>
      </c>
      <c r="Q9" s="3628"/>
      <c r="R9" s="1302" t="s">
        <v>5</v>
      </c>
      <c r="S9" s="1303">
        <f t="shared" ref="S9:S17" si="0">F9</f>
        <v>100</v>
      </c>
      <c r="T9" s="1302" t="s">
        <v>5</v>
      </c>
      <c r="U9" s="1303">
        <f t="shared" ref="U9:U17" si="1">H9</f>
        <v>100</v>
      </c>
      <c r="V9" s="1302" t="s">
        <v>5</v>
      </c>
      <c r="W9" s="1303">
        <f t="shared" ref="W9:W17" si="2">J9</f>
        <v>100</v>
      </c>
      <c r="X9" s="1304"/>
      <c r="Y9" s="3619" t="s">
        <v>479</v>
      </c>
      <c r="Z9" s="3620"/>
      <c r="AA9" s="997">
        <f>D9/F9</f>
        <v>1</v>
      </c>
      <c r="AB9" s="997">
        <f>D9/H9</f>
        <v>1</v>
      </c>
      <c r="AC9" s="997">
        <f>D9/J9</f>
        <v>1</v>
      </c>
    </row>
    <row r="10" spans="1:29" s="1060" customFormat="1" ht="21.6" thickBot="1">
      <c r="A10" s="2209"/>
      <c r="B10" s="2216" t="s">
        <v>480</v>
      </c>
      <c r="C10" s="790" t="s">
        <v>481</v>
      </c>
      <c r="D10" s="471">
        <v>100</v>
      </c>
      <c r="E10" s="475" t="s">
        <v>3478</v>
      </c>
      <c r="F10" s="473">
        <f>SUMIF(74:74,E10,75:75)-SUMIF(74:74,C10,75:75)+100</f>
        <v>100</v>
      </c>
      <c r="G10" s="475" t="s">
        <v>3478</v>
      </c>
      <c r="H10" s="471">
        <f>SUMIF(74:74,G10,75:75)-SUMIF(74:74,C10,75:75)+100</f>
        <v>100</v>
      </c>
      <c r="I10" s="475" t="s">
        <v>3478</v>
      </c>
      <c r="J10" s="471">
        <f>SUMIF(74:74,I10,75:75)-SUMIF(74:74,C10,75:75)+100</f>
        <v>100</v>
      </c>
      <c r="K10" s="88"/>
      <c r="L10" s="1742"/>
      <c r="M10" s="1739"/>
      <c r="N10" s="1739"/>
      <c r="O10" s="1639"/>
      <c r="P10" s="3619" t="s">
        <v>482</v>
      </c>
      <c r="Q10" s="3620"/>
      <c r="R10" s="1302" t="s">
        <v>5</v>
      </c>
      <c r="S10" s="1303">
        <f t="shared" si="0"/>
        <v>100</v>
      </c>
      <c r="T10" s="1302" t="s">
        <v>5</v>
      </c>
      <c r="U10" s="1303">
        <f t="shared" si="1"/>
        <v>100</v>
      </c>
      <c r="V10" s="1302" t="s">
        <v>5</v>
      </c>
      <c r="W10" s="1303">
        <f t="shared" si="2"/>
        <v>100</v>
      </c>
      <c r="X10" s="1304"/>
      <c r="Y10" s="3619" t="s">
        <v>482</v>
      </c>
      <c r="Z10" s="3620"/>
      <c r="AA10" s="997">
        <f t="shared" ref="AA10:AA47" si="3">D10/F10</f>
        <v>1</v>
      </c>
      <c r="AB10" s="997">
        <f t="shared" ref="AB10:AB47" si="4">D10/H10</f>
        <v>1</v>
      </c>
      <c r="AC10" s="997">
        <f t="shared" ref="AC10:AC47" si="5">D10/J10</f>
        <v>1</v>
      </c>
    </row>
    <row r="11" spans="1:29" s="1060" customFormat="1" ht="21">
      <c r="A11" s="2210"/>
      <c r="B11" s="2217" t="s">
        <v>2038</v>
      </c>
      <c r="C11" s="2204" t="s">
        <v>851</v>
      </c>
      <c r="D11" s="154">
        <v>100</v>
      </c>
      <c r="E11" s="2204" t="s">
        <v>851</v>
      </c>
      <c r="F11" s="154">
        <f>SUMIF(76:76,E11,77:77)-SUMIF(76:76,C11,77:77)+100</f>
        <v>100</v>
      </c>
      <c r="G11" s="2204" t="s">
        <v>851</v>
      </c>
      <c r="H11" s="154">
        <f>SUMIF(76:76,G11,77:77)-SUMIF(76:76,C11,77:77)+100</f>
        <v>100</v>
      </c>
      <c r="I11" s="2204" t="s">
        <v>851</v>
      </c>
      <c r="J11" s="154">
        <f>SUMIF(76:76,I11,77:77)-SUMIF(76:76,C11,77:77)+100</f>
        <v>100</v>
      </c>
      <c r="K11" s="88"/>
      <c r="L11" s="1742"/>
      <c r="M11" s="1739"/>
      <c r="N11" s="1739"/>
      <c r="O11" s="1743"/>
      <c r="P11" s="3627" t="s">
        <v>484</v>
      </c>
      <c r="Q11" s="818" t="str">
        <f t="shared" ref="Q11:Q17" si="6">B11</f>
        <v>用途</v>
      </c>
      <c r="R11" s="1302" t="s">
        <v>5</v>
      </c>
      <c r="S11" s="1303">
        <f t="shared" si="0"/>
        <v>100</v>
      </c>
      <c r="T11" s="1302" t="s">
        <v>5</v>
      </c>
      <c r="U11" s="1303">
        <f t="shared" si="1"/>
        <v>100</v>
      </c>
      <c r="V11" s="1302" t="s">
        <v>5</v>
      </c>
      <c r="W11" s="1303">
        <f t="shared" si="2"/>
        <v>100</v>
      </c>
      <c r="X11" s="1304"/>
      <c r="Y11" s="3575" t="s">
        <v>485</v>
      </c>
      <c r="Z11" s="997" t="str">
        <f t="shared" ref="Z11:Z17" si="7">Q11</f>
        <v>用途</v>
      </c>
      <c r="AA11" s="997">
        <f t="shared" si="3"/>
        <v>1</v>
      </c>
      <c r="AB11" s="997">
        <f t="shared" si="4"/>
        <v>1</v>
      </c>
      <c r="AC11" s="997">
        <f t="shared" si="5"/>
        <v>1</v>
      </c>
    </row>
    <row r="12" spans="1:29" s="1133" customFormat="1" ht="28.8">
      <c r="A12" s="2211"/>
      <c r="B12" s="2216" t="s">
        <v>2039</v>
      </c>
      <c r="C12" s="833">
        <v>70</v>
      </c>
      <c r="D12" s="235">
        <v>100</v>
      </c>
      <c r="E12" s="479" t="s">
        <v>3479</v>
      </c>
      <c r="F12" s="235">
        <f>ROUND(100/'数据-取费表'!G16,0)</f>
        <v>101</v>
      </c>
      <c r="G12" s="480" t="s">
        <v>3479</v>
      </c>
      <c r="H12" s="235">
        <f>ROUND(100/'数据-取费表'!G16,0)</f>
        <v>101</v>
      </c>
      <c r="I12" s="480" t="s">
        <v>3479</v>
      </c>
      <c r="J12" s="235">
        <f>ROUND(100/'数据-取费表'!G16,0)</f>
        <v>101</v>
      </c>
      <c r="K12" s="481"/>
      <c r="L12" s="1744"/>
      <c r="M12" s="1739"/>
      <c r="N12" s="1739"/>
      <c r="O12" s="1745"/>
      <c r="P12" s="3627"/>
      <c r="Q12" s="818" t="str">
        <f t="shared" si="6"/>
        <v>土地使用年限（年）</v>
      </c>
      <c r="R12" s="1302" t="s">
        <v>5</v>
      </c>
      <c r="S12" s="1303">
        <f t="shared" si="0"/>
        <v>101</v>
      </c>
      <c r="T12" s="1302" t="s">
        <v>5</v>
      </c>
      <c r="U12" s="1303">
        <f t="shared" si="1"/>
        <v>101</v>
      </c>
      <c r="V12" s="1302" t="s">
        <v>5</v>
      </c>
      <c r="W12" s="1303">
        <f t="shared" si="2"/>
        <v>101</v>
      </c>
      <c r="X12" s="1304"/>
      <c r="Y12" s="3575"/>
      <c r="Z12" s="997" t="str">
        <f t="shared" si="7"/>
        <v>土地使用年限（年）</v>
      </c>
      <c r="AA12" s="997">
        <f t="shared" si="3"/>
        <v>0.99009900990099009</v>
      </c>
      <c r="AB12" s="997">
        <f t="shared" si="4"/>
        <v>0.99009900990099009</v>
      </c>
      <c r="AC12" s="997">
        <f t="shared" si="5"/>
        <v>0.99009900990099009</v>
      </c>
    </row>
    <row r="13" spans="1:29" ht="21">
      <c r="A13" s="2212"/>
      <c r="B13" s="2216" t="s">
        <v>2040</v>
      </c>
      <c r="C13" s="3437">
        <v>1.3</v>
      </c>
      <c r="D13" s="235">
        <v>100</v>
      </c>
      <c r="E13" s="3436">
        <v>2.9</v>
      </c>
      <c r="F13" s="235">
        <f>LOOKUP(E13,81:81,82:82)-LOOKUP(C13,81:81,82:82)+100</f>
        <v>95</v>
      </c>
      <c r="G13" s="3437">
        <v>2.5</v>
      </c>
      <c r="H13" s="235">
        <f>LOOKUP(G13,81:81,82:82)-LOOKUP(C13,81:81,82:82)+100</f>
        <v>95</v>
      </c>
      <c r="I13" s="3436">
        <v>2.2000000000000002</v>
      </c>
      <c r="J13" s="235">
        <f>LOOKUP(I13,81:81,82:82)-LOOKUP(C13,81:81,82:82)+100</f>
        <v>95</v>
      </c>
      <c r="K13" s="485">
        <v>5</v>
      </c>
      <c r="L13" s="1746"/>
      <c r="M13" s="1739"/>
      <c r="N13" s="1739"/>
      <c r="O13" s="1747"/>
      <c r="P13" s="3627"/>
      <c r="Q13" s="818" t="str">
        <f t="shared" si="6"/>
        <v>容积率</v>
      </c>
      <c r="R13" s="1302" t="s">
        <v>5</v>
      </c>
      <c r="S13" s="1303">
        <f t="shared" si="0"/>
        <v>95</v>
      </c>
      <c r="T13" s="1302" t="s">
        <v>5</v>
      </c>
      <c r="U13" s="1303">
        <f t="shared" si="1"/>
        <v>95</v>
      </c>
      <c r="V13" s="1302" t="s">
        <v>5</v>
      </c>
      <c r="W13" s="1303">
        <f t="shared" si="2"/>
        <v>95</v>
      </c>
      <c r="X13" s="1304"/>
      <c r="Y13" s="3575"/>
      <c r="Z13" s="997" t="str">
        <f t="shared" si="7"/>
        <v>容积率</v>
      </c>
      <c r="AA13" s="997">
        <f t="shared" si="3"/>
        <v>1.0526315789473684</v>
      </c>
      <c r="AB13" s="997">
        <f t="shared" si="4"/>
        <v>1.0526315789473684</v>
      </c>
      <c r="AC13" s="997">
        <f t="shared" si="5"/>
        <v>1.0526315789473684</v>
      </c>
    </row>
    <row r="14" spans="1:29" s="1060" customFormat="1" ht="21">
      <c r="A14" s="2209"/>
      <c r="B14" s="2218" t="s">
        <v>2041</v>
      </c>
      <c r="C14" s="2205" t="s">
        <v>3481</v>
      </c>
      <c r="D14" s="488">
        <v>100</v>
      </c>
      <c r="E14" s="2205" t="s">
        <v>3481</v>
      </c>
      <c r="F14" s="235">
        <f>SUMIF(83:83,E14,84:84)-SUMIF(83:83,C14,84:84)+100</f>
        <v>100</v>
      </c>
      <c r="G14" s="2205" t="s">
        <v>3481</v>
      </c>
      <c r="H14" s="235">
        <f>SUMIF(83:83,G14,84:84)-SUMIF(83:83,C14,84:84)+100</f>
        <v>100</v>
      </c>
      <c r="I14" s="479" t="s">
        <v>3480</v>
      </c>
      <c r="J14" s="235">
        <f>SUMIF(83:83,I14,84:84)-SUMIF(83:83,C14,84:84)+100</f>
        <v>94</v>
      </c>
      <c r="K14" s="481"/>
      <c r="L14" s="1742"/>
      <c r="M14" s="1739"/>
      <c r="N14" s="1739"/>
      <c r="O14" s="1743"/>
      <c r="P14" s="3627"/>
      <c r="Q14" s="818" t="str">
        <f t="shared" si="6"/>
        <v>配建</v>
      </c>
      <c r="R14" s="1302" t="s">
        <v>5</v>
      </c>
      <c r="S14" s="1303">
        <f t="shared" si="0"/>
        <v>100</v>
      </c>
      <c r="T14" s="1302" t="s">
        <v>5</v>
      </c>
      <c r="U14" s="1303">
        <f t="shared" si="1"/>
        <v>100</v>
      </c>
      <c r="V14" s="1302" t="s">
        <v>5</v>
      </c>
      <c r="W14" s="1303">
        <f t="shared" si="2"/>
        <v>94</v>
      </c>
      <c r="X14" s="1304"/>
      <c r="Y14" s="3575"/>
      <c r="Z14" s="997" t="str">
        <f t="shared" si="7"/>
        <v>配建</v>
      </c>
      <c r="AA14" s="997">
        <f>D14/F14</f>
        <v>1</v>
      </c>
      <c r="AB14" s="997">
        <f>D14/H14</f>
        <v>1</v>
      </c>
      <c r="AC14" s="997">
        <f>D14/J14</f>
        <v>1.0638297872340425</v>
      </c>
    </row>
    <row r="15" spans="1:29" ht="21">
      <c r="A15" s="2213"/>
      <c r="B15" s="2219">
        <v>111</v>
      </c>
      <c r="C15" s="3421">
        <v>0.04</v>
      </c>
      <c r="D15" s="490">
        <v>100</v>
      </c>
      <c r="E15" s="3422">
        <v>0.05</v>
      </c>
      <c r="F15" s="235">
        <f>SUMIF(85:85,E15,86:86)-SUMIF(85:85,C15,86:86)+100</f>
        <v>100</v>
      </c>
      <c r="G15" s="3423">
        <v>0.05</v>
      </c>
      <c r="H15" s="490">
        <f>SUMIF(85:85,G15,86:86)-SUMIF(85:85,C15,86:86)+100</f>
        <v>100</v>
      </c>
      <c r="I15" s="3423">
        <v>0.25</v>
      </c>
      <c r="J15" s="490">
        <f>SUMIF(85:85,I15,86:86)-SUMIF(85:85,C15,86:86)+100</f>
        <v>100</v>
      </c>
      <c r="K15" s="481"/>
      <c r="L15" s="1748"/>
      <c r="M15" s="1739"/>
      <c r="N15" s="1739"/>
      <c r="O15" s="1747"/>
      <c r="P15" s="3627"/>
      <c r="Q15" s="818">
        <f t="shared" si="6"/>
        <v>111</v>
      </c>
      <c r="R15" s="1302" t="s">
        <v>5</v>
      </c>
      <c r="S15" s="1303">
        <f t="shared" si="0"/>
        <v>100</v>
      </c>
      <c r="T15" s="1302" t="s">
        <v>5</v>
      </c>
      <c r="U15" s="1303">
        <f t="shared" si="1"/>
        <v>100</v>
      </c>
      <c r="V15" s="1302" t="s">
        <v>5</v>
      </c>
      <c r="W15" s="1303">
        <f t="shared" si="2"/>
        <v>100</v>
      </c>
      <c r="X15" s="1304"/>
      <c r="Y15" s="3575"/>
      <c r="Z15" s="997">
        <f t="shared" si="7"/>
        <v>111</v>
      </c>
      <c r="AA15" s="997">
        <f>D15/F15</f>
        <v>1</v>
      </c>
      <c r="AB15" s="997">
        <f>D15/H15</f>
        <v>1</v>
      </c>
      <c r="AC15" s="997">
        <f>D15/J15</f>
        <v>1</v>
      </c>
    </row>
    <row r="16" spans="1:29" ht="21.6" thickBot="1">
      <c r="A16" s="2214"/>
      <c r="B16" s="2220">
        <v>111</v>
      </c>
      <c r="C16" s="838"/>
      <c r="D16" s="496">
        <v>100</v>
      </c>
      <c r="E16" s="491"/>
      <c r="F16" s="496">
        <f>SUMIF(87:87,E16,88:88)-SUMIF(87:87,C16,88:88)+100</f>
        <v>100</v>
      </c>
      <c r="G16" s="492"/>
      <c r="H16" s="496">
        <f>SUMIF(87:87,G16,88:88)-SUMIF(87:87,C16,88:88)+100</f>
        <v>100</v>
      </c>
      <c r="I16" s="492"/>
      <c r="J16" s="496">
        <f>SUMIF(87:87,I16,88:88)-SUMIF(87:87,C16,88:88)+100</f>
        <v>100</v>
      </c>
      <c r="K16" s="481"/>
      <c r="L16" s="1748"/>
      <c r="M16" s="1739"/>
      <c r="N16" s="1739"/>
      <c r="O16" s="1747"/>
      <c r="P16" s="3627"/>
      <c r="Q16" s="818">
        <f t="shared" si="6"/>
        <v>111</v>
      </c>
      <c r="R16" s="1302" t="s">
        <v>5</v>
      </c>
      <c r="S16" s="1303">
        <f t="shared" si="0"/>
        <v>100</v>
      </c>
      <c r="T16" s="1302" t="s">
        <v>5</v>
      </c>
      <c r="U16" s="1303">
        <f t="shared" si="1"/>
        <v>100</v>
      </c>
      <c r="V16" s="1302" t="s">
        <v>5</v>
      </c>
      <c r="W16" s="1303">
        <f t="shared" si="2"/>
        <v>100</v>
      </c>
      <c r="X16" s="1304"/>
      <c r="Y16" s="3575"/>
      <c r="Z16" s="997">
        <f t="shared" si="7"/>
        <v>111</v>
      </c>
      <c r="AA16" s="997">
        <f>D16/F16</f>
        <v>1</v>
      </c>
      <c r="AB16" s="997">
        <f>D16/H16</f>
        <v>1</v>
      </c>
      <c r="AC16" s="997">
        <f>D16/J16</f>
        <v>1</v>
      </c>
    </row>
    <row r="17" spans="1:29" ht="82.8">
      <c r="A17" s="2206" t="s">
        <v>2036</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105</v>
      </c>
      <c r="I17" s="502"/>
      <c r="J17" s="499">
        <f>SUMIF(89:89,I18,90:90)-SUMIF(89:89,C18,90:90)+100</f>
        <v>105</v>
      </c>
      <c r="K17" s="485">
        <v>2.5</v>
      </c>
      <c r="L17" s="1748"/>
      <c r="M17" s="1739"/>
      <c r="N17" s="1739"/>
      <c r="O17" s="1747"/>
      <c r="P17" s="3629" t="s">
        <v>489</v>
      </c>
      <c r="Q17" s="1305" t="str">
        <f t="shared" si="6"/>
        <v>居住社区成熟度</v>
      </c>
      <c r="R17" s="1306" t="s">
        <v>5</v>
      </c>
      <c r="S17" s="1307">
        <f t="shared" si="0"/>
        <v>100</v>
      </c>
      <c r="T17" s="1306" t="s">
        <v>5</v>
      </c>
      <c r="U17" s="1307">
        <f t="shared" si="1"/>
        <v>105</v>
      </c>
      <c r="V17" s="1306" t="s">
        <v>5</v>
      </c>
      <c r="W17" s="1307">
        <f t="shared" si="2"/>
        <v>105</v>
      </c>
      <c r="X17" s="1301"/>
      <c r="Y17" s="3629" t="s">
        <v>489</v>
      </c>
      <c r="Z17" s="1308" t="str">
        <f t="shared" si="7"/>
        <v>居住社区成熟度</v>
      </c>
      <c r="AA17" s="1308">
        <f t="shared" si="3"/>
        <v>1</v>
      </c>
      <c r="AB17" s="1308">
        <f t="shared" si="4"/>
        <v>0.95238095238095233</v>
      </c>
      <c r="AC17" s="1308">
        <f t="shared" si="5"/>
        <v>0.95238095238095233</v>
      </c>
    </row>
    <row r="18" spans="1:29" ht="21">
      <c r="A18" s="482"/>
      <c r="B18" s="503"/>
      <c r="C18" s="504" t="s">
        <v>3482</v>
      </c>
      <c r="D18" s="507"/>
      <c r="E18" s="508" t="s">
        <v>3482</v>
      </c>
      <c r="F18" s="505"/>
      <c r="G18" s="506" t="s">
        <v>3483</v>
      </c>
      <c r="H18" s="509"/>
      <c r="I18" s="508" t="s">
        <v>3483</v>
      </c>
      <c r="J18" s="505"/>
      <c r="K18" s="481"/>
      <c r="L18" s="1748"/>
      <c r="M18" s="1739"/>
      <c r="N18" s="1739"/>
      <c r="O18" s="1747"/>
      <c r="P18" s="3630"/>
      <c r="Q18" s="1305"/>
      <c r="R18" s="1306"/>
      <c r="S18" s="1307"/>
      <c r="T18" s="1306"/>
      <c r="U18" s="1307"/>
      <c r="V18" s="1306"/>
      <c r="W18" s="1307"/>
      <c r="X18" s="1301"/>
      <c r="Y18" s="3630"/>
      <c r="Z18" s="1308"/>
      <c r="AA18" s="1308">
        <v>1</v>
      </c>
      <c r="AB18" s="1308">
        <v>1</v>
      </c>
      <c r="AC18" s="1308">
        <v>1</v>
      </c>
    </row>
    <row r="19" spans="1:29" ht="55.2">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48"/>
      <c r="M19" s="1739"/>
      <c r="N19" s="1739"/>
      <c r="O19" s="1747"/>
      <c r="P19" s="3630"/>
      <c r="Q19" s="1305" t="str">
        <f>B19</f>
        <v>商业繁华度</v>
      </c>
      <c r="R19" s="1306" t="s">
        <v>5</v>
      </c>
      <c r="S19" s="1307">
        <f>F19</f>
        <v>100</v>
      </c>
      <c r="T19" s="1306" t="s">
        <v>5</v>
      </c>
      <c r="U19" s="1307">
        <f>H19</f>
        <v>100</v>
      </c>
      <c r="V19" s="1306" t="s">
        <v>5</v>
      </c>
      <c r="W19" s="1307">
        <f>J19</f>
        <v>100</v>
      </c>
      <c r="X19" s="1301"/>
      <c r="Y19" s="3630"/>
      <c r="Z19" s="1308" t="str">
        <f>Q19</f>
        <v>商业繁华度</v>
      </c>
      <c r="AA19" s="1308">
        <f t="shared" si="3"/>
        <v>1</v>
      </c>
      <c r="AB19" s="1308">
        <f t="shared" si="4"/>
        <v>1</v>
      </c>
      <c r="AC19" s="1308">
        <f t="shared" si="5"/>
        <v>1</v>
      </c>
    </row>
    <row r="20" spans="1:29" ht="21">
      <c r="A20" s="482"/>
      <c r="B20" s="516"/>
      <c r="C20" s="517"/>
      <c r="D20" s="513"/>
      <c r="E20" s="519"/>
      <c r="F20" s="509"/>
      <c r="G20" s="518"/>
      <c r="H20" s="505"/>
      <c r="I20" s="519"/>
      <c r="J20" s="505"/>
      <c r="K20" s="481"/>
      <c r="L20" s="1748"/>
      <c r="M20" s="1739"/>
      <c r="N20" s="1739"/>
      <c r="O20" s="1747"/>
      <c r="P20" s="3630"/>
      <c r="Q20" s="1305"/>
      <c r="R20" s="1306"/>
      <c r="S20" s="1307"/>
      <c r="T20" s="1306"/>
      <c r="U20" s="1307"/>
      <c r="V20" s="1306"/>
      <c r="W20" s="1307"/>
      <c r="X20" s="1301"/>
      <c r="Y20" s="3630"/>
      <c r="Z20" s="1308"/>
      <c r="AA20" s="1308">
        <v>1</v>
      </c>
      <c r="AB20" s="1308">
        <v>1</v>
      </c>
      <c r="AC20" s="1308">
        <v>1</v>
      </c>
    </row>
    <row r="21" spans="1:29" ht="69">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48"/>
      <c r="M21" s="1739"/>
      <c r="N21" s="1739"/>
      <c r="O21" s="1747"/>
      <c r="P21" s="3630"/>
      <c r="Q21" s="1305" t="str">
        <f>B21</f>
        <v>办公集聚程度</v>
      </c>
      <c r="R21" s="1306" t="s">
        <v>5</v>
      </c>
      <c r="S21" s="1307">
        <f>F21</f>
        <v>100</v>
      </c>
      <c r="T21" s="1306" t="s">
        <v>5</v>
      </c>
      <c r="U21" s="1307">
        <f>H21</f>
        <v>100</v>
      </c>
      <c r="V21" s="1306" t="s">
        <v>5</v>
      </c>
      <c r="W21" s="1307">
        <f>J21</f>
        <v>100</v>
      </c>
      <c r="X21" s="1301"/>
      <c r="Y21" s="3630"/>
      <c r="Z21" s="1308" t="str">
        <f>Q21</f>
        <v>办公集聚程度</v>
      </c>
      <c r="AA21" s="1308">
        <f t="shared" si="3"/>
        <v>1</v>
      </c>
      <c r="AB21" s="1308">
        <f t="shared" si="4"/>
        <v>1</v>
      </c>
      <c r="AC21" s="1308">
        <f t="shared" si="5"/>
        <v>1</v>
      </c>
    </row>
    <row r="22" spans="1:29" ht="21">
      <c r="A22" s="482"/>
      <c r="B22" s="516"/>
      <c r="C22" s="504"/>
      <c r="D22" s="507"/>
      <c r="E22" s="508"/>
      <c r="F22" s="505"/>
      <c r="G22" s="506"/>
      <c r="H22" s="505"/>
      <c r="I22" s="508"/>
      <c r="J22" s="505"/>
      <c r="K22" s="481"/>
      <c r="L22" s="1748"/>
      <c r="M22" s="1739"/>
      <c r="N22" s="1739"/>
      <c r="O22" s="1747"/>
      <c r="P22" s="3630"/>
      <c r="Q22" s="1305"/>
      <c r="R22" s="1306"/>
      <c r="S22" s="1307"/>
      <c r="T22" s="1306"/>
      <c r="U22" s="1307"/>
      <c r="V22" s="1306"/>
      <c r="W22" s="1307"/>
      <c r="X22" s="1301"/>
      <c r="Y22" s="3630"/>
      <c r="Z22" s="1308"/>
      <c r="AA22" s="1308">
        <v>1</v>
      </c>
      <c r="AB22" s="1308">
        <v>1</v>
      </c>
      <c r="AC22" s="1308">
        <v>1</v>
      </c>
    </row>
    <row r="23" spans="1:29" ht="69">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102</v>
      </c>
      <c r="I23" s="514"/>
      <c r="J23" s="509">
        <f>SUMIF(95:95,I24,96:96)-SUMIF(95:95,C24,96:96)+100</f>
        <v>102</v>
      </c>
      <c r="K23" s="485">
        <v>2</v>
      </c>
      <c r="L23" s="1748"/>
      <c r="M23" s="1739"/>
      <c r="N23" s="1739"/>
      <c r="O23" s="1747"/>
      <c r="P23" s="3630"/>
      <c r="Q23" s="1305" t="str">
        <f>B23</f>
        <v>交通便捷度</v>
      </c>
      <c r="R23" s="1306" t="s">
        <v>5</v>
      </c>
      <c r="S23" s="1307">
        <f>F23</f>
        <v>100</v>
      </c>
      <c r="T23" s="1306" t="s">
        <v>5</v>
      </c>
      <c r="U23" s="1307">
        <f>H23</f>
        <v>102</v>
      </c>
      <c r="V23" s="1306" t="s">
        <v>5</v>
      </c>
      <c r="W23" s="1307">
        <f>J23</f>
        <v>102</v>
      </c>
      <c r="X23" s="1301"/>
      <c r="Y23" s="3630"/>
      <c r="Z23" s="1308" t="str">
        <f>Q23</f>
        <v>交通便捷度</v>
      </c>
      <c r="AA23" s="1308">
        <f t="shared" si="3"/>
        <v>1</v>
      </c>
      <c r="AB23" s="1308">
        <f t="shared" si="4"/>
        <v>0.98039215686274506</v>
      </c>
      <c r="AC23" s="1308">
        <f t="shared" si="5"/>
        <v>0.98039215686274506</v>
      </c>
    </row>
    <row r="24" spans="1:29" ht="21">
      <c r="A24" s="482"/>
      <c r="B24" s="528"/>
      <c r="C24" s="504" t="s">
        <v>3482</v>
      </c>
      <c r="D24" s="507"/>
      <c r="E24" s="504" t="s">
        <v>3482</v>
      </c>
      <c r="F24" s="505"/>
      <c r="G24" s="506" t="s">
        <v>3484</v>
      </c>
      <c r="H24" s="505"/>
      <c r="I24" s="506" t="s">
        <v>3484</v>
      </c>
      <c r="J24" s="505"/>
      <c r="K24" s="481"/>
      <c r="L24" s="1748"/>
      <c r="M24" s="1739"/>
      <c r="N24" s="1739"/>
      <c r="O24" s="1747"/>
      <c r="P24" s="3630"/>
      <c r="Q24" s="1305"/>
      <c r="R24" s="1306"/>
      <c r="S24" s="1307"/>
      <c r="T24" s="1306"/>
      <c r="U24" s="1307"/>
      <c r="V24" s="1306"/>
      <c r="W24" s="1307"/>
      <c r="X24" s="1301"/>
      <c r="Y24" s="3630"/>
      <c r="Z24" s="1308"/>
      <c r="AA24" s="1308">
        <v>1</v>
      </c>
      <c r="AB24" s="1308">
        <v>1</v>
      </c>
      <c r="AC24" s="1308">
        <v>1</v>
      </c>
    </row>
    <row r="25" spans="1:29" ht="28.8">
      <c r="A25" s="466"/>
      <c r="B25" s="239" t="s">
        <v>493</v>
      </c>
      <c r="C25" s="523">
        <f>估价对象房地状况!C19</f>
        <v>0</v>
      </c>
      <c r="D25" s="513">
        <v>100</v>
      </c>
      <c r="E25" s="514"/>
      <c r="F25" s="515">
        <f>SUMIF(97:97,E26,98:98)-SUMIF(97:97,C26,98:98)+100</f>
        <v>100</v>
      </c>
      <c r="G25" s="512"/>
      <c r="H25" s="509">
        <f>SUMIF(97:97,G26,98:98)-SUMIF(97:97,C26,98:98)+100</f>
        <v>102</v>
      </c>
      <c r="I25" s="514"/>
      <c r="J25" s="509">
        <f>SUMIF(97:97,I26,98:98)-SUMIF(97:97,C26,98:98)+100</f>
        <v>102</v>
      </c>
      <c r="K25" s="485">
        <v>2</v>
      </c>
      <c r="L25" s="1748"/>
      <c r="M25" s="1739"/>
      <c r="N25" s="1739"/>
      <c r="O25" s="1747"/>
      <c r="P25" s="3630"/>
      <c r="Q25" s="1305" t="str">
        <f t="shared" ref="Q25:Q39" si="8">B25</f>
        <v>区域土地利用方向</v>
      </c>
      <c r="R25" s="1306" t="s">
        <v>5</v>
      </c>
      <c r="S25" s="1307">
        <f>F25</f>
        <v>100</v>
      </c>
      <c r="T25" s="1306" t="s">
        <v>5</v>
      </c>
      <c r="U25" s="1307">
        <f>H25</f>
        <v>102</v>
      </c>
      <c r="V25" s="1306" t="s">
        <v>5</v>
      </c>
      <c r="W25" s="1307">
        <f>J25</f>
        <v>102</v>
      </c>
      <c r="X25" s="1301"/>
      <c r="Y25" s="3630"/>
      <c r="Z25" s="1308" t="str">
        <f>Q25</f>
        <v>区域土地利用方向</v>
      </c>
      <c r="AA25" s="1308">
        <f t="shared" si="3"/>
        <v>1</v>
      </c>
      <c r="AB25" s="1308">
        <f t="shared" si="4"/>
        <v>0.98039215686274506</v>
      </c>
      <c r="AC25" s="1308">
        <f t="shared" si="5"/>
        <v>0.98039215686274506</v>
      </c>
    </row>
    <row r="26" spans="1:29" ht="21">
      <c r="A26" s="466"/>
      <c r="B26" s="919"/>
      <c r="C26" s="504" t="s">
        <v>3482</v>
      </c>
      <c r="D26" s="507"/>
      <c r="E26" s="504" t="s">
        <v>3482</v>
      </c>
      <c r="F26" s="505"/>
      <c r="G26" s="506" t="s">
        <v>3484</v>
      </c>
      <c r="H26" s="505"/>
      <c r="I26" s="506" t="s">
        <v>3484</v>
      </c>
      <c r="J26" s="505"/>
      <c r="K26" s="481"/>
      <c r="L26" s="1748"/>
      <c r="M26" s="1739"/>
      <c r="N26" s="1739"/>
      <c r="O26" s="1747"/>
      <c r="P26" s="3630"/>
      <c r="Q26" s="1305"/>
      <c r="R26" s="1306"/>
      <c r="S26" s="1307"/>
      <c r="T26" s="1306"/>
      <c r="U26" s="1307"/>
      <c r="V26" s="1306"/>
      <c r="W26" s="1307"/>
      <c r="X26" s="1301"/>
      <c r="Y26" s="3630"/>
      <c r="Z26" s="1308"/>
      <c r="AA26" s="1308"/>
      <c r="AB26" s="1308"/>
      <c r="AC26" s="1308"/>
    </row>
    <row r="27" spans="1:29" ht="41.4">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102</v>
      </c>
      <c r="I27" s="514"/>
      <c r="J27" s="509">
        <f>SUMIF(99:99,I28,100:100)-SUMIF(99:99,C28,100:100)+100</f>
        <v>102</v>
      </c>
      <c r="K27" s="485">
        <v>2</v>
      </c>
      <c r="L27" s="1748"/>
      <c r="M27" s="1739"/>
      <c r="N27" s="1739"/>
      <c r="O27" s="1747"/>
      <c r="P27" s="3630"/>
      <c r="Q27" s="1305" t="str">
        <f t="shared" si="8"/>
        <v>自然及人文环境状况</v>
      </c>
      <c r="R27" s="1306" t="s">
        <v>5</v>
      </c>
      <c r="S27" s="1307">
        <f>F27</f>
        <v>100</v>
      </c>
      <c r="T27" s="1306" t="s">
        <v>5</v>
      </c>
      <c r="U27" s="1307">
        <f>H27</f>
        <v>102</v>
      </c>
      <c r="V27" s="1306" t="s">
        <v>5</v>
      </c>
      <c r="W27" s="1307">
        <f>J27</f>
        <v>102</v>
      </c>
      <c r="X27" s="1301"/>
      <c r="Y27" s="3630"/>
      <c r="Z27" s="1308" t="str">
        <f>Q27</f>
        <v>自然及人文环境状况</v>
      </c>
      <c r="AA27" s="1308">
        <f t="shared" si="3"/>
        <v>1</v>
      </c>
      <c r="AB27" s="1308">
        <f t="shared" si="4"/>
        <v>0.98039215686274506</v>
      </c>
      <c r="AC27" s="1308">
        <f t="shared" si="5"/>
        <v>0.98039215686274506</v>
      </c>
    </row>
    <row r="28" spans="1:29" ht="21">
      <c r="A28" s="466"/>
      <c r="B28" s="516"/>
      <c r="C28" s="504" t="s">
        <v>3482</v>
      </c>
      <c r="D28" s="507"/>
      <c r="E28" s="504" t="s">
        <v>3482</v>
      </c>
      <c r="F28" s="505"/>
      <c r="G28" s="506" t="s">
        <v>3484</v>
      </c>
      <c r="H28" s="505"/>
      <c r="I28" s="506" t="s">
        <v>3484</v>
      </c>
      <c r="J28" s="505"/>
      <c r="K28" s="481"/>
      <c r="L28" s="1748"/>
      <c r="M28" s="1739"/>
      <c r="N28" s="1739"/>
      <c r="O28" s="1747"/>
      <c r="P28" s="3630"/>
      <c r="Q28" s="1305"/>
      <c r="R28" s="1306"/>
      <c r="S28" s="1307"/>
      <c r="T28" s="1306"/>
      <c r="U28" s="1307"/>
      <c r="V28" s="1306"/>
      <c r="W28" s="1307"/>
      <c r="X28" s="1301"/>
      <c r="Y28" s="3630"/>
      <c r="Z28" s="1308"/>
      <c r="AA28" s="1308">
        <v>1</v>
      </c>
      <c r="AB28" s="1308">
        <v>1</v>
      </c>
      <c r="AC28" s="1308">
        <v>1</v>
      </c>
    </row>
    <row r="29" spans="1:29" s="1060" customFormat="1" ht="41.4">
      <c r="A29" s="527"/>
      <c r="B29" s="2049" t="s">
        <v>1831</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103</v>
      </c>
      <c r="I29" s="514"/>
      <c r="J29" s="509">
        <f>SUMIF(101:101,I30,102:102)-SUMIF(101:101,C30,102:102)+100</f>
        <v>103</v>
      </c>
      <c r="K29" s="485">
        <v>3</v>
      </c>
      <c r="L29" s="1742"/>
      <c r="M29" s="1739"/>
      <c r="N29" s="1739"/>
      <c r="O29" s="1743"/>
      <c r="P29" s="3630"/>
      <c r="Q29" s="818" t="str">
        <f t="shared" si="8"/>
        <v>公共配套设施</v>
      </c>
      <c r="R29" s="1302" t="s">
        <v>5</v>
      </c>
      <c r="S29" s="1303">
        <f>F29</f>
        <v>100</v>
      </c>
      <c r="T29" s="1302" t="s">
        <v>5</v>
      </c>
      <c r="U29" s="1303">
        <f>H29</f>
        <v>103</v>
      </c>
      <c r="V29" s="1302" t="s">
        <v>5</v>
      </c>
      <c r="W29" s="1303">
        <f>J29</f>
        <v>103</v>
      </c>
      <c r="X29" s="1304"/>
      <c r="Y29" s="3630"/>
      <c r="Z29" s="997" t="str">
        <f>Q29</f>
        <v>公共配套设施</v>
      </c>
      <c r="AA29" s="1308">
        <f>D29/F29</f>
        <v>1</v>
      </c>
      <c r="AB29" s="1308">
        <f>D29/H29</f>
        <v>0.970873786407767</v>
      </c>
      <c r="AC29" s="1308">
        <f>D29/J29</f>
        <v>0.970873786407767</v>
      </c>
    </row>
    <row r="30" spans="1:29" s="1060" customFormat="1" ht="21">
      <c r="A30" s="527"/>
      <c r="B30" s="516"/>
      <c r="C30" s="504" t="s">
        <v>3482</v>
      </c>
      <c r="D30" s="507"/>
      <c r="E30" s="504" t="s">
        <v>3482</v>
      </c>
      <c r="F30" s="505"/>
      <c r="G30" s="506" t="s">
        <v>3484</v>
      </c>
      <c r="H30" s="505"/>
      <c r="I30" s="526" t="s">
        <v>3484</v>
      </c>
      <c r="J30" s="505"/>
      <c r="K30" s="481"/>
      <c r="L30" s="1742"/>
      <c r="M30" s="1739"/>
      <c r="N30" s="1739"/>
      <c r="O30" s="1743"/>
      <c r="P30" s="3630"/>
      <c r="Q30" s="818"/>
      <c r="R30" s="1302"/>
      <c r="S30" s="1303"/>
      <c r="T30" s="1302"/>
      <c r="U30" s="1303"/>
      <c r="V30" s="1302"/>
      <c r="W30" s="1303"/>
      <c r="X30" s="1304"/>
      <c r="Y30" s="3630"/>
      <c r="Z30" s="997"/>
      <c r="AA30" s="1308">
        <v>1</v>
      </c>
      <c r="AB30" s="1308">
        <v>1</v>
      </c>
      <c r="AC30" s="1308">
        <v>1</v>
      </c>
    </row>
    <row r="31" spans="1:29" s="1060" customFormat="1" ht="27.6">
      <c r="A31" s="527"/>
      <c r="B31" s="2049" t="s">
        <v>1832</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2"/>
      <c r="M31" s="1739"/>
      <c r="N31" s="1739"/>
      <c r="O31" s="1743"/>
      <c r="P31" s="3630"/>
      <c r="Q31" s="818" t="str">
        <f>B31</f>
        <v>基础设施水平</v>
      </c>
      <c r="R31" s="1302" t="s">
        <v>5</v>
      </c>
      <c r="S31" s="1303">
        <f>F31</f>
        <v>100</v>
      </c>
      <c r="T31" s="1302" t="s">
        <v>5</v>
      </c>
      <c r="U31" s="1303">
        <f>H31</f>
        <v>100</v>
      </c>
      <c r="V31" s="1302" t="s">
        <v>5</v>
      </c>
      <c r="W31" s="1303">
        <f>J31</f>
        <v>100</v>
      </c>
      <c r="X31" s="1304"/>
      <c r="Y31" s="3630"/>
      <c r="Z31" s="997" t="str">
        <f>Q31</f>
        <v>基础设施水平</v>
      </c>
      <c r="AA31" s="1308">
        <f>D31/F31</f>
        <v>1</v>
      </c>
      <c r="AB31" s="1308">
        <f>D31/H31</f>
        <v>1</v>
      </c>
      <c r="AC31" s="1308">
        <f>D31/J31</f>
        <v>1</v>
      </c>
    </row>
    <row r="32" spans="1:29" s="1060" customFormat="1" ht="21">
      <c r="A32" s="527"/>
      <c r="B32" s="516"/>
      <c r="C32" s="529"/>
      <c r="D32" s="507"/>
      <c r="E32" s="2050"/>
      <c r="F32" s="505"/>
      <c r="G32" s="529"/>
      <c r="H32" s="505"/>
      <c r="I32" s="529"/>
      <c r="J32" s="505"/>
      <c r="K32" s="481"/>
      <c r="L32" s="1742"/>
      <c r="M32" s="1739"/>
      <c r="N32" s="1739"/>
      <c r="O32" s="1743"/>
      <c r="P32" s="3630"/>
      <c r="Q32" s="818"/>
      <c r="R32" s="1302"/>
      <c r="S32" s="1303"/>
      <c r="T32" s="1302"/>
      <c r="U32" s="1303"/>
      <c r="V32" s="1302"/>
      <c r="W32" s="1303"/>
      <c r="X32" s="1304"/>
      <c r="Y32" s="3630"/>
      <c r="Z32" s="997"/>
      <c r="AA32" s="1308">
        <v>1</v>
      </c>
      <c r="AB32" s="1308">
        <v>1</v>
      </c>
      <c r="AC32" s="1308">
        <v>1</v>
      </c>
    </row>
    <row r="33" spans="1:29" ht="2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8"/>
      <c r="M33" s="1739"/>
      <c r="N33" s="1739"/>
      <c r="O33" s="1747"/>
      <c r="P33" s="3630"/>
      <c r="Q33" s="1305" t="str">
        <f t="shared" si="8"/>
        <v>临街状况</v>
      </c>
      <c r="R33" s="1306" t="s">
        <v>5</v>
      </c>
      <c r="S33" s="1307">
        <f t="shared" ref="S33:S47" si="9">F33</f>
        <v>100</v>
      </c>
      <c r="T33" s="1306" t="s">
        <v>5</v>
      </c>
      <c r="U33" s="1307">
        <f t="shared" ref="U33:U47" si="10">H33</f>
        <v>100</v>
      </c>
      <c r="V33" s="1306" t="s">
        <v>5</v>
      </c>
      <c r="W33" s="1307">
        <f t="shared" ref="W33:W47" si="11">J33</f>
        <v>100</v>
      </c>
      <c r="X33" s="1301"/>
      <c r="Y33" s="3630"/>
      <c r="Z33" s="1308" t="str">
        <f t="shared" ref="Z33:Z47" si="12">Q33</f>
        <v>临街状况</v>
      </c>
      <c r="AA33" s="1308">
        <f t="shared" si="3"/>
        <v>1</v>
      </c>
      <c r="AB33" s="1308">
        <f t="shared" si="4"/>
        <v>1</v>
      </c>
      <c r="AC33" s="1308">
        <f t="shared" si="5"/>
        <v>1</v>
      </c>
    </row>
    <row r="34" spans="1:29" ht="28.8">
      <c r="A34" s="482"/>
      <c r="B34" s="528" t="s">
        <v>497</v>
      </c>
      <c r="C34" s="3415" t="s">
        <v>3485</v>
      </c>
      <c r="D34" s="513">
        <v>100</v>
      </c>
      <c r="E34" s="3415" t="s">
        <v>3486</v>
      </c>
      <c r="F34" s="509">
        <f>SUMIF(107:107,E35,108:108)-SUMIF(107:107,C35,108:108)+100</f>
        <v>101</v>
      </c>
      <c r="G34" s="3415" t="s">
        <v>3487</v>
      </c>
      <c r="H34" s="509">
        <f>SUMIF(107:107,G35,108:108)-SUMIF(107:107,C35,108:108)+100</f>
        <v>101</v>
      </c>
      <c r="I34" s="3416" t="s">
        <v>3488</v>
      </c>
      <c r="J34" s="509">
        <f>SUMIF(107:107,I35,108:108)-SUMIF(107:107,C35,108:108)+100</f>
        <v>100</v>
      </c>
      <c r="K34" s="485">
        <v>0.5</v>
      </c>
      <c r="L34" s="1748"/>
      <c r="M34" s="1739"/>
      <c r="N34" s="1739"/>
      <c r="O34" s="1747"/>
      <c r="P34" s="3630"/>
      <c r="Q34" s="1305" t="str">
        <f t="shared" si="8"/>
        <v>毗邻道路的类型与等级</v>
      </c>
      <c r="R34" s="1306" t="s">
        <v>5</v>
      </c>
      <c r="S34" s="1307">
        <f t="shared" si="9"/>
        <v>101</v>
      </c>
      <c r="T34" s="1306" t="s">
        <v>5</v>
      </c>
      <c r="U34" s="1307">
        <f t="shared" si="10"/>
        <v>101</v>
      </c>
      <c r="V34" s="1306" t="s">
        <v>5</v>
      </c>
      <c r="W34" s="1307">
        <f t="shared" si="11"/>
        <v>100</v>
      </c>
      <c r="X34" s="1301"/>
      <c r="Y34" s="3630"/>
      <c r="Z34" s="1308" t="str">
        <f t="shared" si="12"/>
        <v>毗邻道路的类型与等级</v>
      </c>
      <c r="AA34" s="1308">
        <f t="shared" si="3"/>
        <v>0.99009900990099009</v>
      </c>
      <c r="AB34" s="1308">
        <f t="shared" si="4"/>
        <v>0.99009900990099009</v>
      </c>
      <c r="AC34" s="1308">
        <f t="shared" si="5"/>
        <v>1</v>
      </c>
    </row>
    <row r="35" spans="1:29" ht="21">
      <c r="A35" s="482"/>
      <c r="B35" s="516"/>
      <c r="C35" s="504" t="s">
        <v>3508</v>
      </c>
      <c r="D35" s="507"/>
      <c r="E35" s="526" t="s">
        <v>3509</v>
      </c>
      <c r="F35" s="505"/>
      <c r="G35" s="504" t="s">
        <v>3509</v>
      </c>
      <c r="H35" s="505"/>
      <c r="I35" s="526" t="s">
        <v>3508</v>
      </c>
      <c r="J35" s="505"/>
      <c r="K35" s="531"/>
      <c r="L35" s="1748"/>
      <c r="M35" s="1739"/>
      <c r="N35" s="1739"/>
      <c r="O35" s="1747"/>
      <c r="P35" s="3630"/>
      <c r="Q35" s="1305"/>
      <c r="R35" s="1306"/>
      <c r="S35" s="1307"/>
      <c r="T35" s="1306"/>
      <c r="U35" s="1307"/>
      <c r="V35" s="1306"/>
      <c r="W35" s="1307"/>
      <c r="X35" s="1301"/>
      <c r="Y35" s="3630"/>
      <c r="Z35" s="1308"/>
      <c r="AA35" s="1308">
        <v>1</v>
      </c>
      <c r="AB35" s="1308">
        <v>1</v>
      </c>
      <c r="AC35" s="1308">
        <v>1</v>
      </c>
    </row>
    <row r="36" spans="1:29" ht="2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8"/>
      <c r="M36" s="1739"/>
      <c r="N36" s="1739"/>
      <c r="O36" s="1747"/>
      <c r="P36" s="3630"/>
      <c r="Q36" s="1305" t="str">
        <f t="shared" si="8"/>
        <v>土地级别</v>
      </c>
      <c r="R36" s="1306" t="s">
        <v>5</v>
      </c>
      <c r="S36" s="1307">
        <f t="shared" si="9"/>
        <v>100</v>
      </c>
      <c r="T36" s="1306" t="s">
        <v>5</v>
      </c>
      <c r="U36" s="1307">
        <f t="shared" si="10"/>
        <v>100</v>
      </c>
      <c r="V36" s="1306" t="s">
        <v>5</v>
      </c>
      <c r="W36" s="1307">
        <f t="shared" si="11"/>
        <v>100</v>
      </c>
      <c r="X36" s="1301"/>
      <c r="Y36" s="3630"/>
      <c r="Z36" s="1308" t="str">
        <f t="shared" si="12"/>
        <v>土地级别</v>
      </c>
      <c r="AA36" s="1308">
        <f t="shared" si="3"/>
        <v>1</v>
      </c>
      <c r="AB36" s="1308">
        <f t="shared" si="4"/>
        <v>1</v>
      </c>
      <c r="AC36" s="1308">
        <f t="shared" si="5"/>
        <v>1</v>
      </c>
    </row>
    <row r="37" spans="1:29" ht="2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8"/>
      <c r="M37" s="1739"/>
      <c r="N37" s="1739"/>
      <c r="O37" s="1747"/>
      <c r="P37" s="3630"/>
      <c r="Q37" s="1305">
        <f t="shared" si="8"/>
        <v>111</v>
      </c>
      <c r="R37" s="1306" t="s">
        <v>5</v>
      </c>
      <c r="S37" s="1307">
        <f t="shared" si="9"/>
        <v>100</v>
      </c>
      <c r="T37" s="1306" t="s">
        <v>5</v>
      </c>
      <c r="U37" s="1307">
        <f t="shared" si="10"/>
        <v>100</v>
      </c>
      <c r="V37" s="1306" t="s">
        <v>5</v>
      </c>
      <c r="W37" s="1307">
        <f t="shared" si="11"/>
        <v>100</v>
      </c>
      <c r="X37" s="1301"/>
      <c r="Y37" s="3630"/>
      <c r="Z37" s="1308">
        <f t="shared" si="12"/>
        <v>111</v>
      </c>
      <c r="AA37" s="1308">
        <f t="shared" si="3"/>
        <v>1</v>
      </c>
      <c r="AB37" s="1308">
        <f t="shared" si="4"/>
        <v>1</v>
      </c>
      <c r="AC37" s="1308">
        <f t="shared" si="5"/>
        <v>1</v>
      </c>
    </row>
    <row r="38" spans="1:29" ht="2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8"/>
      <c r="M38" s="1739"/>
      <c r="N38" s="1739"/>
      <c r="O38" s="1747"/>
      <c r="P38" s="3631" t="s">
        <v>499</v>
      </c>
      <c r="Q38" s="1305">
        <f t="shared" si="8"/>
        <v>111</v>
      </c>
      <c r="R38" s="1306" t="s">
        <v>5</v>
      </c>
      <c r="S38" s="1307">
        <f t="shared" si="9"/>
        <v>100</v>
      </c>
      <c r="T38" s="1306" t="s">
        <v>5</v>
      </c>
      <c r="U38" s="1307">
        <f t="shared" si="10"/>
        <v>100</v>
      </c>
      <c r="V38" s="1306" t="s">
        <v>5</v>
      </c>
      <c r="W38" s="1307">
        <f t="shared" si="11"/>
        <v>100</v>
      </c>
      <c r="X38" s="1301"/>
      <c r="Y38" s="3632" t="s">
        <v>499</v>
      </c>
      <c r="Z38" s="1308">
        <f t="shared" si="12"/>
        <v>111</v>
      </c>
      <c r="AA38" s="1308">
        <f t="shared" si="3"/>
        <v>1</v>
      </c>
      <c r="AB38" s="1308">
        <f t="shared" si="4"/>
        <v>1</v>
      </c>
      <c r="AC38" s="1308">
        <f t="shared" si="5"/>
        <v>1</v>
      </c>
    </row>
    <row r="39" spans="1:29" s="1134" customFormat="1" ht="21.6"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6"/>
      <c r="M39" s="1739"/>
      <c r="N39" s="1739"/>
      <c r="O39" s="1749"/>
      <c r="P39" s="3632"/>
      <c r="Q39" s="1305">
        <f t="shared" si="8"/>
        <v>111</v>
      </c>
      <c r="R39" s="1309" t="s">
        <v>5</v>
      </c>
      <c r="S39" s="1310">
        <f t="shared" si="9"/>
        <v>100</v>
      </c>
      <c r="T39" s="1309" t="s">
        <v>5</v>
      </c>
      <c r="U39" s="1310">
        <f t="shared" si="10"/>
        <v>100</v>
      </c>
      <c r="V39" s="1309" t="s">
        <v>5</v>
      </c>
      <c r="W39" s="1310">
        <f t="shared" si="11"/>
        <v>100</v>
      </c>
      <c r="X39" s="1311"/>
      <c r="Y39" s="3632"/>
      <c r="Z39" s="1312">
        <f t="shared" si="12"/>
        <v>111</v>
      </c>
      <c r="AA39" s="1308">
        <f t="shared" si="3"/>
        <v>1</v>
      </c>
      <c r="AB39" s="1308">
        <f t="shared" si="4"/>
        <v>1</v>
      </c>
      <c r="AC39" s="1308">
        <f t="shared" si="5"/>
        <v>1</v>
      </c>
    </row>
    <row r="40" spans="1:29" ht="21">
      <c r="A40" s="2203" t="s">
        <v>2037</v>
      </c>
      <c r="B40" s="544" t="s">
        <v>501</v>
      </c>
      <c r="C40" s="545">
        <f>'数据-基础表'!A3</f>
        <v>21555</v>
      </c>
      <c r="D40" s="546">
        <v>100</v>
      </c>
      <c r="E40" s="545">
        <f>土地案例!I2</f>
        <v>25910</v>
      </c>
      <c r="F40" s="546">
        <f>LOOKUP(E40,118:118,119:119)-LOOKUP(C40,118:118,119:119)+100</f>
        <v>100</v>
      </c>
      <c r="G40" s="545">
        <f>土地案例!I3</f>
        <v>46214</v>
      </c>
      <c r="H40" s="546">
        <f>LOOKUP(G40,118:118,119:119)-LOOKUP(C40,118:118,119:119)+100</f>
        <v>100</v>
      </c>
      <c r="I40" s="547">
        <f>土地案例!I4</f>
        <v>208984</v>
      </c>
      <c r="J40" s="546">
        <f>LOOKUP(I40,118:118,119:119)-LOOKUP(C40,118:118,119:119)+100</f>
        <v>96</v>
      </c>
      <c r="K40" s="531"/>
      <c r="L40" s="1748"/>
      <c r="M40" s="1739"/>
      <c r="N40" s="1739"/>
      <c r="O40" s="1747"/>
      <c r="P40" s="3632"/>
      <c r="Q40" s="1305" t="str">
        <f>B40</f>
        <v>宗地面积</v>
      </c>
      <c r="R40" s="1306" t="s">
        <v>5</v>
      </c>
      <c r="S40" s="1307">
        <f t="shared" si="9"/>
        <v>100</v>
      </c>
      <c r="T40" s="1306" t="s">
        <v>5</v>
      </c>
      <c r="U40" s="1307">
        <f t="shared" si="10"/>
        <v>100</v>
      </c>
      <c r="V40" s="1306" t="s">
        <v>5</v>
      </c>
      <c r="W40" s="1307">
        <f t="shared" si="11"/>
        <v>96</v>
      </c>
      <c r="X40" s="1301"/>
      <c r="Y40" s="3632"/>
      <c r="Z40" s="1308" t="str">
        <f t="shared" si="12"/>
        <v>宗地面积</v>
      </c>
      <c r="AA40" s="1308">
        <f t="shared" si="3"/>
        <v>1</v>
      </c>
      <c r="AB40" s="1308">
        <f t="shared" si="4"/>
        <v>1</v>
      </c>
      <c r="AC40" s="1308">
        <f t="shared" si="5"/>
        <v>1.0416666666666667</v>
      </c>
    </row>
    <row r="41" spans="1:29" ht="21">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48"/>
      <c r="M41" s="1739"/>
      <c r="N41" s="1739"/>
      <c r="O41" s="1747"/>
      <c r="P41" s="3632"/>
      <c r="Q41" s="1305" t="str">
        <f t="shared" ref="Q41:Q47" si="13">B41</f>
        <v>宗地形状</v>
      </c>
      <c r="R41" s="1306" t="s">
        <v>5</v>
      </c>
      <c r="S41" s="1307">
        <f t="shared" si="9"/>
        <v>100</v>
      </c>
      <c r="T41" s="1306" t="s">
        <v>5</v>
      </c>
      <c r="U41" s="1307">
        <f t="shared" si="10"/>
        <v>100</v>
      </c>
      <c r="V41" s="1306" t="s">
        <v>5</v>
      </c>
      <c r="W41" s="1307">
        <f t="shared" si="11"/>
        <v>100</v>
      </c>
      <c r="X41" s="1301"/>
      <c r="Y41" s="3632"/>
      <c r="Z41" s="1308" t="str">
        <f t="shared" si="12"/>
        <v>宗地形状</v>
      </c>
      <c r="AA41" s="1308">
        <f t="shared" si="3"/>
        <v>1</v>
      </c>
      <c r="AB41" s="1308">
        <f t="shared" si="4"/>
        <v>1</v>
      </c>
      <c r="AC41" s="1308">
        <f t="shared" si="5"/>
        <v>1</v>
      </c>
    </row>
    <row r="42" spans="1:29" ht="21">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8"/>
      <c r="M42" s="1739"/>
      <c r="N42" s="1739"/>
      <c r="O42" s="1747"/>
      <c r="P42" s="3632"/>
      <c r="Q42" s="1305" t="str">
        <f t="shared" si="13"/>
        <v>临街宽度及深度</v>
      </c>
      <c r="R42" s="1306" t="s">
        <v>5</v>
      </c>
      <c r="S42" s="1307">
        <f t="shared" si="9"/>
        <v>100</v>
      </c>
      <c r="T42" s="1306" t="s">
        <v>5</v>
      </c>
      <c r="U42" s="1307">
        <f t="shared" si="10"/>
        <v>100</v>
      </c>
      <c r="V42" s="1306" t="s">
        <v>5</v>
      </c>
      <c r="W42" s="1307">
        <f t="shared" si="11"/>
        <v>100</v>
      </c>
      <c r="X42" s="1301"/>
      <c r="Y42" s="3632"/>
      <c r="Z42" s="1308" t="str">
        <f t="shared" si="12"/>
        <v>临街宽度及深度</v>
      </c>
      <c r="AA42" s="1308">
        <f t="shared" si="3"/>
        <v>1</v>
      </c>
      <c r="AB42" s="1308">
        <f t="shared" si="4"/>
        <v>1</v>
      </c>
      <c r="AC42" s="1308">
        <f t="shared" si="5"/>
        <v>1</v>
      </c>
    </row>
    <row r="43" spans="1:29" s="1060" customFormat="1" ht="21">
      <c r="A43" s="549"/>
      <c r="B43" s="1553" t="s">
        <v>1776</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v>1</v>
      </c>
      <c r="L43" s="1742"/>
      <c r="M43" s="1739"/>
      <c r="N43" s="1739"/>
      <c r="O43" s="1743"/>
      <c r="P43" s="3632"/>
      <c r="Q43" s="1305" t="str">
        <f t="shared" si="13"/>
        <v>宗地开发程度</v>
      </c>
      <c r="R43" s="1302" t="s">
        <v>5</v>
      </c>
      <c r="S43" s="1303">
        <f t="shared" si="9"/>
        <v>100</v>
      </c>
      <c r="T43" s="1302" t="s">
        <v>5</v>
      </c>
      <c r="U43" s="1303">
        <f t="shared" si="10"/>
        <v>100</v>
      </c>
      <c r="V43" s="1302" t="s">
        <v>5</v>
      </c>
      <c r="W43" s="1303">
        <f t="shared" si="11"/>
        <v>100</v>
      </c>
      <c r="X43" s="1304"/>
      <c r="Y43" s="3632"/>
      <c r="Z43" s="997" t="str">
        <f t="shared" si="12"/>
        <v>宗地开发程度</v>
      </c>
      <c r="AA43" s="997">
        <f t="shared" si="3"/>
        <v>1</v>
      </c>
      <c r="AB43" s="997">
        <f t="shared" si="4"/>
        <v>1</v>
      </c>
      <c r="AC43" s="997">
        <f t="shared" si="5"/>
        <v>1</v>
      </c>
    </row>
    <row r="44" spans="1:29" ht="21">
      <c r="A44" s="543"/>
      <c r="B44" s="477" t="s">
        <v>504</v>
      </c>
      <c r="C44" s="548" t="s">
        <v>3484</v>
      </c>
      <c r="D44" s="490">
        <v>100</v>
      </c>
      <c r="E44" s="548" t="s">
        <v>3484</v>
      </c>
      <c r="F44" s="490">
        <f>SUMIF(126:126,E44,127:127)-SUMIF(126:126,C44,127:127)+100</f>
        <v>100</v>
      </c>
      <c r="G44" s="548" t="s">
        <v>3484</v>
      </c>
      <c r="H44" s="490">
        <f>SUMIF(126:126,G44,127:127)-SUMIF(126:126,C44,127:127)+100</f>
        <v>100</v>
      </c>
      <c r="I44" s="548" t="s">
        <v>3484</v>
      </c>
      <c r="J44" s="490">
        <f>SUMIF(126:126,I44,127:127)-SUMIF(126:126,C44,127:127)+100</f>
        <v>100</v>
      </c>
      <c r="K44" s="533">
        <v>2</v>
      </c>
      <c r="L44" s="1748"/>
      <c r="M44" s="1739"/>
      <c r="N44" s="1739"/>
      <c r="O44" s="1747"/>
      <c r="P44" s="3632" t="s">
        <v>499</v>
      </c>
      <c r="Q44" s="1305" t="str">
        <f t="shared" si="13"/>
        <v>工程地质条件</v>
      </c>
      <c r="R44" s="1306" t="s">
        <v>5</v>
      </c>
      <c r="S44" s="1307">
        <f t="shared" si="9"/>
        <v>100</v>
      </c>
      <c r="T44" s="1306" t="s">
        <v>5</v>
      </c>
      <c r="U44" s="1307">
        <f t="shared" si="10"/>
        <v>100</v>
      </c>
      <c r="V44" s="1306" t="s">
        <v>5</v>
      </c>
      <c r="W44" s="1307">
        <f t="shared" si="11"/>
        <v>100</v>
      </c>
      <c r="X44" s="1301"/>
      <c r="Y44" s="3632" t="s">
        <v>499</v>
      </c>
      <c r="Z44" s="1308" t="str">
        <f t="shared" si="12"/>
        <v>工程地质条件</v>
      </c>
      <c r="AA44" s="1308">
        <f t="shared" si="3"/>
        <v>1</v>
      </c>
      <c r="AB44" s="1308">
        <f t="shared" si="4"/>
        <v>1</v>
      </c>
      <c r="AC44" s="1308">
        <f t="shared" si="5"/>
        <v>1</v>
      </c>
    </row>
    <row r="45" spans="1:29" ht="2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8"/>
      <c r="M45" s="1739"/>
      <c r="N45" s="1739"/>
      <c r="O45" s="1747"/>
      <c r="P45" s="3632"/>
      <c r="Q45" s="1305">
        <f t="shared" si="13"/>
        <v>111</v>
      </c>
      <c r="R45" s="1306" t="s">
        <v>5</v>
      </c>
      <c r="S45" s="1307">
        <f t="shared" si="9"/>
        <v>100</v>
      </c>
      <c r="T45" s="1306" t="s">
        <v>5</v>
      </c>
      <c r="U45" s="1307">
        <f t="shared" si="10"/>
        <v>100</v>
      </c>
      <c r="V45" s="1306" t="s">
        <v>5</v>
      </c>
      <c r="W45" s="1307">
        <f t="shared" si="11"/>
        <v>100</v>
      </c>
      <c r="X45" s="1301"/>
      <c r="Y45" s="3632"/>
      <c r="Z45" s="1308">
        <f t="shared" si="12"/>
        <v>111</v>
      </c>
      <c r="AA45" s="1308">
        <f t="shared" si="3"/>
        <v>1</v>
      </c>
      <c r="AB45" s="1308">
        <f t="shared" si="4"/>
        <v>1</v>
      </c>
      <c r="AC45" s="1308">
        <f t="shared" si="5"/>
        <v>1</v>
      </c>
    </row>
    <row r="46" spans="1:29" ht="2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8"/>
      <c r="M46" s="1739"/>
      <c r="N46" s="1739"/>
      <c r="O46" s="1747"/>
      <c r="P46" s="3632"/>
      <c r="Q46" s="1305">
        <f t="shared" si="13"/>
        <v>111</v>
      </c>
      <c r="R46" s="1306" t="s">
        <v>5</v>
      </c>
      <c r="S46" s="1307">
        <f t="shared" si="9"/>
        <v>100</v>
      </c>
      <c r="T46" s="1306" t="s">
        <v>5</v>
      </c>
      <c r="U46" s="1307">
        <f t="shared" si="10"/>
        <v>100</v>
      </c>
      <c r="V46" s="1306" t="s">
        <v>5</v>
      </c>
      <c r="W46" s="1307">
        <f t="shared" si="11"/>
        <v>100</v>
      </c>
      <c r="X46" s="1301"/>
      <c r="Y46" s="3632"/>
      <c r="Z46" s="1308">
        <f t="shared" si="12"/>
        <v>111</v>
      </c>
      <c r="AA46" s="1308">
        <f t="shared" si="3"/>
        <v>1</v>
      </c>
      <c r="AB46" s="1308">
        <f t="shared" si="4"/>
        <v>1</v>
      </c>
      <c r="AC46" s="1308">
        <f t="shared" si="5"/>
        <v>1</v>
      </c>
    </row>
    <row r="47" spans="1:29" s="1134" customFormat="1" ht="21.6"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6"/>
      <c r="M47" s="1739"/>
      <c r="N47" s="1739"/>
      <c r="O47" s="1749"/>
      <c r="P47" s="3632"/>
      <c r="Q47" s="1305">
        <f t="shared" si="13"/>
        <v>111</v>
      </c>
      <c r="R47" s="1309" t="s">
        <v>5</v>
      </c>
      <c r="S47" s="1310">
        <f t="shared" si="9"/>
        <v>100</v>
      </c>
      <c r="T47" s="1309" t="s">
        <v>5</v>
      </c>
      <c r="U47" s="1310">
        <f t="shared" si="10"/>
        <v>100</v>
      </c>
      <c r="V47" s="1309" t="s">
        <v>5</v>
      </c>
      <c r="W47" s="1310">
        <f t="shared" si="11"/>
        <v>100</v>
      </c>
      <c r="X47" s="1311"/>
      <c r="Y47" s="3632"/>
      <c r="Z47" s="1312">
        <f t="shared" si="12"/>
        <v>111</v>
      </c>
      <c r="AA47" s="1308">
        <f t="shared" si="3"/>
        <v>1</v>
      </c>
      <c r="AB47" s="1308">
        <f t="shared" si="4"/>
        <v>1</v>
      </c>
      <c r="AC47" s="1308">
        <f t="shared" si="5"/>
        <v>1</v>
      </c>
    </row>
    <row r="48" spans="1:29" ht="21">
      <c r="A48" s="556" t="s">
        <v>505</v>
      </c>
      <c r="B48" s="557" t="s">
        <v>3515</v>
      </c>
      <c r="C48" s="558" t="s">
        <v>0</v>
      </c>
      <c r="D48" s="559"/>
      <c r="E48" s="560">
        <f>土地案例!AW2</f>
        <v>5723</v>
      </c>
      <c r="F48" s="561"/>
      <c r="G48" s="562">
        <f>土地案例!AW3</f>
        <v>6059</v>
      </c>
      <c r="H48" s="563"/>
      <c r="I48" s="560">
        <f>土地案例!AW4</f>
        <v>5873</v>
      </c>
      <c r="J48" s="563"/>
      <c r="K48" s="1135"/>
      <c r="L48" s="1750"/>
      <c r="M48" s="1739"/>
      <c r="N48" s="1739"/>
      <c r="O48" s="1741"/>
      <c r="P48" s="3627" t="str">
        <f>A48</f>
        <v>成交单价</v>
      </c>
      <c r="Q48" s="3627"/>
      <c r="R48" s="3643">
        <f>E48</f>
        <v>5723</v>
      </c>
      <c r="S48" s="3643"/>
      <c r="T48" s="3643">
        <f>G48</f>
        <v>6059</v>
      </c>
      <c r="U48" s="3643"/>
      <c r="V48" s="3643">
        <f>I48</f>
        <v>5873</v>
      </c>
      <c r="W48" s="3643"/>
      <c r="X48" s="799"/>
      <c r="Y48" s="1313"/>
      <c r="Z48" s="799"/>
      <c r="AA48" s="799"/>
      <c r="AB48" s="799"/>
      <c r="AC48" s="799"/>
    </row>
    <row r="49" spans="1:29" ht="21.6" thickBot="1">
      <c r="A49" s="564" t="s">
        <v>1975</v>
      </c>
      <c r="B49" s="565"/>
      <c r="C49" s="566">
        <f>R50</f>
        <v>5755</v>
      </c>
      <c r="D49" s="2549" t="s">
        <v>2261</v>
      </c>
      <c r="E49" s="566">
        <f>R49</f>
        <v>5906</v>
      </c>
      <c r="F49" s="2550"/>
      <c r="G49" s="567">
        <f>T49</f>
        <v>5448</v>
      </c>
      <c r="H49" s="2550"/>
      <c r="I49" s="566">
        <f>V49</f>
        <v>5910</v>
      </c>
      <c r="J49" s="2550"/>
      <c r="K49" s="2551">
        <f>F49+H49+J49</f>
        <v>0</v>
      </c>
      <c r="L49" s="1750"/>
      <c r="M49" s="1739"/>
      <c r="N49" s="1739"/>
      <c r="O49" s="1741"/>
      <c r="P49" s="3627" t="str">
        <f>A49</f>
        <v>比较价格（元/平方米）</v>
      </c>
      <c r="Q49" s="3627"/>
      <c r="R49" s="3651">
        <f>ROUND(PRODUCT(R48,AA9:AA47),0)</f>
        <v>5906</v>
      </c>
      <c r="S49" s="3651"/>
      <c r="T49" s="3651">
        <f>ROUND(PRODUCT(T48,AB9:AB47),0)</f>
        <v>5448</v>
      </c>
      <c r="U49" s="3651"/>
      <c r="V49" s="3651">
        <f>ROUND(PRODUCT(V48,AC9:AC47),0)</f>
        <v>5910</v>
      </c>
      <c r="W49" s="3651"/>
      <c r="X49" s="799"/>
      <c r="Y49" s="799"/>
      <c r="Z49" s="799"/>
      <c r="AA49" s="799"/>
      <c r="AB49" s="799"/>
      <c r="AC49" s="799"/>
    </row>
    <row r="50" spans="1:29" ht="21.6" thickBot="1">
      <c r="A50" s="568" t="s">
        <v>2198</v>
      </c>
      <c r="B50" s="569"/>
      <c r="C50" s="570">
        <f>R50</f>
        <v>5755</v>
      </c>
      <c r="D50" s="570"/>
      <c r="E50" s="570"/>
      <c r="F50" s="570"/>
      <c r="G50" s="570"/>
      <c r="H50" s="570"/>
      <c r="I50" s="570"/>
      <c r="J50" s="570"/>
      <c r="K50" s="1136"/>
      <c r="L50" s="1750"/>
      <c r="M50" s="1739"/>
      <c r="N50" s="1739"/>
      <c r="O50" s="1741"/>
      <c r="P50" s="3633" t="str">
        <f>A50</f>
        <v>估价对象XX用房的比较价格（楼面单价，元/平方米）</v>
      </c>
      <c r="Q50" s="3634"/>
      <c r="R50" s="3650">
        <f>ROUND(IF(D49="简单平均",AVERAGE(R49:W49),R49*F49+T49*H49+V49*J49),0)</f>
        <v>5755</v>
      </c>
      <c r="S50" s="3650"/>
      <c r="T50" s="3650"/>
      <c r="U50" s="3650"/>
      <c r="V50" s="3650"/>
      <c r="W50" s="3650"/>
      <c r="X50" s="799"/>
      <c r="Y50" s="799"/>
      <c r="Z50" s="799"/>
      <c r="AA50" s="799"/>
      <c r="AB50" s="799"/>
      <c r="AC50" s="799"/>
    </row>
    <row r="51" spans="1:29" ht="21">
      <c r="A51" s="2720"/>
      <c r="B51" s="2720"/>
      <c r="C51" s="2720"/>
      <c r="D51" s="2720"/>
      <c r="E51" s="2720"/>
      <c r="F51" s="2720"/>
      <c r="G51" s="2722"/>
      <c r="H51" s="2720"/>
      <c r="I51" s="2720"/>
      <c r="J51" s="2720"/>
      <c r="K51" s="2723"/>
      <c r="L51" s="1754"/>
      <c r="M51" s="1739"/>
      <c r="N51" s="1739"/>
      <c r="O51" s="1741"/>
      <c r="P51" s="1741"/>
      <c r="Q51" s="1741"/>
      <c r="R51" s="1741"/>
      <c r="S51" s="1741"/>
      <c r="T51" s="1741"/>
      <c r="U51" s="1741"/>
      <c r="V51" s="1741"/>
      <c r="W51" s="1741"/>
      <c r="X51" s="1741"/>
      <c r="Y51" s="1741"/>
      <c r="Z51" s="1741"/>
      <c r="AA51" s="1741"/>
      <c r="AB51" s="1741"/>
      <c r="AC51" s="1741"/>
    </row>
    <row r="52" spans="1:29" ht="21">
      <c r="A52" s="2720"/>
      <c r="B52" s="2720"/>
      <c r="C52" s="2720"/>
      <c r="D52" s="2720"/>
      <c r="E52" s="2720"/>
      <c r="F52" s="2720"/>
      <c r="G52" s="2720"/>
      <c r="H52" s="2720"/>
      <c r="I52" s="2720"/>
      <c r="J52" s="2720"/>
      <c r="K52" s="2723"/>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506</v>
      </c>
      <c r="D53" s="572"/>
      <c r="E53" s="573">
        <f>IF(E48&lt;E49,E49/E48-1,E48/E49-1)</f>
        <v>3.1976236239734446E-2</v>
      </c>
      <c r="F53" s="574" t="str">
        <f>IF(OR(E53&gt;=0.3,E53&lt;=-0.3),"超过30%","")</f>
        <v/>
      </c>
      <c r="G53" s="573">
        <f>IF(G48&lt;G49,G49/G48-1,G48/G49-1)</f>
        <v>0.11215124816446398</v>
      </c>
      <c r="H53" s="574" t="str">
        <f>IF(OR(G53&gt;=0.3,G53&lt;=-0.3),"超过30%","")</f>
        <v/>
      </c>
      <c r="I53" s="573">
        <f>IF(I48&lt;I49,I49/I48-1,I48/I49-1)</f>
        <v>6.3000170270730571E-3</v>
      </c>
      <c r="J53" s="574" t="str">
        <f>IF(OR(I53&gt;=0.3,I53&lt;=-0.3),"超过30%","")</f>
        <v/>
      </c>
      <c r="K53" s="2723"/>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20"/>
      <c r="B54" s="2720"/>
      <c r="C54" s="571" t="s">
        <v>507</v>
      </c>
      <c r="D54" s="575"/>
      <c r="E54" s="573">
        <f>IF(E49&lt;G49,G49/E49-1,E49/G49-1)</f>
        <v>8.4067547723935432E-2</v>
      </c>
      <c r="F54" s="574" t="str">
        <f>IF(OR(E54&gt;=0.2,E54&lt;=-0.2),"超过20%","")</f>
        <v/>
      </c>
      <c r="G54" s="573">
        <f>IF(G49&lt;I49,I49/G49-1,G49/I49-1)</f>
        <v>8.4801762114537382E-2</v>
      </c>
      <c r="H54" s="574" t="str">
        <f>IF(OR(G54&gt;=0.2,G54&lt;=-0.2),"超过20%","")</f>
        <v/>
      </c>
      <c r="I54" s="573">
        <f>IF(I49&lt;E49,E49/I49-1,I49/E49-1)</f>
        <v>6.772773450727243E-4</v>
      </c>
      <c r="J54" s="574" t="str">
        <f>IF(OR(I54&gt;=0.2,I54&lt;=-0.2),"超过20%","")</f>
        <v/>
      </c>
      <c r="K54" s="2723"/>
      <c r="L54" s="1754"/>
      <c r="M54" s="1739"/>
      <c r="N54" s="1739"/>
      <c r="O54" s="1741"/>
      <c r="P54" s="1741"/>
      <c r="Q54" s="1741"/>
      <c r="R54" s="1741"/>
      <c r="S54" s="1741"/>
      <c r="T54" s="1741"/>
      <c r="U54" s="1741"/>
      <c r="V54" s="1741"/>
      <c r="W54" s="1741"/>
      <c r="X54" s="1741"/>
      <c r="Y54" s="1741"/>
      <c r="Z54" s="1741"/>
      <c r="AA54" s="1741"/>
      <c r="AB54" s="1741"/>
      <c r="AC54" s="1741"/>
    </row>
    <row r="55" spans="1:29" s="1139" customFormat="1" ht="13.5" customHeight="1">
      <c r="A55" s="2721"/>
      <c r="B55" s="2721"/>
      <c r="C55" s="571" t="s">
        <v>508</v>
      </c>
      <c r="D55" s="575"/>
      <c r="E55" s="573">
        <f>IF(E48&lt;G48,G48/E48-1,E48/G48-1)</f>
        <v>5.8710466538528738E-2</v>
      </c>
      <c r="F55" s="574" t="str">
        <f>IF(OR(E55&gt;=0.3,E55&lt;=-0.3),"超过30%","")</f>
        <v/>
      </c>
      <c r="G55" s="573">
        <f>IF(G48&lt;I48,I48/G48-1,G48/I48-1)</f>
        <v>3.1670355865826672E-2</v>
      </c>
      <c r="H55" s="574" t="str">
        <f>IF(OR(G55&gt;=0.3,G55&lt;=-0.3),"超过30%","")</f>
        <v/>
      </c>
      <c r="I55" s="573">
        <f>IF(I48&lt;E48,E48/I48-1,I48/E48-1)</f>
        <v>2.6210029704700322E-2</v>
      </c>
      <c r="J55" s="574" t="str">
        <f>IF(OR(I55&gt;=0.3,I55&lt;=-0.3),"超过30%","")</f>
        <v/>
      </c>
      <c r="K55" s="2724"/>
      <c r="L55" s="1757"/>
      <c r="M55" s="1739"/>
      <c r="N55" s="1739"/>
      <c r="O55" s="1751"/>
      <c r="P55" s="1751"/>
      <c r="Q55" s="1751"/>
      <c r="R55" s="1751"/>
      <c r="S55" s="1751"/>
      <c r="T55" s="1751"/>
      <c r="U55" s="1751"/>
      <c r="V55" s="1751"/>
      <c r="W55" s="1751"/>
      <c r="X55" s="1751"/>
      <c r="Y55" s="1751"/>
      <c r="Z55" s="1751"/>
      <c r="AA55" s="1751"/>
      <c r="AB55" s="1751"/>
      <c r="AC55" s="1751"/>
    </row>
    <row r="56" spans="1:29" s="1139" customFormat="1" ht="21.6" thickBot="1">
      <c r="A56" s="1751"/>
      <c r="B56" s="1752"/>
      <c r="C56" s="1755"/>
      <c r="D56" s="1751"/>
      <c r="E56" s="1751"/>
      <c r="F56" s="1751"/>
      <c r="G56" s="1751"/>
      <c r="H56" s="1751"/>
      <c r="I56" s="1751"/>
      <c r="J56" s="1751"/>
      <c r="K56" s="2724"/>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6" t="s">
        <v>509</v>
      </c>
      <c r="B57" s="577" t="s">
        <v>510</v>
      </c>
      <c r="C57" s="1299" t="s">
        <v>1253</v>
      </c>
      <c r="D57" s="1820" t="s">
        <v>1650</v>
      </c>
      <c r="E57" s="578" t="s">
        <v>511</v>
      </c>
      <c r="F57" s="579" t="s">
        <v>512</v>
      </c>
      <c r="G57" s="3612" t="s">
        <v>1639</v>
      </c>
      <c r="H57" s="3613"/>
      <c r="I57" s="1296" t="s">
        <v>1251</v>
      </c>
      <c r="J57" s="1296" t="str">
        <f>项目基本情况!F41</f>
        <v>江苏省淮安市淮安区</v>
      </c>
      <c r="K57" s="1758" t="s">
        <v>1252</v>
      </c>
      <c r="L57" s="1754"/>
      <c r="M57" s="1741"/>
      <c r="N57" s="1741"/>
      <c r="O57" s="1741"/>
      <c r="P57" s="1741"/>
      <c r="Q57" s="1741"/>
      <c r="R57" s="1741"/>
      <c r="S57" s="1741"/>
      <c r="T57" s="1741"/>
      <c r="U57" s="1741"/>
      <c r="V57" s="1741"/>
      <c r="W57" s="1741"/>
      <c r="X57" s="1741"/>
      <c r="Y57" s="1741"/>
      <c r="Z57" s="1741"/>
      <c r="AA57" s="1741"/>
      <c r="AB57" s="1741"/>
      <c r="AC57" s="1741"/>
    </row>
    <row r="58" spans="1:29" s="1140" customFormat="1" ht="13.2">
      <c r="A58" s="580" t="s">
        <v>513</v>
      </c>
      <c r="B58" s="581">
        <f>C50</f>
        <v>5755</v>
      </c>
      <c r="C58" s="582">
        <v>1</v>
      </c>
      <c r="D58" s="1821">
        <v>1</v>
      </c>
      <c r="E58" s="582">
        <f>'数据-汇总表'!E8+'数据-汇总表'!E9</f>
        <v>28022</v>
      </c>
      <c r="F58" s="583">
        <f t="shared" ref="F58:F66" si="14">ROUND(B58*E58/10000,0)</f>
        <v>16127</v>
      </c>
      <c r="G58" s="3614"/>
      <c r="H58" s="3615"/>
      <c r="I58" s="1297">
        <v>1</v>
      </c>
      <c r="J58" s="1297">
        <v>1</v>
      </c>
      <c r="K58" s="2725"/>
      <c r="L58" s="1759"/>
      <c r="M58" s="1759"/>
      <c r="N58" s="1759"/>
      <c r="O58" s="1759"/>
      <c r="P58" s="1759"/>
      <c r="Q58" s="1759"/>
      <c r="R58" s="1759"/>
      <c r="S58" s="1759"/>
      <c r="T58" s="1759"/>
      <c r="U58" s="1759"/>
      <c r="V58" s="1759"/>
      <c r="W58" s="1759"/>
      <c r="X58" s="1759"/>
      <c r="Y58" s="1759"/>
      <c r="Z58" s="1759"/>
      <c r="AA58" s="1759"/>
      <c r="AB58" s="1759"/>
      <c r="AC58" s="1759"/>
    </row>
    <row r="59" spans="1:29" s="1140" customFormat="1" ht="13.2">
      <c r="A59" s="584" t="s">
        <v>514</v>
      </c>
      <c r="B59" s="585">
        <f>ROUND($C$50*C59*D59,0)</f>
        <v>0</v>
      </c>
      <c r="C59" s="348">
        <f t="shared" ref="C59:C66" si="15">IF($C$57="北京市系数",I59,J59)</f>
        <v>0</v>
      </c>
      <c r="D59" s="1822">
        <v>0.25</v>
      </c>
      <c r="E59" s="586">
        <v>0</v>
      </c>
      <c r="F59" s="583">
        <f t="shared" si="14"/>
        <v>0</v>
      </c>
      <c r="G59" s="3026" t="s">
        <v>1640</v>
      </c>
      <c r="H59" s="1606">
        <f>项目基本情况!B43</f>
        <v>0</v>
      </c>
      <c r="I59" s="1297">
        <f>SUMIF(修正!$A$59:$A$70,H59,修正!B59:B70)</f>
        <v>0</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40" customFormat="1" ht="13.2">
      <c r="A60" s="584" t="s">
        <v>515</v>
      </c>
      <c r="B60" s="585">
        <f t="shared" ref="B60:B66" si="16">ROUND($C$50*C60*D60,0)</f>
        <v>0</v>
      </c>
      <c r="C60" s="348">
        <f t="shared" si="15"/>
        <v>0</v>
      </c>
      <c r="D60" s="1822">
        <v>0.25</v>
      </c>
      <c r="E60" s="586">
        <v>0</v>
      </c>
      <c r="F60" s="583">
        <f t="shared" si="14"/>
        <v>0</v>
      </c>
      <c r="G60" s="3027"/>
      <c r="H60" s="1606">
        <f>项目基本情况!B43</f>
        <v>0</v>
      </c>
      <c r="I60" s="1297">
        <f>SUMIF(修正!$A$59:$A$70,H60,修正!C59:C70)</f>
        <v>0</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40" customFormat="1" ht="13.2">
      <c r="A61" s="584" t="s">
        <v>516</v>
      </c>
      <c r="B61" s="585">
        <f t="shared" si="16"/>
        <v>0</v>
      </c>
      <c r="C61" s="348">
        <f t="shared" si="15"/>
        <v>0</v>
      </c>
      <c r="D61" s="1822">
        <v>0.25</v>
      </c>
      <c r="E61" s="586">
        <v>0</v>
      </c>
      <c r="F61" s="583">
        <f t="shared" si="14"/>
        <v>0</v>
      </c>
      <c r="G61" s="3027"/>
      <c r="H61" s="1606">
        <f>项目基本情况!B43</f>
        <v>0</v>
      </c>
      <c r="I61" s="1297">
        <f>SUMIF(修正!$A$59:$A$70,H61,修正!D59:D70)</f>
        <v>0</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40" customFormat="1" ht="13.2">
      <c r="A62" s="1918" t="s">
        <v>1685</v>
      </c>
      <c r="B62" s="585">
        <f t="shared" si="16"/>
        <v>0</v>
      </c>
      <c r="C62" s="348">
        <f t="shared" si="15"/>
        <v>0</v>
      </c>
      <c r="D62" s="1822">
        <v>0.25</v>
      </c>
      <c r="E62" s="588">
        <f>'数据-汇总表'!E11</f>
        <v>0</v>
      </c>
      <c r="F62" s="583">
        <f t="shared" si="14"/>
        <v>0</v>
      </c>
      <c r="G62" s="1603" t="s">
        <v>1641</v>
      </c>
      <c r="H62" s="1606">
        <f>项目基本情况!C43</f>
        <v>0</v>
      </c>
      <c r="I62" s="1297">
        <f>SUMIF(修正!$A$59:$A$70,H62,修正!E59:E70)</f>
        <v>0</v>
      </c>
      <c r="J62" s="1298"/>
      <c r="K62" s="2725"/>
      <c r="L62" s="1759"/>
      <c r="M62" s="1759"/>
      <c r="N62" s="1759"/>
      <c r="O62" s="1759"/>
      <c r="P62" s="1759"/>
      <c r="Q62" s="1759"/>
      <c r="R62" s="1759"/>
      <c r="S62" s="1759"/>
      <c r="T62" s="1759"/>
      <c r="U62" s="1759"/>
      <c r="V62" s="1759"/>
      <c r="W62" s="1759"/>
      <c r="X62" s="1759"/>
      <c r="Y62" s="1759"/>
      <c r="Z62" s="1759"/>
      <c r="AA62" s="1759"/>
      <c r="AB62" s="1759"/>
      <c r="AC62" s="1759"/>
    </row>
    <row r="63" spans="1:29" s="1140" customFormat="1" ht="13.2">
      <c r="A63" s="584" t="s">
        <v>517</v>
      </c>
      <c r="B63" s="585">
        <f t="shared" si="16"/>
        <v>0</v>
      </c>
      <c r="C63" s="348">
        <f t="shared" si="15"/>
        <v>0</v>
      </c>
      <c r="D63" s="1822">
        <v>0.25</v>
      </c>
      <c r="E63" s="588">
        <f>'数据-汇总表'!E12</f>
        <v>0</v>
      </c>
      <c r="F63" s="583">
        <f t="shared" si="14"/>
        <v>0</v>
      </c>
      <c r="G63" s="1604" t="s">
        <v>1212</v>
      </c>
      <c r="H63" s="1602">
        <f>IF(G63="商业",项目基本情况!B43,IF(G63="办公",项目基本情况!C43,IF(G63="住宅",项目基本情况!D43,项目基本情况!E43)))</f>
        <v>0</v>
      </c>
      <c r="I63" s="1297">
        <f>SUMIF(修正!$A$59:$A$70,H63,修正!F59:F70)</f>
        <v>0</v>
      </c>
      <c r="J63" s="1298"/>
      <c r="K63" s="2725"/>
      <c r="L63" s="1759"/>
      <c r="M63" s="1759"/>
      <c r="N63" s="1759"/>
      <c r="O63" s="1759"/>
      <c r="P63" s="1759"/>
      <c r="Q63" s="1759"/>
      <c r="R63" s="1759"/>
      <c r="S63" s="1759"/>
      <c r="T63" s="1759"/>
      <c r="U63" s="1759"/>
      <c r="V63" s="1759"/>
      <c r="W63" s="1759"/>
      <c r="X63" s="1759"/>
      <c r="Y63" s="1759"/>
      <c r="Z63" s="1759"/>
      <c r="AA63" s="1759"/>
      <c r="AB63" s="1759"/>
      <c r="AC63" s="1759"/>
    </row>
    <row r="64" spans="1:29" s="1140" customFormat="1" ht="13.2">
      <c r="A64" s="584" t="s">
        <v>518</v>
      </c>
      <c r="B64" s="585">
        <f t="shared" si="16"/>
        <v>0</v>
      </c>
      <c r="C64" s="348">
        <f t="shared" si="15"/>
        <v>0</v>
      </c>
      <c r="D64" s="1822">
        <v>0.25</v>
      </c>
      <c r="E64" s="588">
        <f>'数据-汇总表'!E13</f>
        <v>0</v>
      </c>
      <c r="F64" s="583">
        <f t="shared" si="14"/>
        <v>0</v>
      </c>
      <c r="G64" s="1604" t="s">
        <v>851</v>
      </c>
      <c r="H64" s="1602">
        <f>IF(G64="商业",项目基本情况!B43,IF(G64="办公",项目基本情况!C43,IF(G64="住宅",项目基本情况!D43,项目基本情况!E43)))</f>
        <v>0</v>
      </c>
      <c r="I64" s="1297">
        <f>SUMIF(修正!$A$59:$A$70,H64,修正!G59:G70)</f>
        <v>0</v>
      </c>
      <c r="J64" s="1298"/>
      <c r="K64" s="2725"/>
      <c r="L64" s="1759"/>
      <c r="M64" s="1759"/>
      <c r="N64" s="1759"/>
      <c r="O64" s="1759"/>
      <c r="P64" s="1759"/>
      <c r="Q64" s="1759"/>
      <c r="R64" s="1759"/>
      <c r="S64" s="1759"/>
      <c r="T64" s="1759"/>
      <c r="U64" s="1759"/>
      <c r="V64" s="1759"/>
      <c r="W64" s="1759"/>
      <c r="X64" s="1759"/>
      <c r="Y64" s="1759"/>
      <c r="Z64" s="1759"/>
      <c r="AA64" s="1759"/>
      <c r="AB64" s="1759"/>
      <c r="AC64" s="1759"/>
    </row>
    <row r="65" spans="1:29" s="1140" customFormat="1" ht="13.2">
      <c r="A65" s="584" t="s">
        <v>519</v>
      </c>
      <c r="B65" s="585">
        <f t="shared" si="16"/>
        <v>0</v>
      </c>
      <c r="C65" s="348">
        <f t="shared" si="15"/>
        <v>0</v>
      </c>
      <c r="D65" s="1822">
        <v>0.25</v>
      </c>
      <c r="E65" s="588">
        <f>'数据-汇总表'!E14</f>
        <v>0</v>
      </c>
      <c r="F65" s="583">
        <f t="shared" si="14"/>
        <v>0</v>
      </c>
      <c r="G65" s="1603" t="s">
        <v>1640</v>
      </c>
      <c r="H65" s="1606">
        <f>项目基本情况!B43</f>
        <v>0</v>
      </c>
      <c r="I65" s="1297">
        <f>SUMIF(修正!$A$59:$A$70,H65,修正!G59:G70)</f>
        <v>0</v>
      </c>
      <c r="J65" s="1298"/>
      <c r="K65" s="2725"/>
      <c r="L65" s="1759"/>
      <c r="M65" s="1759"/>
      <c r="N65" s="1759"/>
      <c r="O65" s="1759"/>
      <c r="P65" s="1759"/>
      <c r="Q65" s="1759"/>
      <c r="R65" s="1759"/>
      <c r="S65" s="1759"/>
      <c r="T65" s="1759"/>
      <c r="U65" s="1759"/>
      <c r="V65" s="1759"/>
      <c r="W65" s="1759"/>
      <c r="X65" s="1759"/>
      <c r="Y65" s="1759"/>
      <c r="Z65" s="1759"/>
      <c r="AA65" s="1759"/>
      <c r="AB65" s="1759"/>
      <c r="AC65" s="1759"/>
    </row>
    <row r="66" spans="1:29" s="1140" customFormat="1" thickBot="1">
      <c r="A66" s="584" t="s">
        <v>520</v>
      </c>
      <c r="B66" s="585">
        <f t="shared" si="16"/>
        <v>0</v>
      </c>
      <c r="C66" s="348">
        <f t="shared" si="15"/>
        <v>0</v>
      </c>
      <c r="D66" s="1822">
        <v>0.25</v>
      </c>
      <c r="E66" s="588">
        <f>'数据-汇总表'!E15</f>
        <v>0</v>
      </c>
      <c r="F66" s="583">
        <f t="shared" si="14"/>
        <v>0</v>
      </c>
      <c r="G66" s="1605" t="s">
        <v>1641</v>
      </c>
      <c r="H66" s="1607">
        <f>项目基本情况!C43</f>
        <v>0</v>
      </c>
      <c r="I66" s="1297">
        <f>SUMIF(修正!$A$59:$A$70,H66,修正!G59:G70)</f>
        <v>0</v>
      </c>
      <c r="J66" s="1298"/>
      <c r="K66" s="2725"/>
      <c r="L66" s="1759"/>
      <c r="M66" s="1759"/>
      <c r="N66" s="1759"/>
      <c r="O66" s="1759"/>
      <c r="P66" s="1759"/>
      <c r="Q66" s="1759"/>
      <c r="R66" s="1759"/>
      <c r="S66" s="1759"/>
      <c r="T66" s="1759"/>
      <c r="U66" s="1759"/>
      <c r="V66" s="1759"/>
      <c r="W66" s="1759"/>
      <c r="X66" s="1759"/>
      <c r="Y66" s="1759"/>
      <c r="Z66" s="1759"/>
      <c r="AA66" s="1759"/>
      <c r="AB66" s="1759"/>
      <c r="AC66" s="1759"/>
    </row>
    <row r="67" spans="1:29" s="1140" customFormat="1" thickBot="1">
      <c r="A67" s="589" t="s">
        <v>521</v>
      </c>
      <c r="B67" s="590" t="s">
        <v>11</v>
      </c>
      <c r="C67" s="590" t="s">
        <v>12</v>
      </c>
      <c r="D67" s="590" t="s">
        <v>1651</v>
      </c>
      <c r="E67" s="590">
        <f>IF(B48="楼面地价",SUM(E58:E66),'数据-汇总表'!D3)</f>
        <v>28022</v>
      </c>
      <c r="F67" s="591">
        <f>IF(B48="楼面地价",SUM(F58:F66),ROUND(C50*E67/10000,0))</f>
        <v>16127</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10" t="str">
        <f>YEAR(C9)&amp;"-"&amp;MONTH(C9)&amp;"-1"</f>
        <v>2025-7-1</v>
      </c>
      <c r="D69" s="2110">
        <f>EDATE(C69,-3)</f>
        <v>45748</v>
      </c>
      <c r="E69" s="2110">
        <f t="shared" ref="E69:N69" si="17">EDATE(D69,-3)</f>
        <v>45658</v>
      </c>
      <c r="F69" s="2110">
        <f t="shared" si="17"/>
        <v>45566</v>
      </c>
      <c r="G69" s="2110">
        <f t="shared" si="17"/>
        <v>45474</v>
      </c>
      <c r="H69" s="2110">
        <f t="shared" si="17"/>
        <v>45383</v>
      </c>
      <c r="I69" s="2110">
        <f t="shared" si="17"/>
        <v>45292</v>
      </c>
      <c r="J69" s="2110">
        <f t="shared" si="17"/>
        <v>45200</v>
      </c>
      <c r="K69" s="2110">
        <f t="shared" si="17"/>
        <v>45108</v>
      </c>
      <c r="L69" s="2110">
        <f t="shared" si="17"/>
        <v>45017</v>
      </c>
      <c r="M69" s="2110">
        <f t="shared" si="17"/>
        <v>44927</v>
      </c>
      <c r="N69" s="2110">
        <f t="shared" si="17"/>
        <v>44835</v>
      </c>
      <c r="O69" s="1741"/>
      <c r="P69" s="1741"/>
      <c r="Q69" s="1741"/>
      <c r="R69" s="1741"/>
      <c r="S69" s="1741"/>
      <c r="T69" s="1741"/>
      <c r="U69" s="1741"/>
      <c r="V69" s="1741"/>
      <c r="W69" s="1741"/>
      <c r="X69" s="1741"/>
      <c r="Y69" s="1741"/>
      <c r="Z69" s="1741"/>
      <c r="AA69" s="1741"/>
      <c r="AB69" s="1741"/>
      <c r="AC69" s="1741"/>
    </row>
    <row r="70" spans="1:29" ht="22.2" thickBot="1">
      <c r="A70" s="1316" t="s">
        <v>522</v>
      </c>
      <c r="B70" s="799"/>
      <c r="C70" s="1315"/>
      <c r="D70" s="1315"/>
      <c r="E70" s="1315"/>
      <c r="F70" s="1317"/>
      <c r="G70" s="1317"/>
      <c r="H70" s="1315"/>
      <c r="I70" s="1315"/>
      <c r="J70" s="1315"/>
      <c r="K70" s="1318"/>
      <c r="L70" s="1314"/>
      <c r="M70" s="1315"/>
      <c r="N70" s="1315"/>
      <c r="O70" s="1761"/>
      <c r="P70" s="1761"/>
      <c r="Q70" s="1762"/>
      <c r="R70" s="1741"/>
      <c r="S70" s="1741"/>
      <c r="T70" s="1741"/>
      <c r="U70" s="1741"/>
      <c r="V70" s="1741"/>
      <c r="W70" s="1741"/>
      <c r="X70" s="1741"/>
      <c r="Y70" s="1741"/>
      <c r="Z70" s="1741"/>
      <c r="AA70" s="1741"/>
      <c r="AB70" s="1741"/>
      <c r="AC70" s="1741"/>
    </row>
    <row r="71" spans="1:29" s="1141" customFormat="1" ht="14.4">
      <c r="A71" s="2041" t="s">
        <v>1815</v>
      </c>
      <c r="B71" s="2042"/>
      <c r="C71" s="155" t="str">
        <f>YEAR(C69)&amp;"-"&amp;ROUNDUP(MONTH(C69)/3,0)</f>
        <v>2025-3</v>
      </c>
      <c r="D71" s="155" t="str">
        <f>YEAR(D69)&amp;"-"&amp;ROUNDUP(MONTH(D69)/3,0)</f>
        <v>2025-2</v>
      </c>
      <c r="E71" s="155" t="str">
        <f t="shared" ref="E71:N71" si="18">YEAR(E69)&amp;"-"&amp;ROUNDUP(MONTH(E69)/3,0)</f>
        <v>2025-1</v>
      </c>
      <c r="F71" s="155" t="str">
        <f t="shared" si="18"/>
        <v>2024-4</v>
      </c>
      <c r="G71" s="155" t="str">
        <f t="shared" si="18"/>
        <v>2024-3</v>
      </c>
      <c r="H71" s="155" t="str">
        <f t="shared" si="18"/>
        <v>2024-2</v>
      </c>
      <c r="I71" s="155" t="str">
        <f t="shared" si="18"/>
        <v>2024-1</v>
      </c>
      <c r="J71" s="155" t="str">
        <f t="shared" si="18"/>
        <v>2023-4</v>
      </c>
      <c r="K71" s="155" t="str">
        <f t="shared" si="18"/>
        <v>2023-3</v>
      </c>
      <c r="L71" s="155" t="str">
        <f t="shared" si="18"/>
        <v>2023-2</v>
      </c>
      <c r="M71" s="155" t="str">
        <f t="shared" si="18"/>
        <v>2023-1</v>
      </c>
      <c r="N71" s="155" t="str">
        <f t="shared" si="18"/>
        <v>2022-4</v>
      </c>
      <c r="O71" s="1763"/>
      <c r="P71" s="1764"/>
      <c r="Q71" s="1764"/>
      <c r="R71" s="1764"/>
      <c r="S71" s="1764"/>
      <c r="T71" s="1764"/>
      <c r="U71" s="1764"/>
      <c r="V71" s="1764"/>
      <c r="W71" s="1764"/>
      <c r="X71" s="1764"/>
      <c r="Y71" s="1764"/>
      <c r="Z71" s="1764"/>
      <c r="AA71" s="1764"/>
      <c r="AB71" s="1764"/>
      <c r="AC71" s="1764"/>
    </row>
    <row r="72" spans="1:29" s="1060" customFormat="1" ht="27" customHeight="1">
      <c r="A72" s="2116" t="s">
        <v>1929</v>
      </c>
      <c r="B72" s="448" t="str">
        <f>"北京市平均增长率"&amp;TEXT(SUMIF(基准地价!N25:N29,A72,基准地价!P25:P29),"0.00%")</f>
        <v>北京市平均增长率0.00%</v>
      </c>
      <c r="C72" s="818">
        <v>100</v>
      </c>
      <c r="D72" s="79">
        <v>100</v>
      </c>
      <c r="E72" s="79">
        <v>100</v>
      </c>
      <c r="F72" s="79">
        <v>100</v>
      </c>
      <c r="G72" s="79">
        <v>100</v>
      </c>
      <c r="H72" s="79">
        <v>100</v>
      </c>
      <c r="I72" s="79">
        <v>100</v>
      </c>
      <c r="J72" s="79">
        <v>100</v>
      </c>
      <c r="K72" s="79">
        <v>100</v>
      </c>
      <c r="L72" s="79"/>
      <c r="M72" s="91"/>
      <c r="N72" s="534"/>
      <c r="O72" s="1765"/>
      <c r="P72" s="1762"/>
      <c r="Q72" s="1639"/>
      <c r="R72" s="1639"/>
      <c r="S72" s="1639"/>
      <c r="T72" s="1639"/>
      <c r="U72" s="1639"/>
      <c r="V72" s="1639"/>
      <c r="W72" s="1639"/>
      <c r="X72" s="1639"/>
      <c r="Y72" s="1639"/>
      <c r="Z72" s="1639"/>
      <c r="AA72" s="1639"/>
      <c r="AB72" s="1639"/>
      <c r="AC72" s="1639"/>
    </row>
    <row r="73" spans="1:29" s="1060" customFormat="1" ht="15" customHeight="1" thickBot="1">
      <c r="A73" s="2108" t="s">
        <v>1928</v>
      </c>
      <c r="B73" s="2115"/>
      <c r="C73" s="2106"/>
      <c r="D73" s="2107"/>
      <c r="E73" s="2107"/>
      <c r="F73" s="2107"/>
      <c r="G73" s="2107"/>
      <c r="H73" s="2107"/>
      <c r="I73" s="2107"/>
      <c r="J73" s="2107"/>
      <c r="K73" s="2107"/>
      <c r="L73" s="2107"/>
      <c r="M73" s="2107"/>
      <c r="N73" s="2107"/>
      <c r="O73" s="1765"/>
      <c r="P73" s="1762"/>
      <c r="Q73" s="1762"/>
      <c r="R73" s="1639"/>
      <c r="S73" s="1639"/>
      <c r="T73" s="1639"/>
      <c r="U73" s="1639"/>
      <c r="V73" s="1639"/>
      <c r="W73" s="1639"/>
      <c r="X73" s="1639"/>
      <c r="Y73" s="1639"/>
      <c r="Z73" s="1639"/>
      <c r="AA73" s="1639"/>
      <c r="AB73" s="1639"/>
      <c r="AC73" s="1639"/>
    </row>
    <row r="74" spans="1:29" s="1060" customFormat="1" ht="14.4">
      <c r="A74" s="603" t="s">
        <v>480</v>
      </c>
      <c r="B74" s="594"/>
      <c r="C74" s="604" t="s">
        <v>524</v>
      </c>
      <c r="D74" s="80"/>
      <c r="E74" s="80"/>
      <c r="F74" s="80"/>
      <c r="G74" s="80"/>
      <c r="H74" s="80"/>
      <c r="I74" s="80"/>
      <c r="J74" s="80"/>
      <c r="K74" s="80"/>
      <c r="L74" s="605"/>
      <c r="M74" s="606"/>
      <c r="N74" s="1765"/>
      <c r="O74" s="1765"/>
      <c r="P74" s="1646"/>
      <c r="Q74" s="1762"/>
      <c r="R74" s="1639"/>
      <c r="S74" s="1639"/>
      <c r="T74" s="1639"/>
      <c r="U74" s="1639"/>
      <c r="V74" s="1639"/>
      <c r="W74" s="1639"/>
      <c r="X74" s="1639"/>
      <c r="Y74" s="1639"/>
      <c r="Z74" s="1639"/>
      <c r="AA74" s="1639"/>
      <c r="AB74" s="1639"/>
      <c r="AC74" s="1639"/>
    </row>
    <row r="75" spans="1:29" s="1060" customFormat="1" ht="14.4" thickBot="1">
      <c r="A75" s="603"/>
      <c r="B75" s="594"/>
      <c r="C75" s="595">
        <v>100</v>
      </c>
      <c r="D75" s="596"/>
      <c r="E75" s="596"/>
      <c r="F75" s="596"/>
      <c r="G75" s="596"/>
      <c r="H75" s="596"/>
      <c r="I75" s="596"/>
      <c r="J75" s="596"/>
      <c r="K75" s="596"/>
      <c r="L75" s="596"/>
      <c r="M75" s="597"/>
      <c r="N75" s="1765"/>
      <c r="O75" s="1765"/>
      <c r="P75" s="1762"/>
      <c r="Q75" s="1762"/>
      <c r="R75" s="1639"/>
      <c r="S75" s="1639"/>
      <c r="T75" s="1639"/>
      <c r="U75" s="1639"/>
      <c r="V75" s="1639"/>
      <c r="W75" s="1639"/>
      <c r="X75" s="1639"/>
      <c r="Y75" s="1639"/>
      <c r="Z75" s="1639"/>
      <c r="AA75" s="1639"/>
      <c r="AB75" s="1639"/>
      <c r="AC75" s="1639"/>
    </row>
    <row r="76" spans="1:29" ht="14.4">
      <c r="A76" s="607" t="s">
        <v>525</v>
      </c>
      <c r="B76" s="608" t="s">
        <v>483</v>
      </c>
      <c r="C76" s="3417" t="s">
        <v>3489</v>
      </c>
      <c r="D76" s="3417" t="s">
        <v>1469</v>
      </c>
      <c r="E76" s="547"/>
      <c r="F76" s="547"/>
      <c r="G76" s="547"/>
      <c r="H76" s="547"/>
      <c r="I76" s="547"/>
      <c r="J76" s="547"/>
      <c r="K76" s="609"/>
      <c r="L76" s="610"/>
      <c r="M76" s="611"/>
      <c r="N76" s="1766"/>
      <c r="O76" s="1766"/>
      <c r="P76" s="1765"/>
      <c r="Q76" s="1762"/>
      <c r="R76" s="1741"/>
      <c r="S76" s="1741"/>
      <c r="T76" s="1741"/>
      <c r="U76" s="1741"/>
      <c r="V76" s="1741"/>
      <c r="W76" s="1741"/>
      <c r="X76" s="1741"/>
      <c r="Y76" s="1741"/>
      <c r="Z76" s="1741"/>
      <c r="AA76" s="1741"/>
      <c r="AB76" s="1741"/>
      <c r="AC76" s="1741"/>
    </row>
    <row r="77" spans="1:29" ht="14.4" thickBot="1">
      <c r="A77" s="482"/>
      <c r="B77" s="612"/>
      <c r="C77" s="613">
        <v>90</v>
      </c>
      <c r="D77" s="613">
        <v>100</v>
      </c>
      <c r="E77" s="613"/>
      <c r="F77" s="613"/>
      <c r="G77" s="613"/>
      <c r="H77" s="613"/>
      <c r="I77" s="613"/>
      <c r="J77" s="613"/>
      <c r="K77" s="613"/>
      <c r="L77" s="613"/>
      <c r="M77" s="614"/>
      <c r="N77" s="1767"/>
      <c r="O77" s="1767"/>
      <c r="P77" s="1765"/>
      <c r="Q77" s="1762"/>
      <c r="R77" s="1741"/>
      <c r="S77" s="1741"/>
      <c r="T77" s="1741"/>
      <c r="U77" s="1741"/>
      <c r="V77" s="1741"/>
      <c r="W77" s="1741"/>
      <c r="X77" s="1741"/>
      <c r="Y77" s="1741"/>
      <c r="Z77" s="1741"/>
      <c r="AA77" s="1741"/>
      <c r="AB77" s="1741"/>
      <c r="AC77" s="1741"/>
    </row>
    <row r="78" spans="1:29" ht="29.4" thickTop="1">
      <c r="A78" s="482"/>
      <c r="B78" s="615" t="s">
        <v>486</v>
      </c>
      <c r="C78" s="616"/>
      <c r="D78" s="616"/>
      <c r="E78" s="616"/>
      <c r="F78" s="616"/>
      <c r="G78" s="616"/>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4.4" thickBot="1">
      <c r="A79" s="482"/>
      <c r="B79" s="620"/>
      <c r="C79" s="621"/>
      <c r="D79" s="621"/>
      <c r="E79" s="621"/>
      <c r="F79" s="621"/>
      <c r="G79" s="621"/>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 thickTop="1">
      <c r="A80" s="482"/>
      <c r="B80" s="623" t="s">
        <v>487</v>
      </c>
      <c r="C80" s="624" t="str">
        <f>C81&amp;"（含）"&amp;"-"&amp;D81</f>
        <v>0（含）-1</v>
      </c>
      <c r="D80" s="624" t="str">
        <f t="shared" ref="D80:L80" si="19">D81&amp;"（含）"&amp;"-"&amp;E81</f>
        <v>1（含）-2</v>
      </c>
      <c r="E80" s="624" t="str">
        <f t="shared" si="19"/>
        <v>2（含）-3</v>
      </c>
      <c r="F80" s="624" t="str">
        <f t="shared" si="19"/>
        <v>3（含）-4</v>
      </c>
      <c r="G80" s="624" t="str">
        <f t="shared" si="19"/>
        <v>4（含）-5</v>
      </c>
      <c r="H80" s="624" t="str">
        <f t="shared" si="19"/>
        <v>5（含）-</v>
      </c>
      <c r="I80" s="624" t="str">
        <f t="shared" si="19"/>
        <v>（含）-</v>
      </c>
      <c r="J80" s="624" t="str">
        <f t="shared" si="19"/>
        <v>（含）-</v>
      </c>
      <c r="K80" s="624" t="str">
        <f t="shared" si="19"/>
        <v>（含）-</v>
      </c>
      <c r="L80" s="624" t="str">
        <f t="shared" si="19"/>
        <v>（含）-</v>
      </c>
      <c r="M80" s="505" t="str">
        <f>M81&amp;"（含）"&amp;"-"&amp;P81</f>
        <v>（含）-</v>
      </c>
      <c r="N80" s="1767"/>
      <c r="O80" s="1767"/>
      <c r="P80" s="1765"/>
      <c r="Q80" s="1762"/>
      <c r="R80" s="1741"/>
      <c r="S80" s="1741"/>
      <c r="T80" s="1741"/>
      <c r="U80" s="1741"/>
      <c r="V80" s="1741"/>
      <c r="W80" s="1741"/>
      <c r="X80" s="1741"/>
      <c r="Y80" s="1741"/>
      <c r="Z80" s="1741"/>
      <c r="AA80" s="1741"/>
      <c r="AB80" s="1741"/>
      <c r="AC80" s="1741"/>
    </row>
    <row r="81" spans="1:29">
      <c r="A81" s="482"/>
      <c r="B81" s="625"/>
      <c r="C81" s="491">
        <v>0</v>
      </c>
      <c r="D81" s="491">
        <v>1</v>
      </c>
      <c r="E81" s="491">
        <v>2</v>
      </c>
      <c r="F81" s="491">
        <v>3</v>
      </c>
      <c r="G81" s="491">
        <v>4</v>
      </c>
      <c r="H81" s="491">
        <v>5</v>
      </c>
      <c r="I81" s="491"/>
      <c r="J81" s="491"/>
      <c r="K81" s="626"/>
      <c r="L81" s="627"/>
      <c r="M81" s="628"/>
      <c r="N81" s="1766"/>
      <c r="O81" s="1766"/>
      <c r="P81" s="1765"/>
      <c r="Q81" s="1762"/>
      <c r="R81" s="1741"/>
      <c r="S81" s="1741"/>
      <c r="T81" s="1741"/>
      <c r="U81" s="1741"/>
      <c r="V81" s="1741"/>
      <c r="W81" s="1741"/>
      <c r="X81" s="1741"/>
      <c r="Y81" s="1741"/>
      <c r="Z81" s="1741"/>
      <c r="AA81" s="1741"/>
      <c r="AB81" s="1741"/>
      <c r="AC81" s="1741"/>
    </row>
    <row r="82" spans="1:29" ht="14.4" thickBot="1">
      <c r="A82" s="482"/>
      <c r="B82" s="612"/>
      <c r="C82" s="621">
        <v>100</v>
      </c>
      <c r="D82" s="621">
        <f t="shared" ref="D82:M82" si="20">IF($B$48="单位面积地价",C82+$K13,C82-$K13)</f>
        <v>95</v>
      </c>
      <c r="E82" s="621">
        <f t="shared" si="20"/>
        <v>90</v>
      </c>
      <c r="F82" s="621">
        <f t="shared" si="20"/>
        <v>85</v>
      </c>
      <c r="G82" s="621">
        <f t="shared" si="20"/>
        <v>80</v>
      </c>
      <c r="H82" s="621">
        <f t="shared" si="20"/>
        <v>75</v>
      </c>
      <c r="I82" s="621">
        <f t="shared" si="20"/>
        <v>70</v>
      </c>
      <c r="J82" s="621">
        <f t="shared" si="20"/>
        <v>65</v>
      </c>
      <c r="K82" s="621">
        <f t="shared" si="20"/>
        <v>60</v>
      </c>
      <c r="L82" s="621">
        <f t="shared" si="20"/>
        <v>55</v>
      </c>
      <c r="M82" s="621">
        <f t="shared" si="20"/>
        <v>50</v>
      </c>
      <c r="N82" s="1767"/>
      <c r="O82" s="1767"/>
      <c r="P82" s="1765"/>
      <c r="Q82" s="1762"/>
      <c r="R82" s="1741"/>
      <c r="S82" s="1741"/>
      <c r="T82" s="1741"/>
      <c r="U82" s="1741"/>
      <c r="V82" s="1741"/>
      <c r="W82" s="1741"/>
      <c r="X82" s="1741"/>
      <c r="Y82" s="1741"/>
      <c r="Z82" s="1741"/>
      <c r="AA82" s="1741"/>
      <c r="AB82" s="1741"/>
      <c r="AC82" s="1741"/>
    </row>
    <row r="83" spans="1:29" s="1134" customFormat="1" ht="28.8" thickTop="1">
      <c r="A83" s="629"/>
      <c r="B83" s="615" t="str">
        <f>B14</f>
        <v>配建</v>
      </c>
      <c r="C83" s="630" t="s">
        <v>3490</v>
      </c>
      <c r="D83" s="630" t="s">
        <v>3491</v>
      </c>
      <c r="E83" s="630" t="s">
        <v>3492</v>
      </c>
      <c r="F83" s="630" t="s">
        <v>3493</v>
      </c>
      <c r="G83" s="630"/>
      <c r="H83" s="631"/>
      <c r="I83" s="631"/>
      <c r="J83" s="631"/>
      <c r="K83" s="631"/>
      <c r="L83" s="632"/>
      <c r="M83" s="633"/>
      <c r="N83" s="1768"/>
      <c r="O83" s="1768"/>
      <c r="P83" s="1768"/>
      <c r="Q83" s="1769"/>
      <c r="R83" s="1770"/>
      <c r="S83" s="1770"/>
      <c r="T83" s="1770"/>
      <c r="U83" s="1770"/>
      <c r="V83" s="1770"/>
      <c r="W83" s="1770"/>
      <c r="X83" s="1770"/>
      <c r="Y83" s="1770"/>
      <c r="Z83" s="1770"/>
      <c r="AA83" s="1770"/>
      <c r="AB83" s="1770"/>
      <c r="AC83" s="1770"/>
    </row>
    <row r="84" spans="1:29" s="1134" customFormat="1" ht="14.4" thickBot="1">
      <c r="A84" s="629"/>
      <c r="B84" s="620"/>
      <c r="C84" s="634">
        <v>100</v>
      </c>
      <c r="D84" s="634">
        <f>C84-3</f>
        <v>97</v>
      </c>
      <c r="E84" s="634">
        <f t="shared" ref="E84:F84" si="21">D84-3</f>
        <v>94</v>
      </c>
      <c r="F84" s="634">
        <f t="shared" si="21"/>
        <v>91</v>
      </c>
      <c r="G84" s="613"/>
      <c r="H84" s="613"/>
      <c r="I84" s="613"/>
      <c r="J84" s="613"/>
      <c r="K84" s="613"/>
      <c r="L84" s="613"/>
      <c r="M84" s="614"/>
      <c r="N84" s="1767"/>
      <c r="O84" s="1767"/>
      <c r="P84" s="1768"/>
      <c r="Q84" s="1769"/>
      <c r="R84" s="1770"/>
      <c r="S84" s="1770"/>
      <c r="T84" s="1770"/>
      <c r="U84" s="1770"/>
      <c r="V84" s="1770"/>
      <c r="W84" s="1770"/>
      <c r="X84" s="1770"/>
      <c r="Y84" s="1770"/>
      <c r="Z84" s="1770"/>
      <c r="AA84" s="1770"/>
      <c r="AB84" s="1770"/>
      <c r="AC84" s="1770"/>
    </row>
    <row r="85" spans="1:29" s="1134" customFormat="1" ht="14.4" thickTop="1">
      <c r="A85" s="629"/>
      <c r="B85" s="615">
        <f>B15</f>
        <v>111</v>
      </c>
      <c r="C85" s="630"/>
      <c r="D85" s="630"/>
      <c r="E85" s="630"/>
      <c r="F85" s="630"/>
      <c r="G85" s="630"/>
      <c r="H85" s="631"/>
      <c r="I85" s="631"/>
      <c r="J85" s="631"/>
      <c r="K85" s="631"/>
      <c r="L85" s="632"/>
      <c r="M85" s="633"/>
      <c r="N85" s="1768"/>
      <c r="O85" s="1768"/>
      <c r="P85" s="1770"/>
      <c r="Q85" s="1771"/>
      <c r="R85" s="1770"/>
      <c r="S85" s="1770"/>
      <c r="T85" s="1770"/>
      <c r="U85" s="1770"/>
      <c r="V85" s="1770"/>
      <c r="W85" s="1770"/>
      <c r="X85" s="1770"/>
      <c r="Y85" s="1770"/>
      <c r="Z85" s="1770"/>
      <c r="AA85" s="1770"/>
      <c r="AB85" s="1770"/>
      <c r="AC85" s="1770"/>
    </row>
    <row r="86" spans="1:29" s="1134" customFormat="1" ht="14.4" thickBot="1">
      <c r="A86" s="629"/>
      <c r="B86" s="620"/>
      <c r="C86" s="634"/>
      <c r="D86" s="634"/>
      <c r="E86" s="634"/>
      <c r="F86" s="634"/>
      <c r="G86" s="634"/>
      <c r="H86" s="635"/>
      <c r="I86" s="635"/>
      <c r="J86" s="635"/>
      <c r="K86" s="635"/>
      <c r="L86" s="635"/>
      <c r="M86" s="636"/>
      <c r="N86" s="1768"/>
      <c r="O86" s="1768"/>
      <c r="P86" s="1768"/>
      <c r="Q86" s="1769"/>
      <c r="R86" s="1770"/>
      <c r="S86" s="1770"/>
      <c r="T86" s="1770"/>
      <c r="U86" s="1770"/>
      <c r="V86" s="1770"/>
      <c r="W86" s="1770"/>
      <c r="X86" s="1770"/>
      <c r="Y86" s="1770"/>
      <c r="Z86" s="1770"/>
      <c r="AA86" s="1770"/>
      <c r="AB86" s="1770"/>
      <c r="AC86" s="1770"/>
    </row>
    <row r="87" spans="1:29" s="1134" customFormat="1" ht="14.4" thickTop="1">
      <c r="A87" s="629"/>
      <c r="B87" s="623">
        <f>B16</f>
        <v>111</v>
      </c>
      <c r="C87" s="80"/>
      <c r="D87" s="80"/>
      <c r="E87" s="80"/>
      <c r="F87" s="80"/>
      <c r="G87" s="80"/>
      <c r="H87" s="637"/>
      <c r="I87" s="637"/>
      <c r="J87" s="637"/>
      <c r="K87" s="637"/>
      <c r="L87" s="638"/>
      <c r="M87" s="639"/>
      <c r="N87" s="1768"/>
      <c r="O87" s="1768"/>
      <c r="P87" s="1772"/>
      <c r="Q87" s="1769"/>
      <c r="R87" s="1770"/>
      <c r="S87" s="1770"/>
      <c r="T87" s="1770"/>
      <c r="U87" s="1770"/>
      <c r="V87" s="1770"/>
      <c r="W87" s="1770"/>
      <c r="X87" s="1770"/>
      <c r="Y87" s="1770"/>
      <c r="Z87" s="1770"/>
      <c r="AA87" s="1770"/>
      <c r="AB87" s="1770"/>
      <c r="AC87" s="1770"/>
    </row>
    <row r="88" spans="1:29" s="1134" customFormat="1" ht="14.4" thickBot="1">
      <c r="A88" s="640"/>
      <c r="B88" s="641"/>
      <c r="C88" s="642"/>
      <c r="D88" s="642"/>
      <c r="E88" s="642"/>
      <c r="F88" s="642"/>
      <c r="G88" s="642"/>
      <c r="H88" s="643"/>
      <c r="I88" s="643"/>
      <c r="J88" s="643"/>
      <c r="K88" s="643"/>
      <c r="L88" s="643"/>
      <c r="M88" s="644"/>
      <c r="N88" s="1768"/>
      <c r="O88" s="1768"/>
      <c r="P88" s="1768"/>
      <c r="Q88" s="1769"/>
      <c r="R88" s="1770"/>
      <c r="S88" s="1770"/>
      <c r="T88" s="1770"/>
      <c r="U88" s="1770"/>
      <c r="V88" s="1770"/>
      <c r="W88" s="1770"/>
      <c r="X88" s="1770"/>
      <c r="Y88" s="1770"/>
      <c r="Z88" s="1770"/>
      <c r="AA88" s="1770"/>
      <c r="AB88" s="1770"/>
      <c r="AC88" s="1770"/>
    </row>
    <row r="89" spans="1:29" ht="14.4">
      <c r="A89" s="607" t="s">
        <v>488</v>
      </c>
      <c r="B89" s="608" t="s">
        <v>526</v>
      </c>
      <c r="C89" s="143" t="s">
        <v>527</v>
      </c>
      <c r="D89" s="143" t="s">
        <v>528</v>
      </c>
      <c r="E89" s="143" t="s">
        <v>529</v>
      </c>
      <c r="F89" s="143" t="s">
        <v>530</v>
      </c>
      <c r="G89" s="143" t="s">
        <v>531</v>
      </c>
      <c r="H89" s="645"/>
      <c r="I89" s="645"/>
      <c r="J89" s="645"/>
      <c r="K89" s="646"/>
      <c r="L89" s="647"/>
      <c r="M89" s="648"/>
      <c r="N89" s="1766"/>
      <c r="O89" s="1766"/>
      <c r="P89" s="1773"/>
      <c r="Q89" s="1762"/>
      <c r="R89" s="1741"/>
      <c r="S89" s="1741"/>
      <c r="T89" s="1741"/>
      <c r="U89" s="1741"/>
      <c r="V89" s="1741"/>
      <c r="W89" s="1741"/>
      <c r="X89" s="1741"/>
      <c r="Y89" s="1741"/>
      <c r="Z89" s="1741"/>
      <c r="AA89" s="1741"/>
      <c r="AB89" s="1741"/>
      <c r="AC89" s="1741"/>
    </row>
    <row r="90" spans="1:29" ht="14.4" thickBot="1">
      <c r="A90" s="482"/>
      <c r="B90" s="620"/>
      <c r="C90" s="621">
        <v>100</v>
      </c>
      <c r="D90" s="621">
        <f>C90-$K17</f>
        <v>97.5</v>
      </c>
      <c r="E90" s="621">
        <f>D90-$K17</f>
        <v>95</v>
      </c>
      <c r="F90" s="621">
        <f>E90-$K17</f>
        <v>92.5</v>
      </c>
      <c r="G90" s="621">
        <f>F90-$K17</f>
        <v>90</v>
      </c>
      <c r="H90" s="621"/>
      <c r="I90" s="621"/>
      <c r="J90" s="621"/>
      <c r="K90" s="621"/>
      <c r="L90" s="621"/>
      <c r="M90" s="622"/>
      <c r="N90" s="1767"/>
      <c r="O90" s="1767"/>
      <c r="P90" s="1765"/>
      <c r="Q90" s="1762"/>
      <c r="R90" s="1741"/>
      <c r="S90" s="1741"/>
      <c r="T90" s="1741"/>
      <c r="U90" s="1741"/>
      <c r="V90" s="1741"/>
      <c r="W90" s="1741"/>
      <c r="X90" s="1741"/>
      <c r="Y90" s="1741"/>
      <c r="Z90" s="1741"/>
      <c r="AA90" s="1741"/>
      <c r="AB90" s="1741"/>
      <c r="AC90" s="1741"/>
    </row>
    <row r="91" spans="1:29" ht="15" thickTop="1">
      <c r="A91" s="482"/>
      <c r="B91" s="615" t="s">
        <v>532</v>
      </c>
      <c r="C91" s="649" t="s">
        <v>527</v>
      </c>
      <c r="D91" s="649" t="s">
        <v>528</v>
      </c>
      <c r="E91" s="649" t="s">
        <v>529</v>
      </c>
      <c r="F91" s="649" t="s">
        <v>530</v>
      </c>
      <c r="G91" s="649" t="s">
        <v>531</v>
      </c>
      <c r="H91" s="616"/>
      <c r="I91" s="616"/>
      <c r="J91" s="616"/>
      <c r="K91" s="617"/>
      <c r="L91" s="618"/>
      <c r="M91" s="619"/>
      <c r="N91" s="1766"/>
      <c r="O91" s="1766"/>
      <c r="P91" s="1765"/>
      <c r="Q91" s="1762"/>
      <c r="R91" s="1741"/>
      <c r="S91" s="1741"/>
      <c r="T91" s="1741"/>
      <c r="U91" s="1741"/>
      <c r="V91" s="1741"/>
      <c r="W91" s="1741"/>
      <c r="X91" s="1741"/>
      <c r="Y91" s="1741"/>
      <c r="Z91" s="1741"/>
      <c r="AA91" s="1741"/>
      <c r="AB91" s="1741"/>
      <c r="AC91" s="1741"/>
    </row>
    <row r="92" spans="1:29" ht="14.4" thickBot="1">
      <c r="A92" s="482"/>
      <c r="B92" s="620"/>
      <c r="C92" s="621">
        <v>100</v>
      </c>
      <c r="D92" s="621">
        <f>C92-$K19</f>
        <v>100</v>
      </c>
      <c r="E92" s="621">
        <f>D92-$K19</f>
        <v>100</v>
      </c>
      <c r="F92" s="621">
        <f>E92-$K19</f>
        <v>100</v>
      </c>
      <c r="G92" s="621">
        <f>F92-$K19</f>
        <v>100</v>
      </c>
      <c r="H92" s="621"/>
      <c r="I92" s="621"/>
      <c r="J92" s="621"/>
      <c r="K92" s="621"/>
      <c r="L92" s="621"/>
      <c r="M92" s="622"/>
      <c r="N92" s="1767"/>
      <c r="O92" s="1767"/>
      <c r="P92" s="1765"/>
      <c r="Q92" s="1762"/>
      <c r="R92" s="1741"/>
      <c r="S92" s="1741"/>
      <c r="T92" s="1741"/>
      <c r="U92" s="1741"/>
      <c r="V92" s="1741"/>
      <c r="W92" s="1741"/>
      <c r="X92" s="1741"/>
      <c r="Y92" s="1741"/>
      <c r="Z92" s="1741"/>
      <c r="AA92" s="1741"/>
      <c r="AB92" s="1741"/>
      <c r="AC92" s="1741"/>
    </row>
    <row r="93" spans="1:29" ht="15" thickTop="1">
      <c r="A93" s="482"/>
      <c r="B93" s="615" t="s">
        <v>533</v>
      </c>
      <c r="C93" s="649" t="s">
        <v>527</v>
      </c>
      <c r="D93" s="649" t="s">
        <v>528</v>
      </c>
      <c r="E93" s="649" t="s">
        <v>529</v>
      </c>
      <c r="F93" s="649" t="s">
        <v>530</v>
      </c>
      <c r="G93" s="649" t="s">
        <v>531</v>
      </c>
      <c r="H93" s="616"/>
      <c r="I93" s="616"/>
      <c r="J93" s="616"/>
      <c r="K93" s="617"/>
      <c r="L93" s="618"/>
      <c r="M93" s="619"/>
      <c r="N93" s="1766"/>
      <c r="O93" s="1766"/>
      <c r="P93" s="1765"/>
      <c r="Q93" s="1762"/>
      <c r="R93" s="1741"/>
      <c r="S93" s="1741"/>
      <c r="T93" s="1741"/>
      <c r="U93" s="1741"/>
      <c r="V93" s="1741"/>
      <c r="W93" s="1741"/>
      <c r="X93" s="1741"/>
      <c r="Y93" s="1741"/>
      <c r="Z93" s="1741"/>
      <c r="AA93" s="1741"/>
      <c r="AB93" s="1741"/>
      <c r="AC93" s="1741"/>
    </row>
    <row r="94" spans="1:29" ht="14.4" thickBot="1">
      <c r="A94" s="482"/>
      <c r="B94" s="620"/>
      <c r="C94" s="621">
        <v>100</v>
      </c>
      <c r="D94" s="621">
        <f>C94-$K21</f>
        <v>100</v>
      </c>
      <c r="E94" s="621">
        <f>D94-$K21</f>
        <v>100</v>
      </c>
      <c r="F94" s="621">
        <f>E94-$K21</f>
        <v>100</v>
      </c>
      <c r="G94" s="621">
        <f>F94-$K21</f>
        <v>100</v>
      </c>
      <c r="H94" s="621"/>
      <c r="I94" s="621"/>
      <c r="J94" s="621"/>
      <c r="K94" s="621"/>
      <c r="L94" s="621"/>
      <c r="M94" s="622"/>
      <c r="N94" s="1767"/>
      <c r="O94" s="1767"/>
      <c r="P94" s="1765"/>
      <c r="Q94" s="1762"/>
      <c r="R94" s="1741"/>
      <c r="S94" s="1741"/>
      <c r="T94" s="1741"/>
      <c r="U94" s="1741"/>
      <c r="V94" s="1741"/>
      <c r="W94" s="1741"/>
      <c r="X94" s="1741"/>
      <c r="Y94" s="1741"/>
      <c r="Z94" s="1741"/>
      <c r="AA94" s="1741"/>
      <c r="AB94" s="1741"/>
      <c r="AC94" s="1741"/>
    </row>
    <row r="95" spans="1:29" ht="15" thickTop="1">
      <c r="A95" s="482"/>
      <c r="B95" s="615" t="s">
        <v>534</v>
      </c>
      <c r="C95" s="649" t="s">
        <v>527</v>
      </c>
      <c r="D95" s="649" t="s">
        <v>528</v>
      </c>
      <c r="E95" s="649" t="s">
        <v>529</v>
      </c>
      <c r="F95" s="649" t="s">
        <v>530</v>
      </c>
      <c r="G95" s="649" t="s">
        <v>531</v>
      </c>
      <c r="H95" s="616"/>
      <c r="I95" s="616"/>
      <c r="J95" s="616"/>
      <c r="K95" s="617"/>
      <c r="L95" s="618"/>
      <c r="M95" s="619"/>
      <c r="N95" s="1766"/>
      <c r="O95" s="1766"/>
      <c r="P95" s="1765"/>
      <c r="Q95" s="1762"/>
      <c r="R95" s="1741"/>
      <c r="S95" s="1741"/>
      <c r="T95" s="1741"/>
      <c r="U95" s="1741"/>
      <c r="V95" s="1741"/>
      <c r="W95" s="1741"/>
      <c r="X95" s="1741"/>
      <c r="Y95" s="1741"/>
      <c r="Z95" s="1741"/>
      <c r="AA95" s="1741"/>
      <c r="AB95" s="1741"/>
      <c r="AC95" s="1741"/>
    </row>
    <row r="96" spans="1:29" ht="14.4" thickBot="1">
      <c r="A96" s="482"/>
      <c r="B96" s="620"/>
      <c r="C96" s="621">
        <v>100</v>
      </c>
      <c r="D96" s="621">
        <f>C96-$K23</f>
        <v>98</v>
      </c>
      <c r="E96" s="621">
        <f>D96-$K23</f>
        <v>96</v>
      </c>
      <c r="F96" s="621">
        <f>E96-$K23</f>
        <v>94</v>
      </c>
      <c r="G96" s="621">
        <f>F96-$K23</f>
        <v>92</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s="1060" customFormat="1" ht="29.4" thickTop="1">
      <c r="A97" s="486"/>
      <c r="B97" s="615" t="s">
        <v>535</v>
      </c>
      <c r="C97" s="649" t="s">
        <v>527</v>
      </c>
      <c r="D97" s="649" t="s">
        <v>528</v>
      </c>
      <c r="E97" s="649" t="s">
        <v>529</v>
      </c>
      <c r="F97" s="649" t="s">
        <v>530</v>
      </c>
      <c r="G97" s="649" t="s">
        <v>531</v>
      </c>
      <c r="H97" s="649"/>
      <c r="I97" s="649"/>
      <c r="J97" s="649"/>
      <c r="K97" s="649"/>
      <c r="L97" s="650"/>
      <c r="M97" s="651"/>
      <c r="N97" s="1765"/>
      <c r="O97" s="1765"/>
      <c r="P97" s="1765"/>
      <c r="Q97" s="1762"/>
      <c r="R97" s="1639"/>
      <c r="S97" s="1639"/>
      <c r="T97" s="1639"/>
      <c r="U97" s="1639"/>
      <c r="V97" s="1639"/>
      <c r="W97" s="1639"/>
      <c r="X97" s="1639"/>
      <c r="Y97" s="1639"/>
      <c r="Z97" s="1639"/>
      <c r="AA97" s="1639"/>
      <c r="AB97" s="1639"/>
      <c r="AC97" s="1639"/>
    </row>
    <row r="98" spans="1:29" s="1060" customFormat="1" ht="14.4" thickBot="1">
      <c r="A98" s="486"/>
      <c r="B98" s="620"/>
      <c r="C98" s="652">
        <v>100</v>
      </c>
      <c r="D98" s="621">
        <f>C98-$K25</f>
        <v>98</v>
      </c>
      <c r="E98" s="621">
        <f>D98-$K25</f>
        <v>96</v>
      </c>
      <c r="F98" s="621">
        <f>E98-$K25</f>
        <v>94</v>
      </c>
      <c r="G98" s="621">
        <f>F98-$K25</f>
        <v>92</v>
      </c>
      <c r="H98" s="621"/>
      <c r="I98" s="621"/>
      <c r="J98" s="621"/>
      <c r="K98" s="621"/>
      <c r="L98" s="621"/>
      <c r="M98" s="622"/>
      <c r="N98" s="1767"/>
      <c r="O98" s="1767"/>
      <c r="P98" s="1765"/>
      <c r="Q98" s="1762"/>
      <c r="R98" s="1639"/>
      <c r="S98" s="1639"/>
      <c r="T98" s="1639"/>
      <c r="U98" s="1639"/>
      <c r="V98" s="1639"/>
      <c r="W98" s="1639"/>
      <c r="X98" s="1639"/>
      <c r="Y98" s="1639"/>
      <c r="Z98" s="1639"/>
      <c r="AA98" s="1639"/>
      <c r="AB98" s="1639"/>
      <c r="AC98" s="1639"/>
    </row>
    <row r="99" spans="1:29" s="1060" customFormat="1" ht="29.4" thickTop="1">
      <c r="A99" s="486"/>
      <c r="B99" s="615" t="s">
        <v>536</v>
      </c>
      <c r="C99" s="143" t="s">
        <v>527</v>
      </c>
      <c r="D99" s="143" t="s">
        <v>528</v>
      </c>
      <c r="E99" s="143" t="s">
        <v>529</v>
      </c>
      <c r="F99" s="143" t="s">
        <v>530</v>
      </c>
      <c r="G99" s="143" t="s">
        <v>531</v>
      </c>
      <c r="H99" s="649"/>
      <c r="I99" s="649"/>
      <c r="J99" s="649"/>
      <c r="K99" s="649"/>
      <c r="L99" s="649"/>
      <c r="M99" s="651"/>
      <c r="N99" s="1765"/>
      <c r="O99" s="1765"/>
      <c r="P99" s="1765"/>
      <c r="Q99" s="1762"/>
      <c r="R99" s="1639"/>
      <c r="S99" s="1639"/>
      <c r="T99" s="1639"/>
      <c r="U99" s="1639"/>
      <c r="V99" s="1639"/>
      <c r="W99" s="1639"/>
      <c r="X99" s="1639"/>
      <c r="Y99" s="1639"/>
      <c r="Z99" s="1639"/>
      <c r="AA99" s="1639"/>
      <c r="AB99" s="1639"/>
      <c r="AC99" s="1639"/>
    </row>
    <row r="100" spans="1:29" s="1060" customFormat="1" ht="14.4" thickBot="1">
      <c r="A100" s="486"/>
      <c r="B100" s="620"/>
      <c r="C100" s="621">
        <v>100</v>
      </c>
      <c r="D100" s="621">
        <f>C100-$K27</f>
        <v>98</v>
      </c>
      <c r="E100" s="621">
        <f>D100-$K27</f>
        <v>96</v>
      </c>
      <c r="F100" s="621">
        <f>E100-$K27</f>
        <v>94</v>
      </c>
      <c r="G100" s="621">
        <f>F100-$K27</f>
        <v>92</v>
      </c>
      <c r="H100" s="621"/>
      <c r="I100" s="621"/>
      <c r="J100" s="621"/>
      <c r="K100" s="621"/>
      <c r="L100" s="621"/>
      <c r="M100" s="622"/>
      <c r="N100" s="1767"/>
      <c r="O100" s="1767"/>
      <c r="P100" s="1765"/>
      <c r="Q100" s="1762"/>
      <c r="R100" s="1639"/>
      <c r="S100" s="1639"/>
      <c r="T100" s="1639"/>
      <c r="U100" s="1639"/>
      <c r="V100" s="1639"/>
      <c r="W100" s="1639"/>
      <c r="X100" s="1639"/>
      <c r="Y100" s="1639"/>
      <c r="Z100" s="1639"/>
      <c r="AA100" s="1639"/>
      <c r="AB100" s="1639"/>
      <c r="AC100" s="1639"/>
    </row>
    <row r="101" spans="1:29" s="1134" customFormat="1" ht="15" thickTop="1">
      <c r="A101" s="629"/>
      <c r="B101" s="1554" t="s">
        <v>1831</v>
      </c>
      <c r="C101" s="143" t="s">
        <v>527</v>
      </c>
      <c r="D101" s="143" t="s">
        <v>528</v>
      </c>
      <c r="E101" s="143" t="s">
        <v>529</v>
      </c>
      <c r="F101" s="143" t="s">
        <v>530</v>
      </c>
      <c r="G101" s="143" t="s">
        <v>531</v>
      </c>
      <c r="H101" s="653"/>
      <c r="I101" s="653"/>
      <c r="J101" s="653"/>
      <c r="K101" s="653"/>
      <c r="L101" s="654"/>
      <c r="M101" s="655"/>
      <c r="N101" s="1768"/>
      <c r="O101" s="1768"/>
      <c r="P101" s="1768"/>
      <c r="Q101" s="1769"/>
      <c r="R101" s="1770"/>
      <c r="S101" s="1770"/>
      <c r="T101" s="1770"/>
      <c r="U101" s="1770"/>
      <c r="V101" s="1770"/>
      <c r="W101" s="1770"/>
      <c r="X101" s="1770"/>
      <c r="Y101" s="1770"/>
      <c r="Z101" s="1770"/>
      <c r="AA101" s="1770"/>
      <c r="AB101" s="1770"/>
      <c r="AC101" s="1770"/>
    </row>
    <row r="102" spans="1:29" s="1134" customFormat="1" ht="14.4" thickBot="1">
      <c r="A102" s="629"/>
      <c r="B102" s="620"/>
      <c r="C102" s="621">
        <v>100</v>
      </c>
      <c r="D102" s="621">
        <f>C102-$K29</f>
        <v>97</v>
      </c>
      <c r="E102" s="621">
        <f>D102-$K29</f>
        <v>94</v>
      </c>
      <c r="F102" s="621">
        <f>E102-$K29</f>
        <v>91</v>
      </c>
      <c r="G102" s="621">
        <f>F102-$K29</f>
        <v>88</v>
      </c>
      <c r="H102" s="656"/>
      <c r="I102" s="656"/>
      <c r="J102" s="656"/>
      <c r="K102" s="656"/>
      <c r="L102" s="656"/>
      <c r="M102" s="657"/>
      <c r="N102" s="1768"/>
      <c r="O102" s="1768"/>
      <c r="P102" s="1768"/>
      <c r="Q102" s="1769"/>
      <c r="R102" s="1770"/>
      <c r="S102" s="1770"/>
      <c r="T102" s="1770"/>
      <c r="U102" s="1770"/>
      <c r="V102" s="1770"/>
      <c r="W102" s="1770"/>
      <c r="X102" s="1770"/>
      <c r="Y102" s="1770"/>
      <c r="Z102" s="1770"/>
      <c r="AA102" s="1770"/>
      <c r="AB102" s="1770"/>
      <c r="AC102" s="1770"/>
    </row>
    <row r="103" spans="1:29" s="1134" customFormat="1" ht="15" thickTop="1">
      <c r="A103" s="629"/>
      <c r="B103" s="2055" t="s">
        <v>1833</v>
      </c>
      <c r="C103" s="2056" t="s">
        <v>1834</v>
      </c>
      <c r="D103" s="2056" t="s">
        <v>1835</v>
      </c>
      <c r="E103" s="2056" t="s">
        <v>1836</v>
      </c>
      <c r="F103" s="2056" t="s">
        <v>1837</v>
      </c>
      <c r="G103" s="2056" t="s">
        <v>1838</v>
      </c>
      <c r="H103" s="653"/>
      <c r="I103" s="653"/>
      <c r="J103" s="653"/>
      <c r="K103" s="653"/>
      <c r="L103" s="653"/>
      <c r="M103" s="655"/>
      <c r="N103" s="1768"/>
      <c r="O103" s="1768"/>
      <c r="P103" s="1768"/>
      <c r="Q103" s="1769"/>
      <c r="R103" s="1770"/>
      <c r="S103" s="1770"/>
      <c r="T103" s="1770"/>
      <c r="U103" s="1770"/>
      <c r="V103" s="1770"/>
      <c r="W103" s="1770"/>
      <c r="X103" s="1770"/>
      <c r="Y103" s="1770"/>
      <c r="Z103" s="1770"/>
      <c r="AA103" s="1770"/>
      <c r="AB103" s="1770"/>
      <c r="AC103" s="1770"/>
    </row>
    <row r="104" spans="1:29" s="1134" customFormat="1" ht="14.4" thickBot="1">
      <c r="A104" s="629"/>
      <c r="B104" s="623"/>
      <c r="C104" s="621">
        <v>100</v>
      </c>
      <c r="D104" s="621">
        <f>C104-$K31</f>
        <v>100</v>
      </c>
      <c r="E104" s="621">
        <f>D104-$K31</f>
        <v>100</v>
      </c>
      <c r="F104" s="621">
        <f>E104-$K31</f>
        <v>100</v>
      </c>
      <c r="G104" s="621">
        <f>F104-$K31</f>
        <v>100</v>
      </c>
      <c r="H104" s="625"/>
      <c r="I104" s="625"/>
      <c r="J104" s="625"/>
      <c r="K104" s="625"/>
      <c r="L104" s="625"/>
      <c r="M104" s="2048"/>
      <c r="N104" s="1768"/>
      <c r="O104" s="1768"/>
      <c r="P104" s="1768"/>
      <c r="Q104" s="1769"/>
      <c r="R104" s="1770"/>
      <c r="S104" s="1770"/>
      <c r="T104" s="1770"/>
      <c r="U104" s="1770"/>
      <c r="V104" s="1770"/>
      <c r="W104" s="1770"/>
      <c r="X104" s="1770"/>
      <c r="Y104" s="1770"/>
      <c r="Z104" s="1770"/>
      <c r="AA104" s="1770"/>
      <c r="AB104" s="1770"/>
      <c r="AC104" s="1770"/>
    </row>
    <row r="105" spans="1:29" ht="15" thickTop="1">
      <c r="A105" s="482"/>
      <c r="B105" s="615" t="str">
        <f>B33</f>
        <v>临街状况</v>
      </c>
      <c r="C105" s="616" t="s">
        <v>537</v>
      </c>
      <c r="D105" s="616" t="s">
        <v>538</v>
      </c>
      <c r="E105" s="616" t="s">
        <v>539</v>
      </c>
      <c r="F105" s="616" t="s">
        <v>540</v>
      </c>
      <c r="G105" s="616"/>
      <c r="H105" s="616"/>
      <c r="I105" s="616"/>
      <c r="J105" s="616"/>
      <c r="K105" s="617"/>
      <c r="L105" s="618"/>
      <c r="M105" s="619"/>
      <c r="N105" s="1766"/>
      <c r="O105" s="1766"/>
      <c r="P105" s="1765"/>
      <c r="Q105" s="1762"/>
      <c r="R105" s="1741"/>
      <c r="S105" s="1741"/>
      <c r="T105" s="1741"/>
      <c r="U105" s="1741"/>
      <c r="V105" s="1741"/>
      <c r="W105" s="1741"/>
      <c r="X105" s="1741"/>
      <c r="Y105" s="1741"/>
      <c r="Z105" s="1741"/>
      <c r="AA105" s="1741"/>
      <c r="AB105" s="1741"/>
      <c r="AC105" s="1741"/>
    </row>
    <row r="106" spans="1:29" ht="14.4" thickBot="1">
      <c r="A106" s="482"/>
      <c r="B106" s="620"/>
      <c r="C106" s="621">
        <v>100</v>
      </c>
      <c r="D106" s="621">
        <f t="shared" ref="D106:M106" si="22">C106-$K33</f>
        <v>100</v>
      </c>
      <c r="E106" s="621">
        <f t="shared" si="22"/>
        <v>100</v>
      </c>
      <c r="F106" s="621">
        <f t="shared" si="22"/>
        <v>100</v>
      </c>
      <c r="G106" s="621">
        <f t="shared" si="22"/>
        <v>100</v>
      </c>
      <c r="H106" s="621">
        <f t="shared" si="22"/>
        <v>100</v>
      </c>
      <c r="I106" s="621">
        <f t="shared" si="22"/>
        <v>100</v>
      </c>
      <c r="J106" s="621">
        <f t="shared" si="22"/>
        <v>100</v>
      </c>
      <c r="K106" s="621">
        <f t="shared" si="22"/>
        <v>100</v>
      </c>
      <c r="L106" s="621">
        <f t="shared" si="22"/>
        <v>100</v>
      </c>
      <c r="M106" s="621">
        <f t="shared" si="22"/>
        <v>100</v>
      </c>
      <c r="N106" s="1767"/>
      <c r="O106" s="1767"/>
      <c r="P106" s="1765"/>
      <c r="Q106" s="1762"/>
      <c r="R106" s="1741"/>
      <c r="S106" s="1741"/>
      <c r="T106" s="1741"/>
      <c r="U106" s="1741"/>
      <c r="V106" s="1741"/>
      <c r="W106" s="1741"/>
      <c r="X106" s="1741"/>
      <c r="Y106" s="1741"/>
      <c r="Z106" s="1741"/>
      <c r="AA106" s="1741"/>
      <c r="AB106" s="1741"/>
      <c r="AC106" s="1741"/>
    </row>
    <row r="107" spans="1:29" ht="29.4" thickTop="1">
      <c r="A107" s="482"/>
      <c r="B107" s="615" t="s">
        <v>497</v>
      </c>
      <c r="C107" s="3418" t="s">
        <v>3494</v>
      </c>
      <c r="D107" s="3419" t="s">
        <v>3495</v>
      </c>
      <c r="E107" s="3419" t="s">
        <v>3496</v>
      </c>
      <c r="F107" s="3419" t="s">
        <v>3497</v>
      </c>
      <c r="G107" s="630"/>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4.4" thickBot="1">
      <c r="A108" s="482"/>
      <c r="B108" s="620"/>
      <c r="C108" s="621">
        <v>100</v>
      </c>
      <c r="D108" s="621">
        <f t="shared" ref="D108:M108" si="23">C108-$K34</f>
        <v>99.5</v>
      </c>
      <c r="E108" s="621">
        <f t="shared" si="23"/>
        <v>99</v>
      </c>
      <c r="F108" s="621">
        <f t="shared" si="23"/>
        <v>98.5</v>
      </c>
      <c r="G108" s="621">
        <f t="shared" si="23"/>
        <v>98</v>
      </c>
      <c r="H108" s="621">
        <f t="shared" si="23"/>
        <v>97.5</v>
      </c>
      <c r="I108" s="621">
        <f t="shared" si="23"/>
        <v>97</v>
      </c>
      <c r="J108" s="621">
        <f t="shared" si="23"/>
        <v>96.5</v>
      </c>
      <c r="K108" s="621">
        <f t="shared" si="23"/>
        <v>96</v>
      </c>
      <c r="L108" s="621">
        <f t="shared" si="23"/>
        <v>95.5</v>
      </c>
      <c r="M108" s="621">
        <f t="shared" si="23"/>
        <v>95</v>
      </c>
      <c r="N108" s="1767"/>
      <c r="O108" s="1767"/>
      <c r="P108" s="1765"/>
      <c r="Q108" s="1762"/>
      <c r="R108" s="1741"/>
      <c r="S108" s="1741"/>
      <c r="T108" s="1741"/>
      <c r="U108" s="1741"/>
      <c r="V108" s="1741"/>
      <c r="W108" s="1741"/>
      <c r="X108" s="1741"/>
      <c r="Y108" s="1741"/>
      <c r="Z108" s="1741"/>
      <c r="AA108" s="1741"/>
      <c r="AB108" s="1741"/>
      <c r="AC108" s="1741"/>
    </row>
    <row r="109" spans="1:29" ht="15" thickTop="1">
      <c r="A109" s="482"/>
      <c r="B109" s="615" t="s">
        <v>498</v>
      </c>
      <c r="C109" s="658"/>
      <c r="D109" s="658"/>
      <c r="E109" s="658"/>
      <c r="F109" s="658"/>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4.4" thickBot="1">
      <c r="A110" s="482"/>
      <c r="B110" s="620"/>
      <c r="C110" s="621">
        <v>100</v>
      </c>
      <c r="D110" s="621">
        <f t="shared" ref="D110:M110" si="24">C110-$K36</f>
        <v>100</v>
      </c>
      <c r="E110" s="621">
        <f t="shared" si="24"/>
        <v>100</v>
      </c>
      <c r="F110" s="621">
        <f t="shared" si="24"/>
        <v>100</v>
      </c>
      <c r="G110" s="621">
        <f t="shared" si="24"/>
        <v>100</v>
      </c>
      <c r="H110" s="621">
        <f t="shared" si="24"/>
        <v>100</v>
      </c>
      <c r="I110" s="621">
        <f t="shared" si="24"/>
        <v>100</v>
      </c>
      <c r="J110" s="621">
        <f t="shared" si="24"/>
        <v>100</v>
      </c>
      <c r="K110" s="621">
        <f t="shared" si="24"/>
        <v>100</v>
      </c>
      <c r="L110" s="621">
        <f t="shared" si="24"/>
        <v>100</v>
      </c>
      <c r="M110" s="621">
        <f t="shared" si="24"/>
        <v>100</v>
      </c>
      <c r="N110" s="1767"/>
      <c r="O110" s="1767"/>
      <c r="P110" s="1765"/>
      <c r="Q110" s="1762"/>
      <c r="R110" s="1741"/>
      <c r="S110" s="1741"/>
      <c r="T110" s="1741"/>
      <c r="U110" s="1741"/>
      <c r="V110" s="1741"/>
      <c r="W110" s="1741"/>
      <c r="X110" s="1741"/>
      <c r="Y110" s="1741"/>
      <c r="Z110" s="1741"/>
      <c r="AA110" s="1741"/>
      <c r="AB110" s="1741"/>
      <c r="AC110" s="1741"/>
    </row>
    <row r="111" spans="1:29" ht="14.4" thickTop="1">
      <c r="A111" s="482"/>
      <c r="B111" s="623">
        <f>B37</f>
        <v>111</v>
      </c>
      <c r="C111" s="630"/>
      <c r="D111" s="630"/>
      <c r="E111" s="630"/>
      <c r="F111" s="630"/>
      <c r="G111" s="662"/>
      <c r="H111" s="662"/>
      <c r="I111" s="662"/>
      <c r="J111" s="662"/>
      <c r="K111" s="663"/>
      <c r="L111" s="664"/>
      <c r="M111" s="665"/>
      <c r="N111" s="1766"/>
      <c r="O111" s="1766"/>
      <c r="P111" s="1765"/>
      <c r="Q111" s="1762"/>
      <c r="R111" s="1741"/>
      <c r="S111" s="1741"/>
      <c r="T111" s="1741"/>
      <c r="U111" s="1741"/>
      <c r="V111" s="1741"/>
      <c r="W111" s="1741"/>
      <c r="X111" s="1741"/>
      <c r="Y111" s="1741"/>
      <c r="Z111" s="1741"/>
      <c r="AA111" s="1741"/>
      <c r="AB111" s="1741"/>
      <c r="AC111" s="1741"/>
    </row>
    <row r="112" spans="1:29" ht="14.4" thickBot="1">
      <c r="A112" s="482"/>
      <c r="B112" s="641"/>
      <c r="C112" s="634"/>
      <c r="D112" s="634"/>
      <c r="E112" s="634"/>
      <c r="F112" s="634"/>
      <c r="G112" s="666"/>
      <c r="H112" s="666"/>
      <c r="I112" s="666"/>
      <c r="J112" s="666"/>
      <c r="K112" s="666"/>
      <c r="L112" s="666"/>
      <c r="M112" s="667"/>
      <c r="N112" s="1767"/>
      <c r="O112" s="1767"/>
      <c r="P112" s="1765"/>
      <c r="Q112" s="1762"/>
      <c r="R112" s="1741"/>
      <c r="S112" s="1741"/>
      <c r="T112" s="1741"/>
      <c r="U112" s="1741"/>
      <c r="V112" s="1741"/>
      <c r="W112" s="1741"/>
      <c r="X112" s="1741"/>
      <c r="Y112" s="1741"/>
      <c r="Z112" s="1741"/>
      <c r="AA112" s="1741"/>
      <c r="AB112" s="1741"/>
      <c r="AC112" s="1741"/>
    </row>
    <row r="113" spans="1:29" ht="14.4" thickTop="1">
      <c r="A113" s="536"/>
      <c r="B113" s="615">
        <f>B38</f>
        <v>111</v>
      </c>
      <c r="C113" s="80"/>
      <c r="D113" s="80"/>
      <c r="E113" s="80"/>
      <c r="F113" s="80"/>
      <c r="G113" s="658"/>
      <c r="H113" s="658"/>
      <c r="I113" s="658"/>
      <c r="J113" s="658"/>
      <c r="K113" s="659"/>
      <c r="L113" s="660"/>
      <c r="M113" s="661"/>
      <c r="N113" s="1766"/>
      <c r="O113" s="1766"/>
      <c r="P113" s="1765"/>
      <c r="Q113" s="1762"/>
      <c r="R113" s="1741"/>
      <c r="S113" s="1741"/>
      <c r="T113" s="1741"/>
      <c r="U113" s="1741"/>
      <c r="V113" s="1741"/>
      <c r="W113" s="1741"/>
      <c r="X113" s="1741"/>
      <c r="Y113" s="1741"/>
      <c r="Z113" s="1741"/>
      <c r="AA113" s="1741"/>
      <c r="AB113" s="1741"/>
      <c r="AC113" s="1741"/>
    </row>
    <row r="114" spans="1:29" ht="14.4" thickBot="1">
      <c r="A114" s="482"/>
      <c r="B114" s="620"/>
      <c r="C114" s="642"/>
      <c r="D114" s="642"/>
      <c r="E114" s="642"/>
      <c r="F114" s="642"/>
      <c r="G114" s="613"/>
      <c r="H114" s="613"/>
      <c r="I114" s="613"/>
      <c r="J114" s="613"/>
      <c r="K114" s="613"/>
      <c r="L114" s="613"/>
      <c r="M114" s="614"/>
      <c r="N114" s="1767"/>
      <c r="O114" s="1767"/>
      <c r="P114" s="1765"/>
      <c r="Q114" s="1762"/>
      <c r="R114" s="1741"/>
      <c r="S114" s="1741"/>
      <c r="T114" s="1741"/>
      <c r="U114" s="1741"/>
      <c r="V114" s="1741"/>
      <c r="W114" s="1741"/>
      <c r="X114" s="1741"/>
      <c r="Y114" s="1741"/>
      <c r="Z114" s="1741"/>
      <c r="AA114" s="1741"/>
      <c r="AB114" s="1741"/>
      <c r="AC114" s="1741"/>
    </row>
    <row r="115" spans="1:29" s="1134" customFormat="1" ht="14.4" thickTop="1">
      <c r="A115" s="552"/>
      <c r="B115" s="668">
        <f>B39</f>
        <v>111</v>
      </c>
      <c r="C115" s="79"/>
      <c r="D115" s="79"/>
      <c r="E115" s="79"/>
      <c r="F115" s="79"/>
      <c r="G115" s="79"/>
      <c r="H115" s="79"/>
      <c r="I115" s="79"/>
      <c r="J115" s="669"/>
      <c r="K115" s="669"/>
      <c r="L115" s="670"/>
      <c r="M115" s="671"/>
      <c r="N115" s="1768"/>
      <c r="O115" s="1768"/>
      <c r="P115" s="1768"/>
      <c r="Q115" s="1769"/>
      <c r="R115" s="1770"/>
      <c r="S115" s="1770"/>
      <c r="T115" s="1770"/>
      <c r="U115" s="1770"/>
      <c r="V115" s="1770"/>
      <c r="W115" s="1770"/>
      <c r="X115" s="1770"/>
      <c r="Y115" s="1770"/>
      <c r="Z115" s="1770"/>
      <c r="AA115" s="1770"/>
      <c r="AB115" s="1770"/>
      <c r="AC115" s="1770"/>
    </row>
    <row r="116" spans="1:29" s="1134" customFormat="1" ht="14.4" thickBot="1">
      <c r="A116" s="629"/>
      <c r="B116" s="623"/>
      <c r="C116" s="596"/>
      <c r="D116" s="541"/>
      <c r="E116" s="541"/>
      <c r="F116" s="541"/>
      <c r="G116" s="541"/>
      <c r="H116" s="541"/>
      <c r="I116" s="541"/>
      <c r="J116" s="541"/>
      <c r="K116" s="541"/>
      <c r="L116" s="541"/>
      <c r="M116" s="672"/>
      <c r="N116" s="1767"/>
      <c r="O116" s="1767"/>
      <c r="P116" s="1768"/>
      <c r="Q116" s="1769"/>
      <c r="R116" s="1770"/>
      <c r="S116" s="1770"/>
      <c r="T116" s="1770"/>
      <c r="U116" s="1770"/>
      <c r="V116" s="1770"/>
      <c r="W116" s="1770"/>
      <c r="X116" s="1770"/>
      <c r="Y116" s="1770"/>
      <c r="Z116" s="1770"/>
      <c r="AA116" s="1770"/>
      <c r="AB116" s="1770"/>
      <c r="AC116" s="1770"/>
    </row>
    <row r="117" spans="1:29" ht="27.6">
      <c r="A117" s="607" t="s">
        <v>500</v>
      </c>
      <c r="B117" s="608" t="s">
        <v>541</v>
      </c>
      <c r="C117" s="645" t="str">
        <f t="shared" ref="C117:L117" si="25">C118&amp;"(含)"&amp;"-"&amp;D118</f>
        <v>0(含)-50000</v>
      </c>
      <c r="D117" s="645" t="str">
        <f t="shared" si="25"/>
        <v>50000(含)-100000</v>
      </c>
      <c r="E117" s="645" t="str">
        <f t="shared" si="25"/>
        <v>100000(含)-150000</v>
      </c>
      <c r="F117" s="645" t="str">
        <f t="shared" si="25"/>
        <v>150000(含)-200000</v>
      </c>
      <c r="G117" s="645" t="str">
        <f t="shared" si="25"/>
        <v>200000(含)-250000</v>
      </c>
      <c r="H117" s="645" t="str">
        <f t="shared" si="25"/>
        <v>250000(含)-300000</v>
      </c>
      <c r="I117" s="645" t="str">
        <f t="shared" si="25"/>
        <v>300000(含)-</v>
      </c>
      <c r="J117" s="2347" t="str">
        <f t="shared" si="25"/>
        <v>(含)-</v>
      </c>
      <c r="K117" s="2347" t="str">
        <f t="shared" si="25"/>
        <v>(含)-</v>
      </c>
      <c r="L117" s="2348" t="str">
        <f t="shared" si="25"/>
        <v>(含)-</v>
      </c>
      <c r="M117" s="145"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c r="A118" s="482"/>
      <c r="B118" s="623"/>
      <c r="C118" s="79">
        <v>0</v>
      </c>
      <c r="D118" s="79">
        <v>50000</v>
      </c>
      <c r="E118" s="79">
        <v>100000</v>
      </c>
      <c r="F118" s="79">
        <v>150000</v>
      </c>
      <c r="G118" s="79">
        <v>200000</v>
      </c>
      <c r="H118" s="79">
        <v>250000</v>
      </c>
      <c r="I118" s="79">
        <v>300000</v>
      </c>
      <c r="J118" s="1929"/>
      <c r="K118" s="1929"/>
      <c r="L118" s="1930"/>
      <c r="M118" s="1931"/>
      <c r="N118" s="1766"/>
      <c r="O118" s="1766"/>
      <c r="P118" s="1765"/>
      <c r="Q118" s="1762"/>
      <c r="R118" s="1741"/>
      <c r="S118" s="1741"/>
      <c r="T118" s="1741"/>
      <c r="U118" s="1741"/>
      <c r="V118" s="1741"/>
      <c r="W118" s="1741"/>
      <c r="X118" s="1741"/>
      <c r="Y118" s="1741"/>
      <c r="Z118" s="1741"/>
      <c r="AA118" s="1741"/>
      <c r="AB118" s="1741"/>
      <c r="AC118" s="1741"/>
    </row>
    <row r="119" spans="1:29" ht="14.4" thickBot="1">
      <c r="A119" s="482"/>
      <c r="B119" s="620"/>
      <c r="C119" s="642">
        <v>100</v>
      </c>
      <c r="D119" s="666">
        <f>C119-1</f>
        <v>99</v>
      </c>
      <c r="E119" s="666">
        <f t="shared" ref="E119:I119" si="26">D119-1</f>
        <v>98</v>
      </c>
      <c r="F119" s="666">
        <f t="shared" si="26"/>
        <v>97</v>
      </c>
      <c r="G119" s="666">
        <f t="shared" si="26"/>
        <v>96</v>
      </c>
      <c r="H119" s="666">
        <f t="shared" si="26"/>
        <v>95</v>
      </c>
      <c r="I119" s="666">
        <f t="shared" si="26"/>
        <v>94</v>
      </c>
      <c r="J119" s="666"/>
      <c r="K119" s="666"/>
      <c r="L119" s="666"/>
      <c r="M119" s="667"/>
      <c r="N119" s="1767"/>
      <c r="O119" s="1767"/>
      <c r="P119" s="1765"/>
      <c r="Q119" s="1762"/>
      <c r="R119" s="1741"/>
      <c r="S119" s="1741"/>
      <c r="T119" s="1741"/>
      <c r="U119" s="1741"/>
      <c r="V119" s="1741"/>
      <c r="W119" s="1741"/>
      <c r="X119" s="1741"/>
      <c r="Y119" s="1741"/>
      <c r="Z119" s="1741"/>
      <c r="AA119" s="1741"/>
      <c r="AB119" s="1741"/>
      <c r="AC119" s="1741"/>
    </row>
    <row r="120" spans="1:29" ht="15" thickTop="1">
      <c r="A120" s="543"/>
      <c r="B120" s="615" t="s">
        <v>542</v>
      </c>
      <c r="C120" s="3419" t="s">
        <v>3498</v>
      </c>
      <c r="D120" s="3419" t="s">
        <v>3499</v>
      </c>
      <c r="E120" s="3419" t="s">
        <v>3500</v>
      </c>
      <c r="F120" s="3420" t="s">
        <v>3501</v>
      </c>
      <c r="G120" s="658"/>
      <c r="H120" s="658"/>
      <c r="I120" s="658"/>
      <c r="J120" s="658"/>
      <c r="K120" s="659"/>
      <c r="L120" s="660"/>
      <c r="M120" s="661"/>
      <c r="N120" s="1766"/>
      <c r="O120" s="1766"/>
      <c r="P120" s="1765"/>
      <c r="Q120" s="1762"/>
      <c r="R120" s="1741"/>
      <c r="S120" s="1741"/>
      <c r="T120" s="1741"/>
      <c r="U120" s="1741"/>
      <c r="V120" s="1741"/>
      <c r="W120" s="1741"/>
      <c r="X120" s="1741"/>
      <c r="Y120" s="1741"/>
      <c r="Z120" s="1741"/>
      <c r="AA120" s="1741"/>
      <c r="AB120" s="1741"/>
      <c r="AC120" s="1741"/>
    </row>
    <row r="121" spans="1:29" ht="14.4" thickBot="1">
      <c r="A121" s="482"/>
      <c r="B121" s="620"/>
      <c r="C121" s="621">
        <v>100</v>
      </c>
      <c r="D121" s="621">
        <f t="shared" ref="D121:M121" si="27">C121-$K41</f>
        <v>100</v>
      </c>
      <c r="E121" s="621">
        <f t="shared" si="27"/>
        <v>100</v>
      </c>
      <c r="F121" s="621">
        <f t="shared" si="27"/>
        <v>100</v>
      </c>
      <c r="G121" s="621">
        <f t="shared" si="27"/>
        <v>100</v>
      </c>
      <c r="H121" s="621">
        <f t="shared" si="27"/>
        <v>100</v>
      </c>
      <c r="I121" s="621">
        <f t="shared" si="27"/>
        <v>100</v>
      </c>
      <c r="J121" s="621">
        <f t="shared" si="27"/>
        <v>100</v>
      </c>
      <c r="K121" s="621">
        <f t="shared" si="27"/>
        <v>100</v>
      </c>
      <c r="L121" s="621">
        <f t="shared" si="27"/>
        <v>100</v>
      </c>
      <c r="M121" s="622">
        <f t="shared" si="27"/>
        <v>100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3"/>
      <c r="B122" s="615" t="s">
        <v>543</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4.4" thickBot="1">
      <c r="A123" s="482"/>
      <c r="B123" s="620"/>
      <c r="C123" s="621">
        <v>100</v>
      </c>
      <c r="D123" s="621">
        <f t="shared" ref="D123:M123" si="28">C123-$K42</f>
        <v>100</v>
      </c>
      <c r="E123" s="621">
        <f t="shared" si="28"/>
        <v>100</v>
      </c>
      <c r="F123" s="621">
        <f t="shared" si="28"/>
        <v>100</v>
      </c>
      <c r="G123" s="621">
        <f t="shared" si="28"/>
        <v>100</v>
      </c>
      <c r="H123" s="621">
        <f t="shared" si="28"/>
        <v>100</v>
      </c>
      <c r="I123" s="621">
        <f t="shared" si="28"/>
        <v>100</v>
      </c>
      <c r="J123" s="621">
        <f t="shared" si="28"/>
        <v>100</v>
      </c>
      <c r="K123" s="621">
        <f t="shared" si="28"/>
        <v>100</v>
      </c>
      <c r="L123" s="621">
        <f t="shared" si="28"/>
        <v>100</v>
      </c>
      <c r="M123" s="622">
        <f t="shared" si="28"/>
        <v>100</v>
      </c>
      <c r="N123" s="1767"/>
      <c r="O123" s="1767"/>
      <c r="P123" s="1765"/>
      <c r="Q123" s="1762"/>
      <c r="R123" s="1741"/>
      <c r="S123" s="1741"/>
      <c r="T123" s="1741"/>
      <c r="U123" s="1741"/>
      <c r="V123" s="1741"/>
      <c r="W123" s="1741"/>
      <c r="X123" s="1741"/>
      <c r="Y123" s="1741"/>
      <c r="Z123" s="1741"/>
      <c r="AA123" s="1741"/>
      <c r="AB123" s="1741"/>
      <c r="AC123" s="1741"/>
    </row>
    <row r="124" spans="1:29" s="1134" customFormat="1" ht="15" thickTop="1">
      <c r="A124" s="552"/>
      <c r="B124" s="1554" t="s">
        <v>1777</v>
      </c>
      <c r="C124" s="1166" t="s">
        <v>3502</v>
      </c>
      <c r="D124" s="1166" t="s">
        <v>3503</v>
      </c>
      <c r="E124" s="1166" t="s">
        <v>3504</v>
      </c>
      <c r="F124" s="1166" t="s">
        <v>3505</v>
      </c>
      <c r="G124" s="1166" t="s">
        <v>3506</v>
      </c>
      <c r="H124" s="658"/>
      <c r="I124" s="658"/>
      <c r="J124" s="658"/>
      <c r="K124" s="659"/>
      <c r="L124" s="660"/>
      <c r="M124" s="661"/>
      <c r="N124" s="1768"/>
      <c r="O124" s="1768"/>
      <c r="P124" s="1768"/>
      <c r="Q124" s="1769"/>
      <c r="R124" s="1770"/>
      <c r="S124" s="1770"/>
      <c r="T124" s="1770"/>
      <c r="U124" s="1770"/>
      <c r="V124" s="1770"/>
      <c r="W124" s="1770"/>
      <c r="X124" s="1770"/>
      <c r="Y124" s="1770"/>
      <c r="Z124" s="1770"/>
      <c r="AA124" s="1770"/>
      <c r="AB124" s="1770"/>
      <c r="AC124" s="1770"/>
    </row>
    <row r="125" spans="1:29" s="1134" customFormat="1" ht="14.4" thickBot="1">
      <c r="A125" s="629"/>
      <c r="B125" s="620"/>
      <c r="C125" s="621">
        <v>100</v>
      </c>
      <c r="D125" s="621">
        <f t="shared" ref="D125:M125" si="29">C125-$K43</f>
        <v>99</v>
      </c>
      <c r="E125" s="621">
        <f t="shared" si="29"/>
        <v>98</v>
      </c>
      <c r="F125" s="621">
        <f t="shared" si="29"/>
        <v>97</v>
      </c>
      <c r="G125" s="621">
        <f t="shared" si="29"/>
        <v>96</v>
      </c>
      <c r="H125" s="621">
        <f t="shared" si="29"/>
        <v>95</v>
      </c>
      <c r="I125" s="621">
        <f t="shared" si="29"/>
        <v>94</v>
      </c>
      <c r="J125" s="621">
        <f t="shared" si="29"/>
        <v>93</v>
      </c>
      <c r="K125" s="621">
        <f t="shared" si="29"/>
        <v>92</v>
      </c>
      <c r="L125" s="621">
        <f t="shared" si="29"/>
        <v>91</v>
      </c>
      <c r="M125" s="622">
        <f t="shared" si="29"/>
        <v>90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3"/>
      <c r="B126" s="615" t="s">
        <v>544</v>
      </c>
      <c r="C126" s="3419" t="s">
        <v>3507</v>
      </c>
      <c r="D126" s="630"/>
      <c r="E126" s="658"/>
      <c r="F126" s="658"/>
      <c r="G126" s="658"/>
      <c r="H126" s="658"/>
      <c r="I126" s="658"/>
      <c r="J126" s="658"/>
      <c r="K126" s="659"/>
      <c r="L126" s="660"/>
      <c r="M126" s="661"/>
      <c r="N126" s="1766"/>
      <c r="O126" s="1766"/>
      <c r="P126" s="1765"/>
      <c r="Q126" s="1762"/>
      <c r="R126" s="1741"/>
      <c r="S126" s="1741"/>
      <c r="T126" s="1741"/>
      <c r="U126" s="1741"/>
      <c r="V126" s="1741"/>
      <c r="W126" s="1741"/>
      <c r="X126" s="1741"/>
      <c r="Y126" s="1741"/>
      <c r="Z126" s="1741"/>
      <c r="AA126" s="1741"/>
      <c r="AB126" s="1741"/>
      <c r="AC126" s="1741"/>
    </row>
    <row r="127" spans="1:29" ht="14.4" thickBot="1">
      <c r="A127" s="482"/>
      <c r="B127" s="620"/>
      <c r="C127" s="621">
        <v>100</v>
      </c>
      <c r="D127" s="621">
        <f t="shared" ref="D127:M127" si="30">C127-$K44</f>
        <v>98</v>
      </c>
      <c r="E127" s="621">
        <f t="shared" si="30"/>
        <v>96</v>
      </c>
      <c r="F127" s="621">
        <f t="shared" si="30"/>
        <v>94</v>
      </c>
      <c r="G127" s="621">
        <f t="shared" si="30"/>
        <v>92</v>
      </c>
      <c r="H127" s="621">
        <f t="shared" si="30"/>
        <v>90</v>
      </c>
      <c r="I127" s="621">
        <f t="shared" si="30"/>
        <v>88</v>
      </c>
      <c r="J127" s="621">
        <f t="shared" si="30"/>
        <v>86</v>
      </c>
      <c r="K127" s="621">
        <f t="shared" si="30"/>
        <v>84</v>
      </c>
      <c r="L127" s="621">
        <f t="shared" si="30"/>
        <v>82</v>
      </c>
      <c r="M127" s="622">
        <f t="shared" si="30"/>
        <v>80</v>
      </c>
      <c r="N127" s="1767"/>
      <c r="O127" s="1767"/>
      <c r="P127" s="1765"/>
      <c r="Q127" s="1762"/>
      <c r="R127" s="1741"/>
      <c r="S127" s="1741"/>
      <c r="T127" s="1741"/>
      <c r="U127" s="1741"/>
      <c r="V127" s="1741"/>
      <c r="W127" s="1741"/>
      <c r="X127" s="1741"/>
      <c r="Y127" s="1741"/>
      <c r="Z127" s="1741"/>
      <c r="AA127" s="1741"/>
      <c r="AB127" s="1741"/>
      <c r="AC127" s="1741"/>
    </row>
    <row r="128" spans="1:29" ht="14.4" thickTop="1">
      <c r="A128" s="543"/>
      <c r="B128" s="615">
        <f>B45</f>
        <v>111</v>
      </c>
      <c r="C128" s="630"/>
      <c r="D128" s="630"/>
      <c r="E128" s="630"/>
      <c r="F128" s="630"/>
      <c r="G128" s="630"/>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4.4"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4.4" thickTop="1">
      <c r="A130" s="543"/>
      <c r="B130" s="615">
        <f>B46</f>
        <v>111</v>
      </c>
      <c r="C130" s="80"/>
      <c r="D130" s="80"/>
      <c r="E130" s="80"/>
      <c r="F130" s="80"/>
      <c r="G130" s="658"/>
      <c r="H130" s="658"/>
      <c r="I130" s="658"/>
      <c r="J130" s="658"/>
      <c r="K130" s="659"/>
      <c r="L130" s="660"/>
      <c r="M130" s="661"/>
      <c r="N130" s="1766"/>
      <c r="O130" s="1766"/>
      <c r="P130" s="1765"/>
      <c r="Q130" s="1762"/>
      <c r="R130" s="1741"/>
      <c r="S130" s="1741"/>
      <c r="T130" s="1741"/>
      <c r="U130" s="1741"/>
      <c r="V130" s="1741"/>
      <c r="W130" s="1741"/>
      <c r="X130" s="1741"/>
      <c r="Y130" s="1741"/>
      <c r="Z130" s="1741"/>
      <c r="AA130" s="1741"/>
      <c r="AB130" s="1741"/>
      <c r="AC130" s="1741"/>
    </row>
    <row r="131" spans="1:29" ht="14.4" thickBot="1">
      <c r="A131" s="482"/>
      <c r="B131" s="620"/>
      <c r="C131" s="642"/>
      <c r="D131" s="642"/>
      <c r="E131" s="642"/>
      <c r="F131" s="642"/>
      <c r="G131" s="613"/>
      <c r="H131" s="613"/>
      <c r="I131" s="613"/>
      <c r="J131" s="613"/>
      <c r="K131" s="613"/>
      <c r="L131" s="613"/>
      <c r="M131" s="614"/>
      <c r="N131" s="1767"/>
      <c r="O131" s="1767"/>
      <c r="P131" s="1765"/>
      <c r="Q131" s="1762"/>
      <c r="R131" s="1741"/>
      <c r="S131" s="1741"/>
      <c r="T131" s="1741"/>
      <c r="U131" s="1741"/>
      <c r="V131" s="1741"/>
      <c r="W131" s="1741"/>
      <c r="X131" s="1741"/>
      <c r="Y131" s="1741"/>
      <c r="Z131" s="1741"/>
      <c r="AA131" s="1741"/>
      <c r="AB131" s="1741"/>
      <c r="AC131" s="1741"/>
    </row>
    <row r="132" spans="1:29" s="1134" customFormat="1" ht="14.4" thickTop="1">
      <c r="A132" s="552"/>
      <c r="B132" s="615">
        <f>B47</f>
        <v>111</v>
      </c>
      <c r="C132" s="80"/>
      <c r="D132" s="80"/>
      <c r="E132" s="80"/>
      <c r="F132" s="80"/>
      <c r="G132" s="631"/>
      <c r="H132" s="631"/>
      <c r="I132" s="631"/>
      <c r="J132" s="631"/>
      <c r="K132" s="631"/>
      <c r="L132" s="632"/>
      <c r="M132" s="633"/>
      <c r="N132" s="1768"/>
      <c r="O132" s="1768"/>
      <c r="P132" s="1768"/>
      <c r="Q132" s="1769"/>
      <c r="R132" s="1770"/>
      <c r="S132" s="1770"/>
      <c r="T132" s="1770"/>
      <c r="U132" s="1770"/>
      <c r="V132" s="1770"/>
      <c r="W132" s="1770"/>
      <c r="X132" s="1770"/>
      <c r="Y132" s="1770"/>
      <c r="Z132" s="1770"/>
      <c r="AA132" s="1770"/>
      <c r="AB132" s="1770"/>
      <c r="AC132" s="1770"/>
    </row>
    <row r="133" spans="1:29" s="1134" customFormat="1" ht="14.4" thickBot="1">
      <c r="A133" s="640"/>
      <c r="B133" s="673"/>
      <c r="C133" s="642"/>
      <c r="D133" s="642"/>
      <c r="E133" s="642"/>
      <c r="F133" s="642"/>
      <c r="G133" s="666"/>
      <c r="H133" s="666"/>
      <c r="I133" s="666"/>
      <c r="J133" s="666"/>
      <c r="K133" s="666"/>
      <c r="L133" s="666"/>
      <c r="M133" s="667"/>
      <c r="N133" s="1768"/>
      <c r="O133" s="1768"/>
      <c r="P133" s="1768"/>
      <c r="Q133" s="1769"/>
      <c r="R133" s="1770"/>
      <c r="S133" s="1770"/>
      <c r="T133" s="1770"/>
      <c r="U133" s="1770"/>
      <c r="V133" s="1770"/>
      <c r="W133" s="1770"/>
      <c r="X133" s="1770"/>
      <c r="Y133" s="1770"/>
      <c r="Z133" s="1770"/>
      <c r="AA133" s="1770"/>
      <c r="AB133" s="1770"/>
      <c r="AC133" s="1770"/>
    </row>
    <row r="134" spans="1:29" s="1319"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19"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19"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19"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19"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19"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19"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19"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19"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19"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19"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19"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19"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19"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19"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19"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19"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19"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19"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19"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19"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19"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19"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19"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19"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19"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19"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19"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19"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19"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19"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19"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19"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19"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19"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19"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19"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19"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19"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19"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19"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19"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19"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19"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19"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19"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19"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19"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19"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19"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19"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19"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19"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19"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19"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19"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19"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19"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19"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19"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19"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19"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19"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19"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19"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19"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19"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19"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19"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19"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19"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19"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19"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19"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19"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19"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19"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19"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19"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19"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19"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19"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19"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19"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19"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19"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19"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19"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19"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19"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19"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19"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19"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19"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19"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19"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19"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19"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19"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19"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19"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19"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19"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19"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19"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19"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19"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19"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19"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19"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19"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19"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19"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19"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19"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19"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19"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19"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19"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19"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19"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19" customFormat="1">
      <c r="K255" s="1320"/>
      <c r="L255" s="1321"/>
    </row>
    <row r="256" spans="1:29" s="1319" customFormat="1">
      <c r="K256" s="1320"/>
      <c r="L256" s="1321"/>
    </row>
    <row r="257" spans="11:12" s="1319" customFormat="1">
      <c r="K257" s="1320"/>
      <c r="L257" s="1321"/>
    </row>
    <row r="258" spans="11:12" s="1319" customFormat="1">
      <c r="K258" s="1320"/>
      <c r="L258" s="132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4"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7"/>
      <c r="M1" s="2718"/>
      <c r="N1" s="2718"/>
      <c r="O1" s="2718"/>
      <c r="P1" s="1739"/>
      <c r="Q1" s="1739"/>
      <c r="R1" s="1739"/>
      <c r="S1" s="1739"/>
      <c r="T1" s="1739"/>
      <c r="U1" s="1739"/>
      <c r="V1" s="1739"/>
      <c r="W1" s="1739"/>
      <c r="X1" s="1739"/>
      <c r="Y1" s="1739"/>
      <c r="Z1" s="1739"/>
      <c r="AA1" s="1739"/>
      <c r="AB1" s="1739"/>
      <c r="AC1" s="1673"/>
    </row>
    <row r="2" spans="1:29" s="1131" customFormat="1" ht="28.5" customHeight="1">
      <c r="A2" s="393" t="s">
        <v>427</v>
      </c>
      <c r="B2" s="459" t="e">
        <f>F62</f>
        <v>#DIV/0!</v>
      </c>
      <c r="C2" s="2728"/>
      <c r="D2" s="2728"/>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31" customFormat="1" ht="28.5" customHeight="1">
      <c r="A3" s="1170" t="s">
        <v>1218</v>
      </c>
      <c r="B3" s="461" t="e">
        <f>ROUND(B2*10000/'数据-汇总表'!E3,0)</f>
        <v>#DIV/0!</v>
      </c>
      <c r="C3" s="2727"/>
      <c r="D3" s="2727"/>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1673"/>
      <c r="AC3" s="1673"/>
    </row>
    <row r="4" spans="1:29" s="1131" customFormat="1" ht="28.5" customHeight="1">
      <c r="A4" s="462" t="s">
        <v>469</v>
      </c>
      <c r="B4" s="397" t="e">
        <f>IF(B43="单位面积地价",C45,ROUND(B2*10000/'数据-汇总表'!D3,0))</f>
        <v>#DIV/0!</v>
      </c>
      <c r="C4" s="2727"/>
      <c r="D4" s="2727"/>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31" customFormat="1" ht="28.5" customHeight="1" thickBot="1">
      <c r="A5" s="399"/>
      <c r="B5" s="400" t="e">
        <f>ROUND(B2/('数据-汇总表'!D3/666.67),0)</f>
        <v>#DIV/0!</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2719"/>
      <c r="AC5" s="1673"/>
    </row>
    <row r="6" spans="1:29" ht="14.4">
      <c r="A6" s="463" t="s">
        <v>470</v>
      </c>
      <c r="B6" s="464"/>
      <c r="C6" s="3635" t="s">
        <v>471</v>
      </c>
      <c r="D6" s="3636"/>
      <c r="E6" s="3657" t="s">
        <v>472</v>
      </c>
      <c r="F6" s="3658"/>
      <c r="G6" s="3635" t="s">
        <v>473</v>
      </c>
      <c r="H6" s="3636"/>
      <c r="I6" s="3635" t="s">
        <v>474</v>
      </c>
      <c r="J6" s="3636"/>
      <c r="K6" s="465" t="s">
        <v>475</v>
      </c>
      <c r="L6" s="1740"/>
      <c r="M6" s="1741"/>
      <c r="N6" s="1741"/>
      <c r="O6" s="1741"/>
      <c r="P6" s="3637" t="s">
        <v>476</v>
      </c>
      <c r="Q6" s="3638"/>
      <c r="R6" s="3621" t="s">
        <v>472</v>
      </c>
      <c r="S6" s="3622"/>
      <c r="T6" s="3621" t="s">
        <v>473</v>
      </c>
      <c r="U6" s="3622"/>
      <c r="V6" s="3643" t="s">
        <v>474</v>
      </c>
      <c r="W6" s="3643"/>
      <c r="X6" s="1301"/>
      <c r="Y6" s="3621" t="s">
        <v>476</v>
      </c>
      <c r="Z6" s="3622"/>
      <c r="AA6" s="3616" t="s">
        <v>472</v>
      </c>
      <c r="AB6" s="3617" t="s">
        <v>473</v>
      </c>
      <c r="AC6" s="3616" t="s">
        <v>474</v>
      </c>
    </row>
    <row r="7" spans="1:29">
      <c r="A7" s="466"/>
      <c r="B7" s="467"/>
      <c r="C7" s="3646" t="s">
        <v>2192</v>
      </c>
      <c r="D7" s="3647"/>
      <c r="E7" s="3659" t="s">
        <v>2193</v>
      </c>
      <c r="F7" s="3660"/>
      <c r="G7" s="3646" t="s">
        <v>2194</v>
      </c>
      <c r="H7" s="3647"/>
      <c r="I7" s="3646" t="s">
        <v>2195</v>
      </c>
      <c r="J7" s="3647"/>
      <c r="K7" s="465"/>
      <c r="L7" s="1740"/>
      <c r="M7" s="1741"/>
      <c r="N7" s="1741"/>
      <c r="O7" s="1741"/>
      <c r="P7" s="3639"/>
      <c r="Q7" s="3640"/>
      <c r="R7" s="3623"/>
      <c r="S7" s="3624"/>
      <c r="T7" s="3623"/>
      <c r="U7" s="3624"/>
      <c r="V7" s="3643"/>
      <c r="W7" s="3643"/>
      <c r="X7" s="1301"/>
      <c r="Y7" s="3623"/>
      <c r="Z7" s="3624"/>
      <c r="AA7" s="3617"/>
      <c r="AB7" s="3617"/>
      <c r="AC7" s="3617"/>
    </row>
    <row r="8" spans="1:29" ht="15" thickBot="1">
      <c r="A8" s="468"/>
      <c r="B8" s="469"/>
      <c r="C8" s="3644" t="s">
        <v>2196</v>
      </c>
      <c r="D8" s="3645"/>
      <c r="E8" s="3661" t="s">
        <v>2196</v>
      </c>
      <c r="F8" s="3662"/>
      <c r="G8" s="3644" t="s">
        <v>2196</v>
      </c>
      <c r="H8" s="3645"/>
      <c r="I8" s="3644" t="s">
        <v>2196</v>
      </c>
      <c r="J8" s="3645"/>
      <c r="K8" s="465" t="s">
        <v>477</v>
      </c>
      <c r="L8" s="1740"/>
      <c r="M8" s="1741"/>
      <c r="N8" s="1741"/>
      <c r="O8" s="1741"/>
      <c r="P8" s="3641"/>
      <c r="Q8" s="3642"/>
      <c r="R8" s="3623"/>
      <c r="S8" s="3624"/>
      <c r="T8" s="3625"/>
      <c r="U8" s="3626"/>
      <c r="V8" s="3643"/>
      <c r="W8" s="3643"/>
      <c r="X8" s="1301"/>
      <c r="Y8" s="3625"/>
      <c r="Z8" s="3626"/>
      <c r="AA8" s="3618"/>
      <c r="AB8" s="3618"/>
      <c r="AC8" s="3618"/>
    </row>
    <row r="9" spans="1:29" s="1060" customFormat="1" ht="15" thickBot="1">
      <c r="A9" s="2208"/>
      <c r="B9" s="2215" t="s">
        <v>478</v>
      </c>
      <c r="C9" s="470">
        <f>'数据-取费表'!B2</f>
        <v>45849</v>
      </c>
      <c r="D9" s="471">
        <v>100</v>
      </c>
      <c r="E9" s="472"/>
      <c r="F9" s="473">
        <f>SUMIF(66:66,YEAR(E9)&amp;"-"&amp;INT((MONTH(E9)+2)/3),67:67)</f>
        <v>0</v>
      </c>
      <c r="G9" s="474"/>
      <c r="H9" s="471">
        <f>SUMIF(66:66,YEAR(G9)&amp;"-"&amp;INT((MONTH(G9)+2)/3),67:67)</f>
        <v>0</v>
      </c>
      <c r="I9" s="474"/>
      <c r="J9" s="471">
        <f>SUMIF(66:66,YEAR(I9)&amp;"-"&amp;INT((MONTH(I9)+2)/3),67:67)</f>
        <v>0</v>
      </c>
      <c r="K9" s="88"/>
      <c r="L9" s="1742"/>
      <c r="M9" s="1639"/>
      <c r="N9" s="1639"/>
      <c r="O9" s="1639"/>
      <c r="P9" s="3619" t="s">
        <v>479</v>
      </c>
      <c r="Q9" s="3628"/>
      <c r="R9" s="1302" t="s">
        <v>5</v>
      </c>
      <c r="S9" s="1303">
        <f t="shared" ref="S9:S17" si="0">F9</f>
        <v>0</v>
      </c>
      <c r="T9" s="1302" t="s">
        <v>5</v>
      </c>
      <c r="U9" s="1303">
        <f t="shared" ref="U9:U17" si="1">H9</f>
        <v>0</v>
      </c>
      <c r="V9" s="1302" t="s">
        <v>5</v>
      </c>
      <c r="W9" s="1303">
        <f t="shared" ref="W9:W17" si="2">J9</f>
        <v>0</v>
      </c>
      <c r="X9" s="1304"/>
      <c r="Y9" s="3619" t="s">
        <v>479</v>
      </c>
      <c r="Z9" s="3620"/>
      <c r="AA9" s="997" t="e">
        <f>D9/F9</f>
        <v>#DIV/0!</v>
      </c>
      <c r="AB9" s="997" t="e">
        <f>D9/H9</f>
        <v>#DIV/0!</v>
      </c>
      <c r="AC9" s="997" t="e">
        <f>D9/J9</f>
        <v>#DIV/0!</v>
      </c>
    </row>
    <row r="10" spans="1:29" s="1060" customFormat="1" ht="15" thickBot="1">
      <c r="A10" s="2209"/>
      <c r="B10" s="2216"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2"/>
      <c r="M10" s="1639"/>
      <c r="N10" s="1639"/>
      <c r="O10" s="1639"/>
      <c r="P10" s="3619" t="s">
        <v>482</v>
      </c>
      <c r="Q10" s="3620"/>
      <c r="R10" s="1302" t="s">
        <v>5</v>
      </c>
      <c r="S10" s="1303">
        <f t="shared" si="0"/>
        <v>0</v>
      </c>
      <c r="T10" s="1302" t="s">
        <v>5</v>
      </c>
      <c r="U10" s="1303">
        <f t="shared" si="1"/>
        <v>0</v>
      </c>
      <c r="V10" s="1302" t="s">
        <v>5</v>
      </c>
      <c r="W10" s="1303">
        <f t="shared" si="2"/>
        <v>0</v>
      </c>
      <c r="X10" s="1304"/>
      <c r="Y10" s="3619" t="s">
        <v>482</v>
      </c>
      <c r="Z10" s="3620"/>
      <c r="AA10" s="997" t="e">
        <f t="shared" ref="AA10:AA42" si="3">D10/F10</f>
        <v>#DIV/0!</v>
      </c>
      <c r="AB10" s="997" t="e">
        <f t="shared" ref="AB10:AB42" si="4">D10/H10</f>
        <v>#DIV/0!</v>
      </c>
      <c r="AC10" s="997" t="e">
        <f t="shared" ref="AC10:AC42" si="5">D10/J10</f>
        <v>#DIV/0!</v>
      </c>
    </row>
    <row r="11" spans="1:29" s="1060" customFormat="1" ht="14.4">
      <c r="A11" s="2210"/>
      <c r="B11" s="2217" t="s">
        <v>2038</v>
      </c>
      <c r="C11" s="476"/>
      <c r="D11" s="154">
        <v>100</v>
      </c>
      <c r="E11" s="476"/>
      <c r="F11" s="154">
        <f>SUMIF(71:71,E11,72:72)-SUMIF(71:71,C11,72:72)+100</f>
        <v>100</v>
      </c>
      <c r="G11" s="476"/>
      <c r="H11" s="154">
        <f>SUMIF(71:71,G11,72:72)-SUMIF(71:71,C11,72:72)+100</f>
        <v>100</v>
      </c>
      <c r="I11" s="476"/>
      <c r="J11" s="154">
        <f>SUMIF(71:71,I11,72:72)-SUMIF(71:71,C11,72:72)+100</f>
        <v>100</v>
      </c>
      <c r="K11" s="88"/>
      <c r="L11" s="1742"/>
      <c r="M11" s="1639"/>
      <c r="N11" s="1639"/>
      <c r="O11" s="1743"/>
      <c r="P11" s="3627" t="s">
        <v>484</v>
      </c>
      <c r="Q11" s="818" t="str">
        <f t="shared" ref="Q11:Q17" si="6">B11</f>
        <v>用途</v>
      </c>
      <c r="R11" s="1302" t="s">
        <v>5</v>
      </c>
      <c r="S11" s="1303">
        <f t="shared" si="0"/>
        <v>100</v>
      </c>
      <c r="T11" s="1302" t="s">
        <v>5</v>
      </c>
      <c r="U11" s="1303">
        <f t="shared" si="1"/>
        <v>100</v>
      </c>
      <c r="V11" s="1302" t="s">
        <v>5</v>
      </c>
      <c r="W11" s="1303">
        <f t="shared" si="2"/>
        <v>100</v>
      </c>
      <c r="X11" s="1304"/>
      <c r="Y11" s="3575" t="s">
        <v>485</v>
      </c>
      <c r="Z11" s="997" t="str">
        <f t="shared" ref="Z11:Z17" si="7">Q11</f>
        <v>用途</v>
      </c>
      <c r="AA11" s="997">
        <f t="shared" si="3"/>
        <v>1</v>
      </c>
      <c r="AB11" s="997">
        <f t="shared" si="4"/>
        <v>1</v>
      </c>
      <c r="AC11" s="997">
        <f t="shared" si="5"/>
        <v>1</v>
      </c>
    </row>
    <row r="12" spans="1:29" s="1133" customFormat="1" ht="28.8">
      <c r="A12" s="2211"/>
      <c r="B12" s="2216" t="s">
        <v>2039</v>
      </c>
      <c r="C12" s="478"/>
      <c r="D12" s="235">
        <v>100</v>
      </c>
      <c r="E12" s="478"/>
      <c r="F12" s="235">
        <f>ROUND(100/'数据-取费表'!G16,0)</f>
        <v>101</v>
      </c>
      <c r="G12" s="478"/>
      <c r="H12" s="235">
        <f>ROUND(100/'数据-取费表'!G16,0)</f>
        <v>101</v>
      </c>
      <c r="I12" s="478"/>
      <c r="J12" s="235">
        <f>ROUND(100/'数据-取费表'!G16,0)</f>
        <v>101</v>
      </c>
      <c r="K12" s="481"/>
      <c r="L12" s="1744"/>
      <c r="M12" s="1777"/>
      <c r="N12" s="1777"/>
      <c r="O12" s="1745"/>
      <c r="P12" s="3627"/>
      <c r="Q12" s="818" t="str">
        <f t="shared" si="6"/>
        <v>土地使用年限（年）</v>
      </c>
      <c r="R12" s="1302" t="s">
        <v>5</v>
      </c>
      <c r="S12" s="1303">
        <f t="shared" si="0"/>
        <v>101</v>
      </c>
      <c r="T12" s="1302" t="s">
        <v>5</v>
      </c>
      <c r="U12" s="1303">
        <f t="shared" si="1"/>
        <v>101</v>
      </c>
      <c r="V12" s="1302" t="s">
        <v>5</v>
      </c>
      <c r="W12" s="1303">
        <f t="shared" si="2"/>
        <v>101</v>
      </c>
      <c r="X12" s="1304"/>
      <c r="Y12" s="3575"/>
      <c r="Z12" s="997" t="str">
        <f t="shared" si="7"/>
        <v>土地使用年限（年）</v>
      </c>
      <c r="AA12" s="997">
        <f t="shared" si="3"/>
        <v>0.99009900990099009</v>
      </c>
      <c r="AB12" s="997">
        <f t="shared" si="4"/>
        <v>0.99009900990099009</v>
      </c>
      <c r="AC12" s="997">
        <f t="shared" si="5"/>
        <v>0.99009900990099009</v>
      </c>
    </row>
    <row r="13" spans="1:29" ht="15">
      <c r="A13" s="2212"/>
      <c r="B13" s="2216"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6"/>
      <c r="M13" s="1741"/>
      <c r="N13" s="1741"/>
      <c r="O13" s="1747"/>
      <c r="P13" s="3627"/>
      <c r="Q13" s="818" t="str">
        <f t="shared" si="6"/>
        <v>容积率</v>
      </c>
      <c r="R13" s="1302" t="s">
        <v>5</v>
      </c>
      <c r="S13" s="1303" t="e">
        <f t="shared" si="0"/>
        <v>#N/A</v>
      </c>
      <c r="T13" s="1302" t="s">
        <v>5</v>
      </c>
      <c r="U13" s="1303" t="e">
        <f t="shared" si="1"/>
        <v>#N/A</v>
      </c>
      <c r="V13" s="1302" t="s">
        <v>5</v>
      </c>
      <c r="W13" s="1303" t="e">
        <f t="shared" si="2"/>
        <v>#N/A</v>
      </c>
      <c r="X13" s="1304"/>
      <c r="Y13" s="3575"/>
      <c r="Z13" s="997" t="str">
        <f t="shared" si="7"/>
        <v>容积率</v>
      </c>
      <c r="AA13" s="997" t="e">
        <f t="shared" si="3"/>
        <v>#N/A</v>
      </c>
      <c r="AB13" s="997" t="e">
        <f t="shared" si="4"/>
        <v>#N/A</v>
      </c>
      <c r="AC13" s="997" t="e">
        <f t="shared" si="5"/>
        <v>#N/A</v>
      </c>
    </row>
    <row r="14" spans="1:29" s="1060" customFormat="1" ht="15">
      <c r="A14" s="2213"/>
      <c r="B14" s="2219">
        <v>111</v>
      </c>
      <c r="C14" s="478"/>
      <c r="D14" s="488">
        <v>100</v>
      </c>
      <c r="E14" s="491"/>
      <c r="F14" s="235">
        <f>SUMIF(78:78,E14,79:79)-SUMIF(78:78,C14,79:79)+100</f>
        <v>100</v>
      </c>
      <c r="G14" s="492"/>
      <c r="H14" s="235">
        <f>SUMIF(78:78,G14,79:79)-SUMIF(78:78,C14,79:79)+100</f>
        <v>100</v>
      </c>
      <c r="I14" s="491"/>
      <c r="J14" s="235">
        <f>SUMIF(78:78,I14,79:79)-SUMIF(78:78,C14,79:79)+100</f>
        <v>100</v>
      </c>
      <c r="K14" s="481"/>
      <c r="L14" s="1742"/>
      <c r="M14" s="1639"/>
      <c r="N14" s="1639"/>
      <c r="O14" s="1743"/>
      <c r="P14" s="3627"/>
      <c r="Q14" s="818">
        <f t="shared" si="6"/>
        <v>111</v>
      </c>
      <c r="R14" s="1302" t="s">
        <v>5</v>
      </c>
      <c r="S14" s="1303">
        <f t="shared" si="0"/>
        <v>100</v>
      </c>
      <c r="T14" s="1302" t="s">
        <v>5</v>
      </c>
      <c r="U14" s="1303">
        <f t="shared" si="1"/>
        <v>100</v>
      </c>
      <c r="V14" s="1302" t="s">
        <v>5</v>
      </c>
      <c r="W14" s="1303">
        <f t="shared" si="2"/>
        <v>100</v>
      </c>
      <c r="X14" s="1304"/>
      <c r="Y14" s="3575"/>
      <c r="Z14" s="997">
        <f t="shared" si="7"/>
        <v>111</v>
      </c>
      <c r="AA14" s="997">
        <f>D14/F14</f>
        <v>1</v>
      </c>
      <c r="AB14" s="997">
        <f>D14/H14</f>
        <v>1</v>
      </c>
      <c r="AC14" s="997">
        <f>D14/J14</f>
        <v>1</v>
      </c>
    </row>
    <row r="15" spans="1:29" ht="15">
      <c r="A15" s="2213"/>
      <c r="B15" s="2219">
        <v>111</v>
      </c>
      <c r="C15" s="489"/>
      <c r="D15" s="490">
        <v>100</v>
      </c>
      <c r="E15" s="491"/>
      <c r="F15" s="235">
        <f>SUMIF(80:80,E15,81:81)-SUMIF(80:80,C15,81:81)+100</f>
        <v>100</v>
      </c>
      <c r="G15" s="492"/>
      <c r="H15" s="490">
        <f>SUMIF(80:80,G15,81:81)-SUMIF(80:80,C15,81:81)+100</f>
        <v>100</v>
      </c>
      <c r="I15" s="491"/>
      <c r="J15" s="490">
        <f>SUMIF(80:80,I15,81:81)-SUMIF(80:80,C15,81:81)+100</f>
        <v>100</v>
      </c>
      <c r="K15" s="481"/>
      <c r="L15" s="1748"/>
      <c r="M15" s="1741"/>
      <c r="N15" s="1741"/>
      <c r="O15" s="1747"/>
      <c r="P15" s="3627"/>
      <c r="Q15" s="818">
        <f t="shared" si="6"/>
        <v>111</v>
      </c>
      <c r="R15" s="1302" t="s">
        <v>5</v>
      </c>
      <c r="S15" s="1303">
        <f t="shared" si="0"/>
        <v>100</v>
      </c>
      <c r="T15" s="1302" t="s">
        <v>5</v>
      </c>
      <c r="U15" s="1303">
        <f t="shared" si="1"/>
        <v>100</v>
      </c>
      <c r="V15" s="1302" t="s">
        <v>5</v>
      </c>
      <c r="W15" s="1303">
        <f t="shared" si="2"/>
        <v>100</v>
      </c>
      <c r="X15" s="1304"/>
      <c r="Y15" s="3575"/>
      <c r="Z15" s="997">
        <f t="shared" si="7"/>
        <v>111</v>
      </c>
      <c r="AA15" s="997">
        <f t="shared" si="3"/>
        <v>1</v>
      </c>
      <c r="AB15" s="997">
        <f t="shared" si="4"/>
        <v>1</v>
      </c>
      <c r="AC15" s="997">
        <f t="shared" si="5"/>
        <v>1</v>
      </c>
    </row>
    <row r="16" spans="1:29" ht="15.6" thickBot="1">
      <c r="A16" s="2214"/>
      <c r="B16" s="2220">
        <v>111</v>
      </c>
      <c r="C16" s="495"/>
      <c r="D16" s="496">
        <v>100</v>
      </c>
      <c r="E16" s="491"/>
      <c r="F16" s="496">
        <f>SUMIF(82:82,E16,83:83)-SUMIF(82:82,C16,83:83)+100</f>
        <v>100</v>
      </c>
      <c r="G16" s="492"/>
      <c r="H16" s="496">
        <f>SUMIF(82:82,G16,83:83)-SUMIF(82:82,C16,83:83)+100</f>
        <v>100</v>
      </c>
      <c r="I16" s="491"/>
      <c r="J16" s="496">
        <f>SUMIF(82:82,I16,83:83)-SUMIF(82:82,C16,83:83)+100</f>
        <v>100</v>
      </c>
      <c r="K16" s="481"/>
      <c r="L16" s="1748"/>
      <c r="M16" s="1741"/>
      <c r="N16" s="1741"/>
      <c r="O16" s="1747"/>
      <c r="P16" s="3627"/>
      <c r="Q16" s="818">
        <f t="shared" si="6"/>
        <v>111</v>
      </c>
      <c r="R16" s="1302" t="s">
        <v>5</v>
      </c>
      <c r="S16" s="1303">
        <f t="shared" si="0"/>
        <v>100</v>
      </c>
      <c r="T16" s="1302" t="s">
        <v>5</v>
      </c>
      <c r="U16" s="1303">
        <f t="shared" si="1"/>
        <v>100</v>
      </c>
      <c r="V16" s="1302" t="s">
        <v>5</v>
      </c>
      <c r="W16" s="1303">
        <f t="shared" si="2"/>
        <v>100</v>
      </c>
      <c r="X16" s="1304"/>
      <c r="Y16" s="3575"/>
      <c r="Z16" s="997">
        <f t="shared" si="7"/>
        <v>111</v>
      </c>
      <c r="AA16" s="997">
        <f t="shared" si="3"/>
        <v>1</v>
      </c>
      <c r="AB16" s="997">
        <f t="shared" si="4"/>
        <v>1</v>
      </c>
      <c r="AC16" s="997">
        <f t="shared" si="5"/>
        <v>1</v>
      </c>
    </row>
    <row r="17" spans="1:29" ht="69">
      <c r="A17" s="2206" t="s">
        <v>2036</v>
      </c>
      <c r="B17" s="150" t="s">
        <v>546</v>
      </c>
      <c r="C17" s="843"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8"/>
      <c r="M17" s="1741"/>
      <c r="N17" s="1741"/>
      <c r="O17" s="1747"/>
      <c r="P17" s="3629" t="s">
        <v>489</v>
      </c>
      <c r="Q17" s="1305" t="str">
        <f t="shared" si="6"/>
        <v>产业集聚程度</v>
      </c>
      <c r="R17" s="1306" t="s">
        <v>5</v>
      </c>
      <c r="S17" s="1307">
        <f t="shared" si="0"/>
        <v>100</v>
      </c>
      <c r="T17" s="1306" t="s">
        <v>5</v>
      </c>
      <c r="U17" s="1307">
        <f t="shared" si="1"/>
        <v>100</v>
      </c>
      <c r="V17" s="1306" t="s">
        <v>5</v>
      </c>
      <c r="W17" s="1307">
        <f t="shared" si="2"/>
        <v>100</v>
      </c>
      <c r="X17" s="1301"/>
      <c r="Y17" s="3629" t="s">
        <v>489</v>
      </c>
      <c r="Z17" s="1308" t="str">
        <f t="shared" si="7"/>
        <v>产业集聚程度</v>
      </c>
      <c r="AA17" s="1308">
        <f t="shared" si="3"/>
        <v>1</v>
      </c>
      <c r="AB17" s="1308">
        <f t="shared" si="4"/>
        <v>1</v>
      </c>
      <c r="AC17" s="1308">
        <f t="shared" si="5"/>
        <v>1</v>
      </c>
    </row>
    <row r="18" spans="1:29" ht="15">
      <c r="A18" s="482"/>
      <c r="B18" s="799"/>
      <c r="C18" s="526"/>
      <c r="D18" s="505"/>
      <c r="E18" s="504"/>
      <c r="F18" s="505"/>
      <c r="G18" s="504"/>
      <c r="H18" s="509"/>
      <c r="I18" s="504"/>
      <c r="J18" s="505"/>
      <c r="K18" s="481"/>
      <c r="L18" s="1748"/>
      <c r="M18" s="1741"/>
      <c r="N18" s="1741"/>
      <c r="O18" s="1747"/>
      <c r="P18" s="3630"/>
      <c r="Q18" s="1305"/>
      <c r="R18" s="1306"/>
      <c r="S18" s="1307"/>
      <c r="T18" s="1306"/>
      <c r="U18" s="1307"/>
      <c r="V18" s="1306"/>
      <c r="W18" s="1307"/>
      <c r="X18" s="1301"/>
      <c r="Y18" s="3630"/>
      <c r="Z18" s="1308"/>
      <c r="AA18" s="1308">
        <v>1</v>
      </c>
      <c r="AB18" s="1308">
        <v>1</v>
      </c>
      <c r="AC18" s="1308">
        <v>1</v>
      </c>
    </row>
    <row r="19" spans="1:29" ht="96.6">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8"/>
      <c r="M19" s="1741"/>
      <c r="N19" s="1741"/>
      <c r="O19" s="1747"/>
      <c r="P19" s="3630"/>
      <c r="Q19" s="1305" t="str">
        <f>B19</f>
        <v>交通便捷度</v>
      </c>
      <c r="R19" s="1306" t="s">
        <v>5</v>
      </c>
      <c r="S19" s="1307">
        <f>F19</f>
        <v>100</v>
      </c>
      <c r="T19" s="1306" t="s">
        <v>5</v>
      </c>
      <c r="U19" s="1307">
        <f>H19</f>
        <v>100</v>
      </c>
      <c r="V19" s="1306" t="s">
        <v>5</v>
      </c>
      <c r="W19" s="1307">
        <f>J19</f>
        <v>100</v>
      </c>
      <c r="X19" s="1301"/>
      <c r="Y19" s="3630"/>
      <c r="Z19" s="1308" t="str">
        <f>Q19</f>
        <v>交通便捷度</v>
      </c>
      <c r="AA19" s="1308">
        <f t="shared" si="3"/>
        <v>1</v>
      </c>
      <c r="AB19" s="1308">
        <f t="shared" si="4"/>
        <v>1</v>
      </c>
      <c r="AC19" s="1308">
        <f t="shared" si="5"/>
        <v>1</v>
      </c>
    </row>
    <row r="20" spans="1:29" ht="15">
      <c r="A20" s="482"/>
      <c r="B20" s="844"/>
      <c r="C20" s="526"/>
      <c r="D20" s="505"/>
      <c r="E20" s="506"/>
      <c r="F20" s="505"/>
      <c r="G20" s="506"/>
      <c r="H20" s="505"/>
      <c r="I20" s="508"/>
      <c r="J20" s="505"/>
      <c r="K20" s="481"/>
      <c r="L20" s="1748"/>
      <c r="M20" s="1741"/>
      <c r="N20" s="1741"/>
      <c r="O20" s="1747"/>
      <c r="P20" s="3630"/>
      <c r="Q20" s="1305"/>
      <c r="R20" s="1306"/>
      <c r="S20" s="1307"/>
      <c r="T20" s="1306"/>
      <c r="U20" s="1307"/>
      <c r="V20" s="1306"/>
      <c r="W20" s="1307"/>
      <c r="X20" s="1301"/>
      <c r="Y20" s="3630"/>
      <c r="Z20" s="1308"/>
      <c r="AA20" s="1308">
        <v>1</v>
      </c>
      <c r="AB20" s="1308">
        <v>1</v>
      </c>
      <c r="AC20" s="1308">
        <v>1</v>
      </c>
    </row>
    <row r="21" spans="1:29" ht="28.8">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48"/>
      <c r="M21" s="1741"/>
      <c r="N21" s="1741"/>
      <c r="O21" s="1747"/>
      <c r="P21" s="3630"/>
      <c r="Q21" s="1305" t="str">
        <f t="shared" ref="Q21:Q35" si="8">B21</f>
        <v>区域土地利用方向</v>
      </c>
      <c r="R21" s="1306" t="s">
        <v>5</v>
      </c>
      <c r="S21" s="1307">
        <f>F21</f>
        <v>100</v>
      </c>
      <c r="T21" s="1306" t="s">
        <v>5</v>
      </c>
      <c r="U21" s="1307">
        <f>H21</f>
        <v>100</v>
      </c>
      <c r="V21" s="1306" t="s">
        <v>5</v>
      </c>
      <c r="W21" s="1307">
        <f>J21</f>
        <v>100</v>
      </c>
      <c r="X21" s="1301"/>
      <c r="Y21" s="3630"/>
      <c r="Z21" s="1308" t="str">
        <f>Q21</f>
        <v>区域土地利用方向</v>
      </c>
      <c r="AA21" s="1308">
        <f t="shared" si="3"/>
        <v>1</v>
      </c>
      <c r="AB21" s="1308">
        <f t="shared" si="4"/>
        <v>1</v>
      </c>
      <c r="AC21" s="1308">
        <f t="shared" si="5"/>
        <v>1</v>
      </c>
    </row>
    <row r="22" spans="1:29" ht="15">
      <c r="A22" s="466"/>
      <c r="B22" s="544"/>
      <c r="C22" s="526"/>
      <c r="D22" s="505"/>
      <c r="E22" s="506"/>
      <c r="F22" s="507"/>
      <c r="G22" s="508"/>
      <c r="H22" s="507"/>
      <c r="I22" s="508"/>
      <c r="J22" s="507"/>
      <c r="K22" s="1142"/>
      <c r="L22" s="1748"/>
      <c r="M22" s="1741"/>
      <c r="N22" s="1741"/>
      <c r="O22" s="1747"/>
      <c r="P22" s="3630"/>
      <c r="Q22" s="1305"/>
      <c r="R22" s="1306"/>
      <c r="S22" s="1307"/>
      <c r="T22" s="1306"/>
      <c r="U22" s="1307"/>
      <c r="V22" s="1306"/>
      <c r="W22" s="1307"/>
      <c r="X22" s="1301"/>
      <c r="Y22" s="3630"/>
      <c r="Z22" s="1308"/>
      <c r="AA22" s="1308"/>
      <c r="AB22" s="1308"/>
      <c r="AC22" s="1308"/>
    </row>
    <row r="23" spans="1:29" ht="82.8">
      <c r="A23" s="466"/>
      <c r="B23" s="844"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8"/>
      <c r="M23" s="1741"/>
      <c r="N23" s="1741"/>
      <c r="O23" s="1747"/>
      <c r="P23" s="3630"/>
      <c r="Q23" s="1305" t="str">
        <f t="shared" si="8"/>
        <v>环境状况</v>
      </c>
      <c r="R23" s="1306" t="s">
        <v>5</v>
      </c>
      <c r="S23" s="1307">
        <f>F23</f>
        <v>100</v>
      </c>
      <c r="T23" s="1306" t="s">
        <v>5</v>
      </c>
      <c r="U23" s="1307">
        <f>H23</f>
        <v>100</v>
      </c>
      <c r="V23" s="1306" t="s">
        <v>5</v>
      </c>
      <c r="W23" s="1307">
        <f>J23</f>
        <v>100</v>
      </c>
      <c r="X23" s="1301"/>
      <c r="Y23" s="3630"/>
      <c r="Z23" s="1308" t="str">
        <f>Q23</f>
        <v>环境状况</v>
      </c>
      <c r="AA23" s="1308">
        <f t="shared" si="3"/>
        <v>1</v>
      </c>
      <c r="AB23" s="1308">
        <f t="shared" si="4"/>
        <v>1</v>
      </c>
      <c r="AC23" s="1308">
        <f t="shared" si="5"/>
        <v>1</v>
      </c>
    </row>
    <row r="24" spans="1:29" ht="15">
      <c r="A24" s="466"/>
      <c r="B24" s="544"/>
      <c r="C24" s="526"/>
      <c r="D24" s="505"/>
      <c r="E24" s="504"/>
      <c r="F24" s="505"/>
      <c r="G24" s="504"/>
      <c r="H24" s="505"/>
      <c r="I24" s="526"/>
      <c r="J24" s="505"/>
      <c r="K24" s="481"/>
      <c r="L24" s="1748"/>
      <c r="M24" s="1741"/>
      <c r="N24" s="1741"/>
      <c r="O24" s="1747"/>
      <c r="P24" s="3630"/>
      <c r="Q24" s="1305"/>
      <c r="R24" s="1306"/>
      <c r="S24" s="1307"/>
      <c r="T24" s="1306"/>
      <c r="U24" s="1307"/>
      <c r="V24" s="1306"/>
      <c r="W24" s="1307"/>
      <c r="X24" s="1301"/>
      <c r="Y24" s="3630"/>
      <c r="Z24" s="1308"/>
      <c r="AA24" s="1308">
        <v>1</v>
      </c>
      <c r="AB24" s="1308">
        <v>1</v>
      </c>
      <c r="AC24" s="1308">
        <v>1</v>
      </c>
    </row>
    <row r="25" spans="1:29" s="1060" customFormat="1" ht="41.4">
      <c r="A25" s="527"/>
      <c r="B25" s="2051" t="s">
        <v>1831</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2"/>
      <c r="M25" s="1639"/>
      <c r="N25" s="1639"/>
      <c r="O25" s="1743"/>
      <c r="P25" s="3630"/>
      <c r="Q25" s="818" t="str">
        <f t="shared" si="8"/>
        <v>公共配套设施</v>
      </c>
      <c r="R25" s="1302" t="s">
        <v>5</v>
      </c>
      <c r="S25" s="1303">
        <f>F25</f>
        <v>100</v>
      </c>
      <c r="T25" s="1302" t="s">
        <v>5</v>
      </c>
      <c r="U25" s="1303">
        <f>H25</f>
        <v>100</v>
      </c>
      <c r="V25" s="1302" t="s">
        <v>5</v>
      </c>
      <c r="W25" s="1303">
        <f>J25</f>
        <v>100</v>
      </c>
      <c r="X25" s="1304"/>
      <c r="Y25" s="3630"/>
      <c r="Z25" s="997" t="str">
        <f>Q25</f>
        <v>公共配套设施</v>
      </c>
      <c r="AA25" s="1308">
        <f>D25/F25</f>
        <v>1</v>
      </c>
      <c r="AB25" s="1308">
        <f>D25/H25</f>
        <v>1</v>
      </c>
      <c r="AC25" s="1308">
        <f>D25/J25</f>
        <v>1</v>
      </c>
    </row>
    <row r="26" spans="1:29" s="1060" customFormat="1" ht="15">
      <c r="A26" s="527"/>
      <c r="B26" s="544"/>
      <c r="C26" s="2050"/>
      <c r="D26" s="505"/>
      <c r="E26" s="504"/>
      <c r="F26" s="505"/>
      <c r="G26" s="504"/>
      <c r="H26" s="505"/>
      <c r="I26" s="526"/>
      <c r="J26" s="505"/>
      <c r="K26" s="481"/>
      <c r="L26" s="1742"/>
      <c r="M26" s="1639"/>
      <c r="N26" s="1639"/>
      <c r="O26" s="1743"/>
      <c r="P26" s="3630"/>
      <c r="Q26" s="818"/>
      <c r="R26" s="1302"/>
      <c r="S26" s="1303"/>
      <c r="T26" s="1302"/>
      <c r="U26" s="1303"/>
      <c r="V26" s="1302"/>
      <c r="W26" s="1303"/>
      <c r="X26" s="1304"/>
      <c r="Y26" s="3630"/>
      <c r="Z26" s="997"/>
      <c r="AA26" s="997">
        <v>1</v>
      </c>
      <c r="AB26" s="997">
        <v>1</v>
      </c>
      <c r="AC26" s="997">
        <v>1</v>
      </c>
    </row>
    <row r="27" spans="1:29" s="1060" customFormat="1" ht="41.4">
      <c r="A27" s="527"/>
      <c r="B27" s="2051" t="s">
        <v>1832</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2"/>
      <c r="M27" s="1639"/>
      <c r="N27" s="1639"/>
      <c r="O27" s="1743"/>
      <c r="P27" s="3630"/>
      <c r="Q27" s="818" t="str">
        <f>B27</f>
        <v>基础设施水平</v>
      </c>
      <c r="R27" s="1302" t="s">
        <v>5</v>
      </c>
      <c r="S27" s="1303">
        <f>F27</f>
        <v>100</v>
      </c>
      <c r="T27" s="1302" t="s">
        <v>5</v>
      </c>
      <c r="U27" s="1303">
        <f>H27</f>
        <v>100</v>
      </c>
      <c r="V27" s="1302" t="s">
        <v>5</v>
      </c>
      <c r="W27" s="1303">
        <f>J27</f>
        <v>100</v>
      </c>
      <c r="X27" s="1304"/>
      <c r="Y27" s="3630"/>
      <c r="Z27" s="997" t="str">
        <f>Q27</f>
        <v>基础设施水平</v>
      </c>
      <c r="AA27" s="1308">
        <f>D27/F27</f>
        <v>1</v>
      </c>
      <c r="AB27" s="1308">
        <f>D27/H27</f>
        <v>1</v>
      </c>
      <c r="AC27" s="1308">
        <f>D27/J27</f>
        <v>1</v>
      </c>
    </row>
    <row r="28" spans="1:29" s="1060" customFormat="1" ht="15">
      <c r="A28" s="527"/>
      <c r="B28" s="544"/>
      <c r="C28" s="2050"/>
      <c r="D28" s="505"/>
      <c r="E28" s="529"/>
      <c r="F28" s="505"/>
      <c r="G28" s="529"/>
      <c r="H28" s="505"/>
      <c r="I28" s="529"/>
      <c r="J28" s="505"/>
      <c r="K28" s="481"/>
      <c r="L28" s="1742"/>
      <c r="M28" s="1639"/>
      <c r="N28" s="1639"/>
      <c r="O28" s="1743"/>
      <c r="P28" s="3630"/>
      <c r="Q28" s="818"/>
      <c r="R28" s="1302"/>
      <c r="S28" s="1303"/>
      <c r="T28" s="1302"/>
      <c r="U28" s="1303"/>
      <c r="V28" s="1302"/>
      <c r="W28" s="1303"/>
      <c r="X28" s="1304"/>
      <c r="Y28" s="3630"/>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8"/>
      <c r="M29" s="1741"/>
      <c r="N29" s="1741"/>
      <c r="O29" s="1747"/>
      <c r="P29" s="3630"/>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630"/>
      <c r="Z29" s="1308" t="str">
        <f t="shared" ref="Z29:Z42" si="12">Q29</f>
        <v>临街状况</v>
      </c>
      <c r="AA29" s="1308">
        <f t="shared" si="3"/>
        <v>1</v>
      </c>
      <c r="AB29" s="1308">
        <f t="shared" si="4"/>
        <v>1</v>
      </c>
      <c r="AC29" s="1308">
        <f t="shared" si="5"/>
        <v>1</v>
      </c>
    </row>
    <row r="30" spans="1:29" ht="28.8">
      <c r="A30" s="482"/>
      <c r="B30" s="844" t="s">
        <v>497</v>
      </c>
      <c r="C30" s="2053">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8"/>
      <c r="M30" s="1741"/>
      <c r="N30" s="1741"/>
      <c r="O30" s="1747"/>
      <c r="P30" s="3630"/>
      <c r="Q30" s="1305" t="str">
        <f t="shared" si="8"/>
        <v>毗邻道路的类型与等级</v>
      </c>
      <c r="R30" s="1306" t="s">
        <v>5</v>
      </c>
      <c r="S30" s="1307">
        <f t="shared" si="9"/>
        <v>100</v>
      </c>
      <c r="T30" s="1306" t="s">
        <v>5</v>
      </c>
      <c r="U30" s="1307">
        <f t="shared" si="10"/>
        <v>100</v>
      </c>
      <c r="V30" s="1306" t="s">
        <v>5</v>
      </c>
      <c r="W30" s="1307">
        <f t="shared" si="11"/>
        <v>100</v>
      </c>
      <c r="X30" s="1301"/>
      <c r="Y30" s="3630"/>
      <c r="Z30" s="1308" t="str">
        <f t="shared" si="12"/>
        <v>毗邻道路的类型与等级</v>
      </c>
      <c r="AA30" s="1308">
        <f t="shared" si="3"/>
        <v>1</v>
      </c>
      <c r="AB30" s="1308">
        <f t="shared" si="4"/>
        <v>1</v>
      </c>
      <c r="AC30" s="1308">
        <f t="shared" si="5"/>
        <v>1</v>
      </c>
    </row>
    <row r="31" spans="1:29" ht="15">
      <c r="A31" s="482"/>
      <c r="B31" s="544"/>
      <c r="C31" s="526"/>
      <c r="D31" s="505"/>
      <c r="E31" s="526"/>
      <c r="F31" s="505"/>
      <c r="G31" s="526"/>
      <c r="H31" s="505"/>
      <c r="I31" s="526"/>
      <c r="J31" s="505"/>
      <c r="K31" s="531"/>
      <c r="L31" s="1748"/>
      <c r="M31" s="1741"/>
      <c r="N31" s="1741"/>
      <c r="O31" s="1747"/>
      <c r="P31" s="3630"/>
      <c r="Q31" s="1305"/>
      <c r="R31" s="1306"/>
      <c r="S31" s="1307"/>
      <c r="T31" s="1306"/>
      <c r="U31" s="1307"/>
      <c r="V31" s="1306"/>
      <c r="W31" s="1307"/>
      <c r="X31" s="1301"/>
      <c r="Y31" s="3630"/>
      <c r="Z31" s="1308"/>
      <c r="AA31" s="1308">
        <v>1</v>
      </c>
      <c r="AB31" s="1308">
        <v>1</v>
      </c>
      <c r="AC31" s="1308">
        <v>1</v>
      </c>
    </row>
    <row r="32" spans="1:29" ht="15">
      <c r="A32" s="482"/>
      <c r="B32" s="477" t="s">
        <v>498</v>
      </c>
      <c r="C32" s="2054">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8"/>
      <c r="M32" s="1741"/>
      <c r="N32" s="1741"/>
      <c r="O32" s="1747"/>
      <c r="P32" s="3630"/>
      <c r="Q32" s="1305" t="str">
        <f t="shared" si="8"/>
        <v>土地级别</v>
      </c>
      <c r="R32" s="1306" t="s">
        <v>5</v>
      </c>
      <c r="S32" s="1307">
        <f t="shared" si="9"/>
        <v>100</v>
      </c>
      <c r="T32" s="1306" t="s">
        <v>5</v>
      </c>
      <c r="U32" s="1307">
        <f t="shared" si="10"/>
        <v>100</v>
      </c>
      <c r="V32" s="1306" t="s">
        <v>5</v>
      </c>
      <c r="W32" s="1307">
        <f t="shared" si="11"/>
        <v>100</v>
      </c>
      <c r="X32" s="1301"/>
      <c r="Y32" s="3630"/>
      <c r="Z32" s="1308" t="str">
        <f t="shared" si="12"/>
        <v>土地级别</v>
      </c>
      <c r="AA32" s="1308">
        <f t="shared" si="3"/>
        <v>1</v>
      </c>
      <c r="AB32" s="1308">
        <f t="shared" si="4"/>
        <v>1</v>
      </c>
      <c r="AC32" s="1308">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8"/>
      <c r="M33" s="1741"/>
      <c r="N33" s="1741"/>
      <c r="O33" s="1747"/>
      <c r="P33" s="3630"/>
      <c r="Q33" s="1305">
        <f t="shared" si="8"/>
        <v>111</v>
      </c>
      <c r="R33" s="1306" t="s">
        <v>5</v>
      </c>
      <c r="S33" s="1307">
        <f t="shared" si="9"/>
        <v>100</v>
      </c>
      <c r="T33" s="1306" t="s">
        <v>5</v>
      </c>
      <c r="U33" s="1307">
        <f t="shared" si="10"/>
        <v>100</v>
      </c>
      <c r="V33" s="1306" t="s">
        <v>5</v>
      </c>
      <c r="W33" s="1307">
        <f t="shared" si="11"/>
        <v>100</v>
      </c>
      <c r="X33" s="1301"/>
      <c r="Y33" s="3630"/>
      <c r="Z33" s="1308">
        <f t="shared" si="12"/>
        <v>111</v>
      </c>
      <c r="AA33" s="1308">
        <f t="shared" si="3"/>
        <v>1</v>
      </c>
      <c r="AB33" s="1308">
        <f t="shared" si="4"/>
        <v>1</v>
      </c>
      <c r="AC33" s="1308">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8"/>
      <c r="M34" s="1741"/>
      <c r="N34" s="1741"/>
      <c r="O34" s="1747"/>
      <c r="P34" s="3631" t="s">
        <v>499</v>
      </c>
      <c r="Q34" s="1305">
        <f t="shared" si="8"/>
        <v>111</v>
      </c>
      <c r="R34" s="1306" t="s">
        <v>5</v>
      </c>
      <c r="S34" s="1307">
        <f t="shared" si="9"/>
        <v>100</v>
      </c>
      <c r="T34" s="1306" t="s">
        <v>5</v>
      </c>
      <c r="U34" s="1307">
        <f t="shared" si="10"/>
        <v>100</v>
      </c>
      <c r="V34" s="1306" t="s">
        <v>5</v>
      </c>
      <c r="W34" s="1307">
        <f t="shared" si="11"/>
        <v>100</v>
      </c>
      <c r="X34" s="1301"/>
      <c r="Y34" s="3632" t="s">
        <v>499</v>
      </c>
      <c r="Z34" s="1308">
        <f t="shared" si="12"/>
        <v>111</v>
      </c>
      <c r="AA34" s="1308">
        <f t="shared" si="3"/>
        <v>1</v>
      </c>
      <c r="AB34" s="1308">
        <f t="shared" si="4"/>
        <v>1</v>
      </c>
      <c r="AC34" s="1308">
        <f t="shared" si="5"/>
        <v>1</v>
      </c>
    </row>
    <row r="35" spans="1:29" s="1134" customFormat="1" ht="15.6" thickBot="1">
      <c r="A35" s="538"/>
      <c r="B35" s="2052">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6"/>
      <c r="M35" s="1770"/>
      <c r="N35" s="1770"/>
      <c r="O35" s="1749"/>
      <c r="P35" s="3632"/>
      <c r="Q35" s="1305">
        <f t="shared" si="8"/>
        <v>111</v>
      </c>
      <c r="R35" s="1309" t="s">
        <v>5</v>
      </c>
      <c r="S35" s="1310">
        <f t="shared" si="9"/>
        <v>100</v>
      </c>
      <c r="T35" s="1309" t="s">
        <v>5</v>
      </c>
      <c r="U35" s="1310">
        <f t="shared" si="10"/>
        <v>100</v>
      </c>
      <c r="V35" s="1309" t="s">
        <v>5</v>
      </c>
      <c r="W35" s="1310">
        <f t="shared" si="11"/>
        <v>100</v>
      </c>
      <c r="X35" s="1311"/>
      <c r="Y35" s="3632"/>
      <c r="Z35" s="1312">
        <f t="shared" si="12"/>
        <v>111</v>
      </c>
      <c r="AA35" s="1308">
        <f t="shared" si="3"/>
        <v>1</v>
      </c>
      <c r="AB35" s="1308">
        <f t="shared" si="4"/>
        <v>1</v>
      </c>
      <c r="AC35" s="1308">
        <f t="shared" si="5"/>
        <v>1</v>
      </c>
    </row>
    <row r="36" spans="1:29" ht="15">
      <c r="A36" s="2203"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8"/>
      <c r="M36" s="1741"/>
      <c r="N36" s="1741"/>
      <c r="O36" s="1747"/>
      <c r="P36" s="3632"/>
      <c r="Q36" s="1305" t="str">
        <f>B36</f>
        <v>宗地面积</v>
      </c>
      <c r="R36" s="1306" t="s">
        <v>5</v>
      </c>
      <c r="S36" s="1307" t="e">
        <f t="shared" si="9"/>
        <v>#N/A</v>
      </c>
      <c r="T36" s="1306" t="s">
        <v>5</v>
      </c>
      <c r="U36" s="1307" t="e">
        <f t="shared" si="10"/>
        <v>#N/A</v>
      </c>
      <c r="V36" s="1306" t="s">
        <v>5</v>
      </c>
      <c r="W36" s="1307" t="e">
        <f t="shared" si="11"/>
        <v>#N/A</v>
      </c>
      <c r="X36" s="1301"/>
      <c r="Y36" s="3632"/>
      <c r="Z36" s="1308" t="str">
        <f t="shared" si="12"/>
        <v>宗地面积</v>
      </c>
      <c r="AA36" s="1308" t="e">
        <f t="shared" si="3"/>
        <v>#N/A</v>
      </c>
      <c r="AB36" s="1308" t="e">
        <f t="shared" si="4"/>
        <v>#N/A</v>
      </c>
      <c r="AC36" s="1308"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8"/>
      <c r="M37" s="1741"/>
      <c r="N37" s="1741"/>
      <c r="O37" s="1747"/>
      <c r="P37" s="3632"/>
      <c r="Q37" s="1305" t="str">
        <f t="shared" ref="Q37:Q42" si="13">B37</f>
        <v>宗地形状</v>
      </c>
      <c r="R37" s="1306" t="s">
        <v>5</v>
      </c>
      <c r="S37" s="1307">
        <f t="shared" si="9"/>
        <v>100</v>
      </c>
      <c r="T37" s="1306" t="s">
        <v>5</v>
      </c>
      <c r="U37" s="1307">
        <f t="shared" si="10"/>
        <v>100</v>
      </c>
      <c r="V37" s="1306" t="s">
        <v>5</v>
      </c>
      <c r="W37" s="1307">
        <f t="shared" si="11"/>
        <v>100</v>
      </c>
      <c r="X37" s="1301"/>
      <c r="Y37" s="3632"/>
      <c r="Z37" s="1308" t="str">
        <f t="shared" si="12"/>
        <v>宗地形状</v>
      </c>
      <c r="AA37" s="1308">
        <f t="shared" si="3"/>
        <v>1</v>
      </c>
      <c r="AB37" s="1308">
        <f t="shared" si="4"/>
        <v>1</v>
      </c>
      <c r="AC37" s="1308">
        <f t="shared" si="5"/>
        <v>1</v>
      </c>
    </row>
    <row r="38" spans="1:29" s="1060" customFormat="1" ht="15">
      <c r="A38" s="549"/>
      <c r="B38" s="1553"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2"/>
      <c r="M38" s="1639"/>
      <c r="N38" s="1639"/>
      <c r="O38" s="1743"/>
      <c r="P38" s="3632"/>
      <c r="Q38" s="1305" t="str">
        <f t="shared" si="13"/>
        <v>宗地开发程度</v>
      </c>
      <c r="R38" s="1302" t="s">
        <v>5</v>
      </c>
      <c r="S38" s="1303">
        <f t="shared" si="9"/>
        <v>100</v>
      </c>
      <c r="T38" s="1302" t="s">
        <v>5</v>
      </c>
      <c r="U38" s="1303">
        <f t="shared" si="10"/>
        <v>100</v>
      </c>
      <c r="V38" s="1302" t="s">
        <v>5</v>
      </c>
      <c r="W38" s="1303">
        <f t="shared" si="11"/>
        <v>100</v>
      </c>
      <c r="X38" s="1304"/>
      <c r="Y38" s="3632"/>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8"/>
      <c r="M39" s="1741"/>
      <c r="N39" s="1741"/>
      <c r="O39" s="1747"/>
      <c r="P39" s="3632" t="s">
        <v>549</v>
      </c>
      <c r="Q39" s="1305" t="str">
        <f t="shared" si="13"/>
        <v>工程地质条件</v>
      </c>
      <c r="R39" s="1306" t="s">
        <v>5</v>
      </c>
      <c r="S39" s="1307">
        <f t="shared" si="9"/>
        <v>100</v>
      </c>
      <c r="T39" s="1306" t="s">
        <v>5</v>
      </c>
      <c r="U39" s="1307">
        <f t="shared" si="10"/>
        <v>100</v>
      </c>
      <c r="V39" s="1306" t="s">
        <v>5</v>
      </c>
      <c r="W39" s="1307">
        <f t="shared" si="11"/>
        <v>100</v>
      </c>
      <c r="X39" s="1301"/>
      <c r="Y39" s="3632" t="s">
        <v>549</v>
      </c>
      <c r="Z39" s="1308" t="str">
        <f t="shared" si="12"/>
        <v>工程地质条件</v>
      </c>
      <c r="AA39" s="1308">
        <f t="shared" si="3"/>
        <v>1</v>
      </c>
      <c r="AB39" s="1308">
        <f t="shared" si="4"/>
        <v>1</v>
      </c>
      <c r="AC39" s="1308">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8"/>
      <c r="M40" s="1741"/>
      <c r="N40" s="1741"/>
      <c r="O40" s="1747"/>
      <c r="P40" s="3632"/>
      <c r="Q40" s="1305">
        <f t="shared" si="13"/>
        <v>111</v>
      </c>
      <c r="R40" s="1306" t="s">
        <v>5</v>
      </c>
      <c r="S40" s="1307">
        <f t="shared" si="9"/>
        <v>100</v>
      </c>
      <c r="T40" s="1306" t="s">
        <v>5</v>
      </c>
      <c r="U40" s="1307">
        <f t="shared" si="10"/>
        <v>100</v>
      </c>
      <c r="V40" s="1306" t="s">
        <v>5</v>
      </c>
      <c r="W40" s="1307">
        <f t="shared" si="11"/>
        <v>100</v>
      </c>
      <c r="X40" s="1301"/>
      <c r="Y40" s="3632"/>
      <c r="Z40" s="1308">
        <f t="shared" si="12"/>
        <v>111</v>
      </c>
      <c r="AA40" s="1308">
        <f t="shared" si="3"/>
        <v>1</v>
      </c>
      <c r="AB40" s="1308">
        <f t="shared" si="4"/>
        <v>1</v>
      </c>
      <c r="AC40" s="1308">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8"/>
      <c r="M41" s="1741"/>
      <c r="N41" s="1741"/>
      <c r="O41" s="1747"/>
      <c r="P41" s="3632"/>
      <c r="Q41" s="1305">
        <f t="shared" si="13"/>
        <v>111</v>
      </c>
      <c r="R41" s="1306" t="s">
        <v>5</v>
      </c>
      <c r="S41" s="1307">
        <f t="shared" si="9"/>
        <v>100</v>
      </c>
      <c r="T41" s="1306" t="s">
        <v>5</v>
      </c>
      <c r="U41" s="1307">
        <f t="shared" si="10"/>
        <v>100</v>
      </c>
      <c r="V41" s="1306" t="s">
        <v>5</v>
      </c>
      <c r="W41" s="1307">
        <f t="shared" si="11"/>
        <v>100</v>
      </c>
      <c r="X41" s="1301"/>
      <c r="Y41" s="3632"/>
      <c r="Z41" s="1308">
        <f t="shared" si="12"/>
        <v>111</v>
      </c>
      <c r="AA41" s="1308">
        <f t="shared" si="3"/>
        <v>1</v>
      </c>
      <c r="AB41" s="1308">
        <f t="shared" si="4"/>
        <v>1</v>
      </c>
      <c r="AC41" s="1308">
        <f t="shared" si="5"/>
        <v>1</v>
      </c>
    </row>
    <row r="42" spans="1:29" s="1134" customFormat="1" ht="15.6"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6"/>
      <c r="M42" s="1770"/>
      <c r="N42" s="1770"/>
      <c r="O42" s="1749"/>
      <c r="P42" s="3632"/>
      <c r="Q42" s="1305">
        <f t="shared" si="13"/>
        <v>111</v>
      </c>
      <c r="R42" s="1309" t="s">
        <v>5</v>
      </c>
      <c r="S42" s="1310">
        <f t="shared" si="9"/>
        <v>100</v>
      </c>
      <c r="T42" s="1309" t="s">
        <v>5</v>
      </c>
      <c r="U42" s="1310">
        <f t="shared" si="10"/>
        <v>100</v>
      </c>
      <c r="V42" s="1309" t="s">
        <v>5</v>
      </c>
      <c r="W42" s="1310">
        <f t="shared" si="11"/>
        <v>100</v>
      </c>
      <c r="X42" s="1311"/>
      <c r="Y42" s="3632"/>
      <c r="Z42" s="1312">
        <f t="shared" si="12"/>
        <v>111</v>
      </c>
      <c r="AA42" s="1308">
        <f t="shared" si="3"/>
        <v>1</v>
      </c>
      <c r="AB42" s="1308">
        <f t="shared" si="4"/>
        <v>1</v>
      </c>
      <c r="AC42" s="1308">
        <f t="shared" si="5"/>
        <v>1</v>
      </c>
    </row>
    <row r="43" spans="1:29" ht="14.4">
      <c r="A43" s="556" t="s">
        <v>505</v>
      </c>
      <c r="B43" s="557" t="s">
        <v>2197</v>
      </c>
      <c r="C43" s="558" t="s">
        <v>0</v>
      </c>
      <c r="D43" s="559"/>
      <c r="E43" s="560"/>
      <c r="F43" s="561"/>
      <c r="G43" s="562"/>
      <c r="H43" s="563"/>
      <c r="I43" s="560"/>
      <c r="J43" s="563"/>
      <c r="K43" s="1135"/>
      <c r="L43" s="1750"/>
      <c r="M43" s="1741"/>
      <c r="N43" s="1741"/>
      <c r="O43" s="1741"/>
      <c r="P43" s="3627" t="str">
        <f>A43</f>
        <v>成交单价</v>
      </c>
      <c r="Q43" s="3627"/>
      <c r="R43" s="3643">
        <f>E43</f>
        <v>0</v>
      </c>
      <c r="S43" s="3643"/>
      <c r="T43" s="3643">
        <f>G43</f>
        <v>0</v>
      </c>
      <c r="U43" s="3643"/>
      <c r="V43" s="3643">
        <f>I43</f>
        <v>0</v>
      </c>
      <c r="W43" s="3643"/>
      <c r="X43" s="799"/>
      <c r="Y43" s="1313"/>
      <c r="Z43" s="799"/>
      <c r="AA43" s="799"/>
      <c r="AB43" s="799"/>
      <c r="AC43" s="799"/>
    </row>
    <row r="44" spans="1:29" ht="15" thickBot="1">
      <c r="A44" s="564" t="s">
        <v>1975</v>
      </c>
      <c r="B44" s="565"/>
      <c r="C44" s="566" t="e">
        <f>R45</f>
        <v>#DIV/0!</v>
      </c>
      <c r="D44" s="2549" t="s">
        <v>2261</v>
      </c>
      <c r="E44" s="566" t="e">
        <f>R44</f>
        <v>#DIV/0!</v>
      </c>
      <c r="F44" s="2550"/>
      <c r="G44" s="567" t="e">
        <f>T44</f>
        <v>#DIV/0!</v>
      </c>
      <c r="H44" s="2550"/>
      <c r="I44" s="566" t="e">
        <f>V44</f>
        <v>#DIV/0!</v>
      </c>
      <c r="J44" s="2550"/>
      <c r="K44" s="2551">
        <f>F44+H44+J44</f>
        <v>0</v>
      </c>
      <c r="L44" s="1750"/>
      <c r="M44" s="1741"/>
      <c r="N44" s="1741"/>
      <c r="O44" s="1741"/>
      <c r="P44" s="3627" t="str">
        <f>A44</f>
        <v>比较价格（元/平方米）</v>
      </c>
      <c r="Q44" s="3627"/>
      <c r="R44" s="3651" t="e">
        <f>ROUND(PRODUCT(R43,AA9:AA42),0)</f>
        <v>#DIV/0!</v>
      </c>
      <c r="S44" s="3651"/>
      <c r="T44" s="3651" t="e">
        <f>ROUND(PRODUCT(T43,AB9:AB42),0)</f>
        <v>#DIV/0!</v>
      </c>
      <c r="U44" s="3651"/>
      <c r="V44" s="3651" t="e">
        <f>ROUND(PRODUCT(V43,AC9:AC42),0)</f>
        <v>#DIV/0!</v>
      </c>
      <c r="W44" s="3651"/>
      <c r="X44" s="799"/>
      <c r="Y44" s="799"/>
      <c r="Z44" s="799"/>
      <c r="AA44" s="799"/>
      <c r="AB44" s="799"/>
      <c r="AC44" s="799"/>
    </row>
    <row r="45" spans="1:29" ht="15" thickBot="1">
      <c r="A45" s="568" t="s">
        <v>2198</v>
      </c>
      <c r="B45" s="569"/>
      <c r="C45" s="570" t="e">
        <f>R45</f>
        <v>#DIV/0!</v>
      </c>
      <c r="D45" s="570"/>
      <c r="E45" s="570"/>
      <c r="F45" s="570"/>
      <c r="G45" s="570"/>
      <c r="H45" s="570"/>
      <c r="I45" s="570"/>
      <c r="J45" s="570"/>
      <c r="K45" s="1136"/>
      <c r="L45" s="1750"/>
      <c r="M45" s="1741"/>
      <c r="N45" s="1741"/>
      <c r="O45" s="1741"/>
      <c r="P45" s="3633" t="str">
        <f>A45</f>
        <v>估价对象XX用房的比较价格（楼面单价，元/平方米）</v>
      </c>
      <c r="Q45" s="3634"/>
      <c r="R45" s="3656" t="e">
        <f>ROUND(IF(D44="简单平均",AVERAGE(R44:W44),R44*F44+T44*H44+V44*J44),0)</f>
        <v>#DIV/0!</v>
      </c>
      <c r="S45" s="3656"/>
      <c r="T45" s="3656"/>
      <c r="U45" s="3656"/>
      <c r="V45" s="3656"/>
      <c r="W45" s="3656"/>
      <c r="X45" s="799"/>
      <c r="Y45" s="799"/>
      <c r="Z45" s="799"/>
      <c r="AA45" s="799"/>
      <c r="AB45" s="799"/>
      <c r="AC45" s="799"/>
    </row>
    <row r="46" spans="1:29">
      <c r="A46" s="2720"/>
      <c r="B46" s="2720"/>
      <c r="C46" s="2720"/>
      <c r="D46" s="2720"/>
      <c r="E46" s="2720"/>
      <c r="F46" s="2720"/>
      <c r="G46" s="2722"/>
      <c r="H46" s="2720"/>
      <c r="I46" s="2720"/>
      <c r="J46" s="2720"/>
      <c r="K46" s="2723"/>
      <c r="L46" s="1754"/>
      <c r="M46" s="1741"/>
      <c r="N46" s="1741"/>
      <c r="O46" s="1741"/>
      <c r="P46" s="1741"/>
      <c r="Q46" s="1741"/>
      <c r="R46" s="1741"/>
      <c r="S46" s="1741"/>
      <c r="T46" s="1741"/>
      <c r="U46" s="1741"/>
      <c r="V46" s="1741"/>
      <c r="W46" s="1741"/>
      <c r="X46" s="1741"/>
      <c r="Y46" s="1741"/>
      <c r="Z46" s="1741"/>
      <c r="AA46" s="1741"/>
      <c r="AB46" s="1741"/>
      <c r="AC46" s="1741"/>
    </row>
    <row r="47" spans="1:29">
      <c r="A47" s="2720"/>
      <c r="B47" s="2720"/>
      <c r="C47" s="2720"/>
      <c r="D47" s="2720"/>
      <c r="E47" s="2720"/>
      <c r="F47" s="2720"/>
      <c r="G47" s="2720"/>
      <c r="H47" s="2720"/>
      <c r="I47" s="2720"/>
      <c r="J47" s="2720"/>
      <c r="K47" s="2723"/>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20"/>
      <c r="B48" s="2720"/>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3"/>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20"/>
      <c r="B49" s="2720"/>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3"/>
      <c r="L49" s="1754"/>
      <c r="M49" s="1741"/>
      <c r="N49" s="1741"/>
      <c r="O49" s="1741"/>
      <c r="P49" s="1741"/>
      <c r="Q49" s="1741"/>
      <c r="R49" s="1741"/>
      <c r="S49" s="1741"/>
      <c r="T49" s="1741"/>
      <c r="U49" s="1741"/>
      <c r="V49" s="1741"/>
      <c r="W49" s="1741"/>
      <c r="X49" s="1741"/>
      <c r="Y49" s="1741"/>
      <c r="Z49" s="1741"/>
      <c r="AA49" s="1741"/>
      <c r="AB49" s="1741"/>
      <c r="AC49" s="1741"/>
    </row>
    <row r="50" spans="1:29" s="1139" customFormat="1" ht="13.5" customHeight="1">
      <c r="A50" s="2721"/>
      <c r="B50" s="2721"/>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4"/>
      <c r="L50" s="1757"/>
      <c r="M50" s="1751"/>
      <c r="N50" s="1751"/>
      <c r="O50" s="1751"/>
      <c r="P50" s="1751"/>
      <c r="Q50" s="1751"/>
      <c r="R50" s="1751"/>
      <c r="S50" s="1751"/>
      <c r="T50" s="1751"/>
      <c r="U50" s="1751"/>
      <c r="V50" s="1751"/>
      <c r="W50" s="1751"/>
      <c r="X50" s="1751"/>
      <c r="Y50" s="1751"/>
      <c r="Z50" s="1751"/>
      <c r="AA50" s="1751"/>
      <c r="AB50" s="1751"/>
      <c r="AC50" s="1751"/>
    </row>
    <row r="51" spans="1:29" s="1139" customFormat="1" ht="14.4" thickBot="1">
      <c r="A51" s="2721"/>
      <c r="B51" s="2732"/>
      <c r="C51" s="1755"/>
      <c r="D51" s="1751"/>
      <c r="E51" s="1751"/>
      <c r="F51" s="1751"/>
      <c r="G51" s="1751"/>
      <c r="H51" s="1751"/>
      <c r="I51" s="1751"/>
      <c r="J51" s="1751"/>
      <c r="K51" s="2724"/>
      <c r="L51" s="1757"/>
      <c r="M51" s="1751"/>
      <c r="N51" s="1751"/>
      <c r="O51" s="1751"/>
      <c r="P51" s="1751"/>
      <c r="Q51" s="1751"/>
      <c r="R51" s="1751"/>
      <c r="S51" s="1751"/>
      <c r="T51" s="1751"/>
      <c r="U51" s="1751"/>
      <c r="V51" s="1751"/>
      <c r="W51" s="1751"/>
      <c r="X51" s="1751"/>
      <c r="Y51" s="1751"/>
      <c r="Z51" s="1751"/>
      <c r="AA51" s="1751"/>
      <c r="AB51" s="1751"/>
      <c r="AC51" s="1751"/>
    </row>
    <row r="52" spans="1:29" ht="28.8">
      <c r="A52" s="576" t="s">
        <v>509</v>
      </c>
      <c r="B52" s="577" t="s">
        <v>510</v>
      </c>
      <c r="C52" s="1299" t="s">
        <v>1253</v>
      </c>
      <c r="D52" s="1820" t="s">
        <v>1650</v>
      </c>
      <c r="E52" s="578" t="s">
        <v>511</v>
      </c>
      <c r="F52" s="1609" t="s">
        <v>512</v>
      </c>
      <c r="G52" s="3652" t="s">
        <v>1642</v>
      </c>
      <c r="H52" s="3653"/>
      <c r="I52" s="1610" t="s">
        <v>1465</v>
      </c>
      <c r="J52" s="1296" t="str">
        <f>项目基本情况!F41</f>
        <v>江苏省淮安市淮安区</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40" customFormat="1" ht="13.2">
      <c r="A53" s="580" t="s">
        <v>513</v>
      </c>
      <c r="B53" s="581" t="e">
        <f>C45</f>
        <v>#DIV/0!</v>
      </c>
      <c r="C53" s="582">
        <v>1</v>
      </c>
      <c r="D53" s="1821">
        <v>1</v>
      </c>
      <c r="E53" s="582">
        <f>'数据-汇总表'!E8+'数据-汇总表'!E9</f>
        <v>28022</v>
      </c>
      <c r="F53" s="1608" t="e">
        <f t="shared" ref="F53:F61" si="14">ROUND(B53*E53/10000,0)</f>
        <v>#DIV/0!</v>
      </c>
      <c r="G53" s="3654"/>
      <c r="H53" s="3655"/>
      <c r="I53" s="1611">
        <v>1</v>
      </c>
      <c r="J53" s="1297">
        <v>1</v>
      </c>
      <c r="K53" s="2725"/>
      <c r="L53" s="1759"/>
      <c r="M53" s="1759"/>
      <c r="N53" s="1759"/>
      <c r="O53" s="1759"/>
      <c r="P53" s="1759"/>
      <c r="Q53" s="1759"/>
      <c r="R53" s="1759"/>
      <c r="S53" s="1759"/>
      <c r="T53" s="1759"/>
      <c r="U53" s="1759"/>
      <c r="V53" s="1759"/>
      <c r="W53" s="1759"/>
      <c r="X53" s="1759"/>
      <c r="Y53" s="1759"/>
      <c r="Z53" s="1759"/>
      <c r="AA53" s="1759"/>
      <c r="AB53" s="1759"/>
      <c r="AC53" s="1759"/>
    </row>
    <row r="54" spans="1:29" s="1140" customFormat="1" ht="13.2">
      <c r="A54" s="584" t="s">
        <v>514</v>
      </c>
      <c r="B54" s="585" t="e">
        <f>ROUND($C$45*C54*D54,0)</f>
        <v>#DIV/0!</v>
      </c>
      <c r="C54" s="348">
        <f t="shared" ref="C54:C61" si="15">IF($C$52="北京市系数",I54,J54)</f>
        <v>0</v>
      </c>
      <c r="D54" s="1822">
        <v>0.25</v>
      </c>
      <c r="E54" s="586"/>
      <c r="F54" s="1608" t="e">
        <f t="shared" si="14"/>
        <v>#DIV/0!</v>
      </c>
      <c r="G54" s="3028" t="s">
        <v>1643</v>
      </c>
      <c r="H54" s="1612">
        <f>项目基本情况!B43</f>
        <v>0</v>
      </c>
      <c r="I54" s="1611">
        <f>SUMIF(修正!$A$59:$A$70,H54,修正!B59:B70)</f>
        <v>0</v>
      </c>
      <c r="J54" s="1298"/>
      <c r="K54" s="2725"/>
      <c r="L54" s="1759"/>
      <c r="M54" s="1759"/>
      <c r="N54" s="1759"/>
      <c r="O54" s="1759"/>
      <c r="P54" s="1759"/>
      <c r="Q54" s="1759"/>
      <c r="R54" s="1759"/>
      <c r="S54" s="1759"/>
      <c r="T54" s="1759"/>
      <c r="U54" s="1759"/>
      <c r="V54" s="1759"/>
      <c r="W54" s="1759"/>
      <c r="X54" s="1759"/>
      <c r="Y54" s="1759"/>
      <c r="Z54" s="1759"/>
      <c r="AA54" s="1759"/>
      <c r="AB54" s="1759"/>
      <c r="AC54" s="1759"/>
    </row>
    <row r="55" spans="1:29" s="1140" customFormat="1" ht="13.2">
      <c r="A55" s="584" t="s">
        <v>515</v>
      </c>
      <c r="B55" s="585" t="e">
        <f t="shared" ref="B55:B61" si="16">ROUND($C$45*C55*D55,0)</f>
        <v>#DIV/0!</v>
      </c>
      <c r="C55" s="348">
        <f t="shared" si="15"/>
        <v>0</v>
      </c>
      <c r="D55" s="1822">
        <v>0.25</v>
      </c>
      <c r="E55" s="586"/>
      <c r="F55" s="1608" t="e">
        <f t="shared" si="14"/>
        <v>#DIV/0!</v>
      </c>
      <c r="G55" s="3029"/>
      <c r="H55" s="1613">
        <f>项目基本情况!B43</f>
        <v>0</v>
      </c>
      <c r="I55" s="1611">
        <f>SUMIF(修正!$A$59:$A$70,H55,修正!C59:C70)</f>
        <v>0</v>
      </c>
      <c r="J55" s="1298"/>
      <c r="K55" s="2725"/>
      <c r="L55" s="1759"/>
      <c r="M55" s="1759"/>
      <c r="N55" s="1759"/>
      <c r="O55" s="1759"/>
      <c r="P55" s="1759"/>
      <c r="Q55" s="1759"/>
      <c r="R55" s="1759"/>
      <c r="S55" s="1759"/>
      <c r="T55" s="1759"/>
      <c r="U55" s="1759"/>
      <c r="V55" s="1759"/>
      <c r="W55" s="1759"/>
      <c r="X55" s="1759"/>
      <c r="Y55" s="1759"/>
      <c r="Z55" s="1759"/>
      <c r="AA55" s="1759"/>
      <c r="AB55" s="1759"/>
      <c r="AC55" s="1759"/>
    </row>
    <row r="56" spans="1:29" s="1140" customFormat="1" ht="13.2">
      <c r="A56" s="584" t="s">
        <v>516</v>
      </c>
      <c r="B56" s="585" t="e">
        <f t="shared" si="16"/>
        <v>#DIV/0!</v>
      </c>
      <c r="C56" s="348">
        <f t="shared" si="15"/>
        <v>0</v>
      </c>
      <c r="D56" s="1822">
        <v>0.25</v>
      </c>
      <c r="E56" s="586"/>
      <c r="F56" s="1608" t="e">
        <f t="shared" si="14"/>
        <v>#DIV/0!</v>
      </c>
      <c r="G56" s="3029"/>
      <c r="H56" s="1613">
        <f>项目基本情况!B43</f>
        <v>0</v>
      </c>
      <c r="I56" s="1611">
        <f>SUMIF(修正!$A$59:$A$70,H56,修正!D59:D70)</f>
        <v>0</v>
      </c>
      <c r="J56" s="1298"/>
      <c r="K56" s="2725"/>
      <c r="L56" s="1759"/>
      <c r="M56" s="1759"/>
      <c r="N56" s="1759"/>
      <c r="O56" s="1759"/>
      <c r="P56" s="1759"/>
      <c r="Q56" s="1759"/>
      <c r="R56" s="1759"/>
      <c r="S56" s="1759"/>
      <c r="T56" s="1759"/>
      <c r="U56" s="1759"/>
      <c r="V56" s="1759"/>
      <c r="W56" s="1759"/>
      <c r="X56" s="1759"/>
      <c r="Y56" s="1759"/>
      <c r="Z56" s="1759"/>
      <c r="AA56" s="1759"/>
      <c r="AB56" s="1759"/>
      <c r="AC56" s="1759"/>
    </row>
    <row r="57" spans="1:29" s="1140" customFormat="1" ht="13.2">
      <c r="A57" s="1918" t="s">
        <v>1685</v>
      </c>
      <c r="B57" s="585" t="e">
        <f t="shared" si="16"/>
        <v>#DIV/0!</v>
      </c>
      <c r="C57" s="348">
        <f t="shared" si="15"/>
        <v>0</v>
      </c>
      <c r="D57" s="1822">
        <v>0.25</v>
      </c>
      <c r="E57" s="588">
        <f>'数据-汇总表'!E11</f>
        <v>0</v>
      </c>
      <c r="F57" s="1608" t="e">
        <f t="shared" si="14"/>
        <v>#DIV/0!</v>
      </c>
      <c r="G57" s="1614" t="s">
        <v>1644</v>
      </c>
      <c r="H57" s="1613">
        <f>项目基本情况!C43</f>
        <v>0</v>
      </c>
      <c r="I57" s="1611">
        <f>SUMIF(修正!$A$59:$A$70,H57,修正!E59:E70)</f>
        <v>0</v>
      </c>
      <c r="J57" s="1298"/>
      <c r="K57" s="2725"/>
      <c r="L57" s="1759"/>
      <c r="M57" s="1759"/>
      <c r="N57" s="1759"/>
      <c r="O57" s="1759"/>
      <c r="P57" s="1759"/>
      <c r="Q57" s="1759"/>
      <c r="R57" s="1759"/>
      <c r="S57" s="1759"/>
      <c r="T57" s="1759"/>
      <c r="U57" s="1759"/>
      <c r="V57" s="1759"/>
      <c r="W57" s="1759"/>
      <c r="X57" s="1759"/>
      <c r="Y57" s="1759"/>
      <c r="Z57" s="1759"/>
      <c r="AA57" s="1759"/>
      <c r="AB57" s="1759"/>
      <c r="AC57" s="1759"/>
    </row>
    <row r="58" spans="1:29" s="1140" customFormat="1" ht="13.2">
      <c r="A58" s="584" t="s">
        <v>517</v>
      </c>
      <c r="B58" s="585" t="e">
        <f t="shared" si="16"/>
        <v>#DIV/0!</v>
      </c>
      <c r="C58" s="348">
        <f t="shared" si="15"/>
        <v>0</v>
      </c>
      <c r="D58" s="1822">
        <v>0.25</v>
      </c>
      <c r="E58" s="588">
        <f>'数据-汇总表'!E12</f>
        <v>0</v>
      </c>
      <c r="F58" s="1608" t="e">
        <f t="shared" si="14"/>
        <v>#DIV/0!</v>
      </c>
      <c r="G58" s="1604" t="s">
        <v>1212</v>
      </c>
      <c r="H58" s="1612">
        <f>IF(G58="商业",项目基本情况!B43,IF(G58="办公",项目基本情况!C43,IF(G58="住宅",项目基本情况!D43,项目基本情况!E43)))</f>
        <v>0</v>
      </c>
      <c r="I58" s="1611">
        <f>SUMIF(修正!$A$59:$A$70,H58,修正!F59:F70)</f>
        <v>0</v>
      </c>
      <c r="J58" s="1298"/>
      <c r="K58" s="2725"/>
      <c r="L58" s="1759"/>
      <c r="M58" s="1759"/>
      <c r="N58" s="1759"/>
      <c r="O58" s="1759"/>
      <c r="P58" s="1759"/>
      <c r="Q58" s="1759"/>
      <c r="R58" s="1759"/>
      <c r="S58" s="1759"/>
      <c r="T58" s="1759"/>
      <c r="U58" s="1759"/>
      <c r="V58" s="1759"/>
      <c r="W58" s="1759"/>
      <c r="X58" s="1759"/>
      <c r="Y58" s="1759"/>
      <c r="Z58" s="1759"/>
      <c r="AA58" s="1759"/>
      <c r="AB58" s="1759"/>
      <c r="AC58" s="1759"/>
    </row>
    <row r="59" spans="1:29" s="1140" customFormat="1" ht="13.2">
      <c r="A59" s="584" t="s">
        <v>518</v>
      </c>
      <c r="B59" s="585" t="e">
        <f t="shared" si="16"/>
        <v>#DIV/0!</v>
      </c>
      <c r="C59" s="348">
        <f t="shared" si="15"/>
        <v>0</v>
      </c>
      <c r="D59" s="1822">
        <v>0.25</v>
      </c>
      <c r="E59" s="588">
        <f>'数据-汇总表'!E13</f>
        <v>0</v>
      </c>
      <c r="F59" s="1608" t="e">
        <f t="shared" si="14"/>
        <v>#DIV/0!</v>
      </c>
      <c r="G59" s="1604" t="s">
        <v>851</v>
      </c>
      <c r="H59" s="1612">
        <f>IF(G59="商业",项目基本情况!B43,IF(G59="办公",项目基本情况!C43,IF(G59="住宅",项目基本情况!D43,项目基本情况!E43)))</f>
        <v>0</v>
      </c>
      <c r="I59" s="1611">
        <f>SUMIF(修正!$A$59:$A$70,H59,修正!G59:G70)</f>
        <v>0</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40" customFormat="1" ht="13.2">
      <c r="A60" s="584" t="s">
        <v>519</v>
      </c>
      <c r="B60" s="585" t="e">
        <f t="shared" si="16"/>
        <v>#DIV/0!</v>
      </c>
      <c r="C60" s="348">
        <f t="shared" si="15"/>
        <v>0</v>
      </c>
      <c r="D60" s="1822">
        <v>0.25</v>
      </c>
      <c r="E60" s="588">
        <f>'数据-汇总表'!E14</f>
        <v>0</v>
      </c>
      <c r="F60" s="1608" t="e">
        <f t="shared" si="14"/>
        <v>#DIV/0!</v>
      </c>
      <c r="G60" s="1614" t="s">
        <v>1643</v>
      </c>
      <c r="H60" s="1613">
        <f>项目基本情况!B43</f>
        <v>0</v>
      </c>
      <c r="I60" s="1611">
        <f>SUMIF(修正!$A$59:$A$70,H60,修正!G59:G70)</f>
        <v>0</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40" customFormat="1" thickBot="1">
      <c r="A61" s="584" t="s">
        <v>520</v>
      </c>
      <c r="B61" s="585" t="e">
        <f t="shared" si="16"/>
        <v>#DIV/0!</v>
      </c>
      <c r="C61" s="348">
        <f t="shared" si="15"/>
        <v>0</v>
      </c>
      <c r="D61" s="1822">
        <v>0.25</v>
      </c>
      <c r="E61" s="588">
        <f>'数据-汇总表'!E15</f>
        <v>0</v>
      </c>
      <c r="F61" s="1608" t="e">
        <f t="shared" si="14"/>
        <v>#DIV/0!</v>
      </c>
      <c r="G61" s="1615" t="s">
        <v>1644</v>
      </c>
      <c r="H61" s="1616">
        <f>项目基本情况!C43</f>
        <v>0</v>
      </c>
      <c r="I61" s="1611">
        <f>SUMIF(修正!$A$59:$A$70,H61,修正!G59:G70)</f>
        <v>0</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40" customFormat="1" thickBot="1">
      <c r="A62" s="589" t="s">
        <v>521</v>
      </c>
      <c r="B62" s="590" t="s">
        <v>11</v>
      </c>
      <c r="C62" s="590" t="s">
        <v>12</v>
      </c>
      <c r="D62" s="590" t="s">
        <v>1651</v>
      </c>
      <c r="E62" s="590">
        <f>IF(B43="楼面地价",SUM(E53:E61),'数据-汇总表'!D3)</f>
        <v>21555</v>
      </c>
      <c r="F62" s="591" t="e">
        <f>IF(B43="楼面地价",SUM(F53:F61),ROUND(C45*E62/10000,0))</f>
        <v>#DIV/0!</v>
      </c>
      <c r="G62" s="1760"/>
      <c r="H62" s="1760"/>
      <c r="I62" s="1760"/>
      <c r="J62" s="1760"/>
      <c r="K62" s="2733"/>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1" t="str">
        <f>YEAR(C9)&amp;"-"&amp;MONTH(C9)&amp;"-1"</f>
        <v>2025-7-1</v>
      </c>
      <c r="D64" s="2110">
        <f>EDATE(C64,-3)</f>
        <v>45748</v>
      </c>
      <c r="E64" s="2110">
        <f t="shared" ref="E64:N64" si="17">EDATE(D64,-3)</f>
        <v>45658</v>
      </c>
      <c r="F64" s="2110">
        <f t="shared" si="17"/>
        <v>45566</v>
      </c>
      <c r="G64" s="2110">
        <f t="shared" si="17"/>
        <v>45474</v>
      </c>
      <c r="H64" s="2110">
        <f t="shared" si="17"/>
        <v>45383</v>
      </c>
      <c r="I64" s="2110">
        <f t="shared" si="17"/>
        <v>45292</v>
      </c>
      <c r="J64" s="2110">
        <f t="shared" si="17"/>
        <v>45200</v>
      </c>
      <c r="K64" s="2110">
        <f t="shared" si="17"/>
        <v>45108</v>
      </c>
      <c r="L64" s="2110">
        <f t="shared" si="17"/>
        <v>45017</v>
      </c>
      <c r="M64" s="2110">
        <f t="shared" si="17"/>
        <v>44927</v>
      </c>
      <c r="N64" s="2110">
        <f t="shared" si="17"/>
        <v>44835</v>
      </c>
      <c r="O64" s="1741"/>
      <c r="P64" s="1741"/>
      <c r="Q64" s="1741"/>
      <c r="R64" s="1741"/>
      <c r="S64" s="1741"/>
      <c r="T64" s="1741"/>
      <c r="U64" s="1741"/>
      <c r="V64" s="1741"/>
      <c r="W64" s="1741"/>
      <c r="X64" s="1741"/>
      <c r="Y64" s="1741"/>
      <c r="Z64" s="1741"/>
      <c r="AA64" s="1741"/>
      <c r="AB64" s="1741"/>
      <c r="AC64" s="1741"/>
    </row>
    <row r="65" spans="1:29" ht="22.2" thickBot="1">
      <c r="A65" s="1316" t="s">
        <v>522</v>
      </c>
      <c r="B65" s="799"/>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29" s="1141" customFormat="1" ht="14.4">
      <c r="A66" s="2041" t="s">
        <v>1816</v>
      </c>
      <c r="B66" s="593"/>
      <c r="C66" s="155" t="str">
        <f>YEAR(C64)&amp;"-"&amp;ROUNDUP(MONTH(C64)/3,0)</f>
        <v>2025-3</v>
      </c>
      <c r="D66" s="155" t="str">
        <f t="shared" ref="D66:N66" si="18">YEAR(D64)&amp;"-"&amp;ROUNDUP(MONTH(D64)/3,0)</f>
        <v>2025-2</v>
      </c>
      <c r="E66" s="155" t="str">
        <f t="shared" si="18"/>
        <v>2025-1</v>
      </c>
      <c r="F66" s="155" t="str">
        <f t="shared" si="18"/>
        <v>2024-4</v>
      </c>
      <c r="G66" s="155" t="str">
        <f t="shared" si="18"/>
        <v>2024-3</v>
      </c>
      <c r="H66" s="155" t="str">
        <f t="shared" si="18"/>
        <v>2024-2</v>
      </c>
      <c r="I66" s="155" t="str">
        <f t="shared" si="18"/>
        <v>2024-1</v>
      </c>
      <c r="J66" s="155" t="str">
        <f t="shared" si="18"/>
        <v>2023-4</v>
      </c>
      <c r="K66" s="155" t="str">
        <f t="shared" si="18"/>
        <v>2023-3</v>
      </c>
      <c r="L66" s="155" t="str">
        <f t="shared" si="18"/>
        <v>2023-2</v>
      </c>
      <c r="M66" s="155" t="str">
        <f t="shared" si="18"/>
        <v>2023-1</v>
      </c>
      <c r="N66" s="155" t="str">
        <f t="shared" si="18"/>
        <v>2022-4</v>
      </c>
      <c r="O66" s="1763"/>
      <c r="P66" s="1764"/>
      <c r="Q66" s="1764"/>
      <c r="R66" s="1764"/>
      <c r="S66" s="1764"/>
      <c r="T66" s="1764"/>
      <c r="U66" s="1764"/>
      <c r="V66" s="1764"/>
      <c r="W66" s="1764"/>
      <c r="X66" s="1764"/>
      <c r="Y66" s="1764"/>
      <c r="Z66" s="1764"/>
      <c r="AA66" s="1764"/>
      <c r="AB66" s="1764"/>
      <c r="AC66" s="1764"/>
    </row>
    <row r="67" spans="1:29" s="1060" customFormat="1" ht="27.75" customHeight="1">
      <c r="A67" s="2109" t="s">
        <v>1931</v>
      </c>
      <c r="B67" s="448" t="str">
        <f>"北京市平均增长率"&amp;TEXT(基准地价!P28,"0.00%")</f>
        <v>北京市平均增长率0.00%</v>
      </c>
      <c r="C67" s="818">
        <v>100</v>
      </c>
      <c r="D67" s="79"/>
      <c r="E67" s="79"/>
      <c r="F67" s="79"/>
      <c r="G67" s="79"/>
      <c r="H67" s="79"/>
      <c r="I67" s="79"/>
      <c r="J67" s="79"/>
      <c r="K67" s="79"/>
      <c r="L67" s="79"/>
      <c r="M67" s="91"/>
      <c r="N67" s="534"/>
      <c r="O67" s="1765"/>
      <c r="P67" s="1762"/>
      <c r="Q67" s="1639"/>
      <c r="R67" s="1639"/>
      <c r="S67" s="1639"/>
      <c r="T67" s="1639"/>
      <c r="U67" s="1639"/>
      <c r="V67" s="1639"/>
      <c r="W67" s="1639"/>
      <c r="X67" s="1639"/>
      <c r="Y67" s="1639"/>
      <c r="Z67" s="1639"/>
      <c r="AA67" s="1639"/>
      <c r="AB67" s="1639"/>
      <c r="AC67" s="1639"/>
    </row>
    <row r="68" spans="1:29" s="1060" customFormat="1" ht="15" thickBot="1">
      <c r="A68" s="262" t="s">
        <v>523</v>
      </c>
      <c r="B68" s="598"/>
      <c r="C68" s="2106"/>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29" s="1060" customFormat="1" ht="14.4">
      <c r="A69" s="603" t="s">
        <v>480</v>
      </c>
      <c r="B69" s="594"/>
      <c r="C69" s="604" t="s">
        <v>524</v>
      </c>
      <c r="D69" s="80"/>
      <c r="E69" s="80"/>
      <c r="F69" s="80"/>
      <c r="G69" s="80"/>
      <c r="H69" s="80"/>
      <c r="I69" s="80"/>
      <c r="J69" s="80"/>
      <c r="K69" s="80"/>
      <c r="L69" s="605"/>
      <c r="M69" s="606"/>
      <c r="N69" s="2734"/>
      <c r="O69" s="1765"/>
      <c r="P69" s="1646"/>
      <c r="Q69" s="1762"/>
      <c r="R69" s="1639"/>
      <c r="S69" s="1639"/>
      <c r="T69" s="1639"/>
      <c r="U69" s="1639"/>
      <c r="V69" s="1639"/>
      <c r="W69" s="1639"/>
      <c r="X69" s="1639"/>
      <c r="Y69" s="1639"/>
      <c r="Z69" s="1639"/>
      <c r="AA69" s="1639"/>
      <c r="AB69" s="1639"/>
      <c r="AC69" s="1639"/>
    </row>
    <row r="70" spans="1:29" s="1060" customFormat="1" ht="14.4" thickBot="1">
      <c r="A70" s="603"/>
      <c r="B70" s="594"/>
      <c r="C70" s="595">
        <v>100</v>
      </c>
      <c r="D70" s="596"/>
      <c r="E70" s="596"/>
      <c r="F70" s="596"/>
      <c r="G70" s="596"/>
      <c r="H70" s="596"/>
      <c r="I70" s="596"/>
      <c r="J70" s="596"/>
      <c r="K70" s="596"/>
      <c r="L70" s="596"/>
      <c r="M70" s="597"/>
      <c r="N70" s="2734"/>
      <c r="O70" s="1765"/>
      <c r="P70" s="1762"/>
      <c r="Q70" s="1762"/>
      <c r="R70" s="1639"/>
      <c r="S70" s="1639"/>
      <c r="T70" s="1639"/>
      <c r="U70" s="1639"/>
      <c r="V70" s="1639"/>
      <c r="W70" s="1639"/>
      <c r="X70" s="1639"/>
      <c r="Y70" s="1639"/>
      <c r="Z70" s="1639"/>
      <c r="AA70" s="1639"/>
      <c r="AB70" s="1639"/>
      <c r="AC70" s="1639"/>
    </row>
    <row r="71" spans="1:29" ht="14.4">
      <c r="A71" s="607" t="s">
        <v>525</v>
      </c>
      <c r="B71" s="608" t="s">
        <v>483</v>
      </c>
      <c r="C71" s="547"/>
      <c r="D71" s="547"/>
      <c r="E71" s="547"/>
      <c r="F71" s="547"/>
      <c r="G71" s="547"/>
      <c r="H71" s="547"/>
      <c r="I71" s="547"/>
      <c r="J71" s="547"/>
      <c r="K71" s="609"/>
      <c r="L71" s="610"/>
      <c r="M71" s="611"/>
      <c r="N71" s="2735"/>
      <c r="O71" s="1766"/>
      <c r="P71" s="1765"/>
      <c r="Q71" s="1762"/>
      <c r="R71" s="1741"/>
      <c r="S71" s="1741"/>
      <c r="T71" s="1741"/>
      <c r="U71" s="1741"/>
      <c r="V71" s="1741"/>
      <c r="W71" s="1741"/>
      <c r="X71" s="1741"/>
      <c r="Y71" s="1741"/>
      <c r="Z71" s="1741"/>
      <c r="AA71" s="1741"/>
      <c r="AB71" s="1741"/>
      <c r="AC71" s="1741"/>
    </row>
    <row r="72" spans="1:29" ht="14.4" thickBot="1">
      <c r="A72" s="482"/>
      <c r="B72" s="612"/>
      <c r="C72" s="613"/>
      <c r="D72" s="613"/>
      <c r="E72" s="613"/>
      <c r="F72" s="613"/>
      <c r="G72" s="613"/>
      <c r="H72" s="613"/>
      <c r="I72" s="613"/>
      <c r="J72" s="613"/>
      <c r="K72" s="613"/>
      <c r="L72" s="613"/>
      <c r="M72" s="614"/>
      <c r="N72" s="2736"/>
      <c r="O72" s="1767"/>
      <c r="P72" s="1765"/>
      <c r="Q72" s="1762"/>
      <c r="R72" s="1741"/>
      <c r="S72" s="1741"/>
      <c r="T72" s="1741"/>
      <c r="U72" s="1741"/>
      <c r="V72" s="1741"/>
      <c r="W72" s="1741"/>
      <c r="X72" s="1741"/>
      <c r="Y72" s="1741"/>
      <c r="Z72" s="1741"/>
      <c r="AA72" s="1741"/>
      <c r="AB72" s="1741"/>
      <c r="AC72" s="1741"/>
    </row>
    <row r="73" spans="1:29" ht="29.4" thickTop="1">
      <c r="A73" s="482"/>
      <c r="B73" s="615" t="s">
        <v>486</v>
      </c>
      <c r="C73" s="616"/>
      <c r="D73" s="616"/>
      <c r="E73" s="616"/>
      <c r="F73" s="616"/>
      <c r="G73" s="616"/>
      <c r="H73" s="616"/>
      <c r="I73" s="616"/>
      <c r="J73" s="616"/>
      <c r="K73" s="617"/>
      <c r="L73" s="618"/>
      <c r="M73" s="619"/>
      <c r="N73" s="2735"/>
      <c r="O73" s="1766"/>
      <c r="P73" s="1765"/>
      <c r="Q73" s="1762"/>
      <c r="R73" s="1741"/>
      <c r="S73" s="1741"/>
      <c r="T73" s="1741"/>
      <c r="U73" s="1741"/>
      <c r="V73" s="1741"/>
      <c r="W73" s="1741"/>
      <c r="X73" s="1741"/>
      <c r="Y73" s="1741"/>
      <c r="Z73" s="1741"/>
      <c r="AA73" s="1741"/>
      <c r="AB73" s="1741"/>
      <c r="AC73" s="1741"/>
    </row>
    <row r="74" spans="1:29" ht="14.4" thickBot="1">
      <c r="A74" s="482"/>
      <c r="B74" s="620"/>
      <c r="C74" s="621"/>
      <c r="D74" s="621"/>
      <c r="E74" s="621"/>
      <c r="F74" s="621"/>
      <c r="G74" s="621"/>
      <c r="H74" s="621"/>
      <c r="I74" s="621"/>
      <c r="J74" s="621"/>
      <c r="K74" s="621"/>
      <c r="L74" s="621"/>
      <c r="M74" s="622"/>
      <c r="N74" s="2736"/>
      <c r="O74" s="1767"/>
      <c r="P74" s="1765"/>
      <c r="Q74" s="1762"/>
      <c r="R74" s="1741"/>
      <c r="S74" s="1741"/>
      <c r="T74" s="1741"/>
      <c r="U74" s="1741"/>
      <c r="V74" s="1741"/>
      <c r="W74" s="1741"/>
      <c r="X74" s="1741"/>
      <c r="Y74" s="1741"/>
      <c r="Z74" s="1741"/>
      <c r="AA74" s="1741"/>
      <c r="AB74" s="1741"/>
      <c r="AC74" s="1741"/>
    </row>
    <row r="75" spans="1:29" ht="1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6"/>
      <c r="O75" s="1767"/>
      <c r="P75" s="1765"/>
      <c r="Q75" s="1762"/>
      <c r="R75" s="1741"/>
      <c r="S75" s="1741"/>
      <c r="T75" s="1741"/>
      <c r="U75" s="1741"/>
      <c r="V75" s="1741"/>
      <c r="W75" s="1741"/>
      <c r="X75" s="1741"/>
      <c r="Y75" s="1741"/>
      <c r="Z75" s="1741"/>
      <c r="AA75" s="1741"/>
      <c r="AB75" s="1741"/>
      <c r="AC75" s="1741"/>
    </row>
    <row r="76" spans="1:29">
      <c r="A76" s="482"/>
      <c r="B76" s="625"/>
      <c r="C76" s="491"/>
      <c r="D76" s="491"/>
      <c r="E76" s="491"/>
      <c r="F76" s="491"/>
      <c r="G76" s="491"/>
      <c r="H76" s="491"/>
      <c r="I76" s="491"/>
      <c r="J76" s="491"/>
      <c r="K76" s="626"/>
      <c r="L76" s="627"/>
      <c r="M76" s="628"/>
      <c r="N76" s="2735"/>
      <c r="O76" s="1766"/>
      <c r="P76" s="1765"/>
      <c r="Q76" s="1762"/>
      <c r="R76" s="1741"/>
      <c r="S76" s="1741"/>
      <c r="T76" s="1741"/>
      <c r="U76" s="1741"/>
      <c r="V76" s="1741"/>
      <c r="W76" s="1741"/>
      <c r="X76" s="1741"/>
      <c r="Y76" s="1741"/>
      <c r="Z76" s="1741"/>
      <c r="AA76" s="1741"/>
      <c r="AB76" s="1741"/>
      <c r="AC76" s="1741"/>
    </row>
    <row r="77" spans="1:29" ht="14.4"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6"/>
      <c r="O77" s="1767"/>
      <c r="P77" s="1765"/>
      <c r="Q77" s="1762"/>
      <c r="R77" s="1741"/>
      <c r="S77" s="1741"/>
      <c r="T77" s="1741"/>
      <c r="U77" s="1741"/>
      <c r="V77" s="1741"/>
      <c r="W77" s="1741"/>
      <c r="X77" s="1741"/>
      <c r="Y77" s="1741"/>
      <c r="Z77" s="1741"/>
      <c r="AA77" s="1741"/>
      <c r="AB77" s="1741"/>
      <c r="AC77" s="1741"/>
    </row>
    <row r="78" spans="1:29" s="1134" customFormat="1" ht="14.4" thickTop="1">
      <c r="A78" s="629"/>
      <c r="B78" s="615">
        <f>B14</f>
        <v>111</v>
      </c>
      <c r="C78" s="630"/>
      <c r="D78" s="630"/>
      <c r="E78" s="630"/>
      <c r="F78" s="630"/>
      <c r="G78" s="630"/>
      <c r="H78" s="631"/>
      <c r="I78" s="631"/>
      <c r="J78" s="631"/>
      <c r="K78" s="631"/>
      <c r="L78" s="632"/>
      <c r="M78" s="633"/>
      <c r="N78" s="2737"/>
      <c r="O78" s="1768"/>
      <c r="P78" s="1768"/>
      <c r="Q78" s="1769"/>
      <c r="R78" s="1770"/>
      <c r="S78" s="1770"/>
      <c r="T78" s="1770"/>
      <c r="U78" s="1770"/>
      <c r="V78" s="1770"/>
      <c r="W78" s="1770"/>
      <c r="X78" s="1770"/>
      <c r="Y78" s="1770"/>
      <c r="Z78" s="1770"/>
      <c r="AA78" s="1770"/>
      <c r="AB78" s="1770"/>
      <c r="AC78" s="1770"/>
    </row>
    <row r="79" spans="1:29" s="1134" customFormat="1" ht="14.4" thickBot="1">
      <c r="A79" s="629"/>
      <c r="B79" s="620"/>
      <c r="C79" s="634"/>
      <c r="D79" s="613"/>
      <c r="E79" s="613"/>
      <c r="F79" s="613"/>
      <c r="G79" s="613"/>
      <c r="H79" s="613"/>
      <c r="I79" s="613"/>
      <c r="J79" s="613"/>
      <c r="K79" s="613"/>
      <c r="L79" s="613"/>
      <c r="M79" s="614"/>
      <c r="N79" s="2736"/>
      <c r="O79" s="1767"/>
      <c r="P79" s="1768"/>
      <c r="Q79" s="1769"/>
      <c r="R79" s="1770"/>
      <c r="S79" s="1770"/>
      <c r="T79" s="1770"/>
      <c r="U79" s="1770"/>
      <c r="V79" s="1770"/>
      <c r="W79" s="1770"/>
      <c r="X79" s="1770"/>
      <c r="Y79" s="1770"/>
      <c r="Z79" s="1770"/>
      <c r="AA79" s="1770"/>
      <c r="AB79" s="1770"/>
      <c r="AC79" s="1770"/>
    </row>
    <row r="80" spans="1:29" s="1134" customFormat="1" ht="14.4" thickTop="1">
      <c r="A80" s="629"/>
      <c r="B80" s="615">
        <f>B15</f>
        <v>111</v>
      </c>
      <c r="C80" s="630"/>
      <c r="D80" s="630"/>
      <c r="E80" s="630"/>
      <c r="F80" s="630"/>
      <c r="G80" s="630"/>
      <c r="H80" s="631"/>
      <c r="I80" s="631"/>
      <c r="J80" s="631"/>
      <c r="K80" s="631"/>
      <c r="L80" s="632"/>
      <c r="M80" s="633"/>
      <c r="N80" s="2737"/>
      <c r="O80" s="1768"/>
      <c r="P80" s="1770"/>
      <c r="Q80" s="1771"/>
      <c r="R80" s="1770"/>
      <c r="S80" s="1770"/>
      <c r="T80" s="1770"/>
      <c r="U80" s="1770"/>
      <c r="V80" s="1770"/>
      <c r="W80" s="1770"/>
      <c r="X80" s="1770"/>
      <c r="Y80" s="1770"/>
      <c r="Z80" s="1770"/>
      <c r="AA80" s="1770"/>
      <c r="AB80" s="1770"/>
      <c r="AC80" s="1770"/>
    </row>
    <row r="81" spans="1:29" s="1134" customFormat="1" ht="14.4" thickBot="1">
      <c r="A81" s="629"/>
      <c r="B81" s="620"/>
      <c r="C81" s="634"/>
      <c r="D81" s="634"/>
      <c r="E81" s="634"/>
      <c r="F81" s="634"/>
      <c r="G81" s="634"/>
      <c r="H81" s="635"/>
      <c r="I81" s="635"/>
      <c r="J81" s="635"/>
      <c r="K81" s="635"/>
      <c r="L81" s="635"/>
      <c r="M81" s="636"/>
      <c r="N81" s="2737"/>
      <c r="O81" s="1768"/>
      <c r="P81" s="1768"/>
      <c r="Q81" s="1769"/>
      <c r="R81" s="1770"/>
      <c r="S81" s="1770"/>
      <c r="T81" s="1770"/>
      <c r="U81" s="1770"/>
      <c r="V81" s="1770"/>
      <c r="W81" s="1770"/>
      <c r="X81" s="1770"/>
      <c r="Y81" s="1770"/>
      <c r="Z81" s="1770"/>
      <c r="AA81" s="1770"/>
      <c r="AB81" s="1770"/>
      <c r="AC81" s="1770"/>
    </row>
    <row r="82" spans="1:29" s="1134" customFormat="1" ht="14.4" thickTop="1">
      <c r="A82" s="629"/>
      <c r="B82" s="623">
        <f>B16</f>
        <v>111</v>
      </c>
      <c r="C82" s="80"/>
      <c r="D82" s="80"/>
      <c r="E82" s="80"/>
      <c r="F82" s="80"/>
      <c r="G82" s="80"/>
      <c r="H82" s="637"/>
      <c r="I82" s="637"/>
      <c r="J82" s="637"/>
      <c r="K82" s="637"/>
      <c r="L82" s="638"/>
      <c r="M82" s="639"/>
      <c r="N82" s="2737"/>
      <c r="O82" s="1768"/>
      <c r="P82" s="1772"/>
      <c r="Q82" s="1769"/>
      <c r="R82" s="1770"/>
      <c r="S82" s="1770"/>
      <c r="T82" s="1770"/>
      <c r="U82" s="1770"/>
      <c r="V82" s="1770"/>
      <c r="W82" s="1770"/>
      <c r="X82" s="1770"/>
      <c r="Y82" s="1770"/>
      <c r="Z82" s="1770"/>
      <c r="AA82" s="1770"/>
      <c r="AB82" s="1770"/>
      <c r="AC82" s="1770"/>
    </row>
    <row r="83" spans="1:29" s="1134" customFormat="1" ht="14.4" thickBot="1">
      <c r="A83" s="640"/>
      <c r="B83" s="641"/>
      <c r="C83" s="642"/>
      <c r="D83" s="642"/>
      <c r="E83" s="642"/>
      <c r="F83" s="642"/>
      <c r="G83" s="642"/>
      <c r="H83" s="643"/>
      <c r="I83" s="643"/>
      <c r="J83" s="643"/>
      <c r="K83" s="643"/>
      <c r="L83" s="643"/>
      <c r="M83" s="644"/>
      <c r="N83" s="2737"/>
      <c r="O83" s="1768"/>
      <c r="P83" s="1768"/>
      <c r="Q83" s="1769"/>
      <c r="R83" s="1770"/>
      <c r="S83" s="1770"/>
      <c r="T83" s="1770"/>
      <c r="U83" s="1770"/>
      <c r="V83" s="1770"/>
      <c r="W83" s="1770"/>
      <c r="X83" s="1770"/>
      <c r="Y83" s="1770"/>
      <c r="Z83" s="1770"/>
      <c r="AA83" s="1770"/>
      <c r="AB83" s="1770"/>
      <c r="AC83" s="1770"/>
    </row>
    <row r="84" spans="1:29" ht="14.4">
      <c r="A84" s="607" t="s">
        <v>488</v>
      </c>
      <c r="B84" s="608" t="s">
        <v>550</v>
      </c>
      <c r="C84" s="143" t="s">
        <v>527</v>
      </c>
      <c r="D84" s="143" t="s">
        <v>528</v>
      </c>
      <c r="E84" s="143" t="s">
        <v>529</v>
      </c>
      <c r="F84" s="143" t="s">
        <v>530</v>
      </c>
      <c r="G84" s="143" t="s">
        <v>531</v>
      </c>
      <c r="H84" s="645"/>
      <c r="I84" s="645"/>
      <c r="J84" s="645"/>
      <c r="K84" s="646"/>
      <c r="L84" s="647"/>
      <c r="M84" s="648"/>
      <c r="N84" s="2735"/>
      <c r="O84" s="1766"/>
      <c r="P84" s="1773"/>
      <c r="Q84" s="1762"/>
      <c r="R84" s="1741"/>
      <c r="S84" s="1741"/>
      <c r="T84" s="1741"/>
      <c r="U84" s="1741"/>
      <c r="V84" s="1741"/>
      <c r="W84" s="1741"/>
      <c r="X84" s="1741"/>
      <c r="Y84" s="1741"/>
      <c r="Z84" s="1741"/>
      <c r="AA84" s="1741"/>
      <c r="AB84" s="1741"/>
      <c r="AC84" s="1741"/>
    </row>
    <row r="85" spans="1:29" ht="14.4" thickBot="1">
      <c r="A85" s="482"/>
      <c r="B85" s="620"/>
      <c r="C85" s="621">
        <v>100</v>
      </c>
      <c r="D85" s="621">
        <f>C85-$K17</f>
        <v>100</v>
      </c>
      <c r="E85" s="621">
        <f>D85-$K17</f>
        <v>100</v>
      </c>
      <c r="F85" s="621">
        <f>E85-$K17</f>
        <v>100</v>
      </c>
      <c r="G85" s="621">
        <f>F85-$K17</f>
        <v>100</v>
      </c>
      <c r="H85" s="621"/>
      <c r="I85" s="621"/>
      <c r="J85" s="621"/>
      <c r="K85" s="621"/>
      <c r="L85" s="621"/>
      <c r="M85" s="622"/>
      <c r="N85" s="2736"/>
      <c r="O85" s="1767"/>
      <c r="P85" s="1765"/>
      <c r="Q85" s="1762"/>
      <c r="R85" s="1741"/>
      <c r="S85" s="1741"/>
      <c r="T85" s="1741"/>
      <c r="U85" s="1741"/>
      <c r="V85" s="1741"/>
      <c r="W85" s="1741"/>
      <c r="X85" s="1741"/>
      <c r="Y85" s="1741"/>
      <c r="Z85" s="1741"/>
      <c r="AA85" s="1741"/>
      <c r="AB85" s="1741"/>
      <c r="AC85" s="1741"/>
    </row>
    <row r="86" spans="1:29" ht="15" thickTop="1">
      <c r="A86" s="482"/>
      <c r="B86" s="615" t="s">
        <v>534</v>
      </c>
      <c r="C86" s="649" t="s">
        <v>527</v>
      </c>
      <c r="D86" s="649" t="s">
        <v>528</v>
      </c>
      <c r="E86" s="649" t="s">
        <v>529</v>
      </c>
      <c r="F86" s="649" t="s">
        <v>530</v>
      </c>
      <c r="G86" s="649" t="s">
        <v>531</v>
      </c>
      <c r="H86" s="616"/>
      <c r="I86" s="616"/>
      <c r="J86" s="616"/>
      <c r="K86" s="617"/>
      <c r="L86" s="618"/>
      <c r="M86" s="619"/>
      <c r="N86" s="2735"/>
      <c r="O86" s="1766"/>
      <c r="P86" s="1765"/>
      <c r="Q86" s="1762"/>
      <c r="R86" s="1741"/>
      <c r="S86" s="1741"/>
      <c r="T86" s="1741"/>
      <c r="U86" s="1741"/>
      <c r="V86" s="1741"/>
      <c r="W86" s="1741"/>
      <c r="X86" s="1741"/>
      <c r="Y86" s="1741"/>
      <c r="Z86" s="1741"/>
      <c r="AA86" s="1741"/>
      <c r="AB86" s="1741"/>
      <c r="AC86" s="1741"/>
    </row>
    <row r="87" spans="1:29" ht="14.4" thickBot="1">
      <c r="A87" s="482"/>
      <c r="B87" s="620"/>
      <c r="C87" s="621">
        <v>100</v>
      </c>
      <c r="D87" s="621">
        <f>C87-$K19</f>
        <v>100</v>
      </c>
      <c r="E87" s="621">
        <f>D87-$K19</f>
        <v>100</v>
      </c>
      <c r="F87" s="621">
        <f>E87-$K19</f>
        <v>100</v>
      </c>
      <c r="G87" s="621">
        <f>F87-$K19</f>
        <v>100</v>
      </c>
      <c r="H87" s="621"/>
      <c r="I87" s="621"/>
      <c r="J87" s="621"/>
      <c r="K87" s="621"/>
      <c r="L87" s="621"/>
      <c r="M87" s="622"/>
      <c r="N87" s="2736"/>
      <c r="O87" s="1767"/>
      <c r="P87" s="1765"/>
      <c r="Q87" s="1762"/>
      <c r="R87" s="1741"/>
      <c r="S87" s="1741"/>
      <c r="T87" s="1741"/>
      <c r="U87" s="1741"/>
      <c r="V87" s="1741"/>
      <c r="W87" s="1741"/>
      <c r="X87" s="1741"/>
      <c r="Y87" s="1741"/>
      <c r="Z87" s="1741"/>
      <c r="AA87" s="1741"/>
      <c r="AB87" s="1741"/>
      <c r="AC87" s="1741"/>
    </row>
    <row r="88" spans="1:29" s="1060" customFormat="1" ht="29.4" thickTop="1">
      <c r="A88" s="486"/>
      <c r="B88" s="615" t="s">
        <v>535</v>
      </c>
      <c r="C88" s="649" t="s">
        <v>527</v>
      </c>
      <c r="D88" s="649" t="s">
        <v>528</v>
      </c>
      <c r="E88" s="649" t="s">
        <v>529</v>
      </c>
      <c r="F88" s="649" t="s">
        <v>530</v>
      </c>
      <c r="G88" s="649" t="s">
        <v>531</v>
      </c>
      <c r="H88" s="649"/>
      <c r="I88" s="649"/>
      <c r="J88" s="649"/>
      <c r="K88" s="649"/>
      <c r="L88" s="650"/>
      <c r="M88" s="651"/>
      <c r="N88" s="2734"/>
      <c r="O88" s="1765"/>
      <c r="P88" s="1765"/>
      <c r="Q88" s="1762"/>
      <c r="R88" s="1639"/>
      <c r="S88" s="1639"/>
      <c r="T88" s="1639"/>
      <c r="U88" s="1639"/>
      <c r="V88" s="1639"/>
      <c r="W88" s="1639"/>
      <c r="X88" s="1639"/>
      <c r="Y88" s="1639"/>
      <c r="Z88" s="1639"/>
      <c r="AA88" s="1639"/>
      <c r="AB88" s="1639"/>
      <c r="AC88" s="1639"/>
    </row>
    <row r="89" spans="1:29" s="1060" customFormat="1" ht="14.4" thickBot="1">
      <c r="A89" s="486"/>
      <c r="B89" s="620"/>
      <c r="C89" s="652">
        <v>100</v>
      </c>
      <c r="D89" s="621">
        <f>C89-$K21</f>
        <v>100</v>
      </c>
      <c r="E89" s="621">
        <f>D89-$K21</f>
        <v>100</v>
      </c>
      <c r="F89" s="621">
        <f>E89-$K21</f>
        <v>100</v>
      </c>
      <c r="G89" s="621">
        <f>F89-$K21</f>
        <v>100</v>
      </c>
      <c r="H89" s="621"/>
      <c r="I89" s="621"/>
      <c r="J89" s="621"/>
      <c r="K89" s="621"/>
      <c r="L89" s="621"/>
      <c r="M89" s="622"/>
      <c r="N89" s="2736"/>
      <c r="O89" s="1767"/>
      <c r="P89" s="1765"/>
      <c r="Q89" s="1762"/>
      <c r="R89" s="1639"/>
      <c r="S89" s="1639"/>
      <c r="T89" s="1639"/>
      <c r="U89" s="1639"/>
      <c r="V89" s="1639"/>
      <c r="W89" s="1639"/>
      <c r="X89" s="1639"/>
      <c r="Y89" s="1639"/>
      <c r="Z89" s="1639"/>
      <c r="AA89" s="1639"/>
      <c r="AB89" s="1639"/>
      <c r="AC89" s="1639"/>
    </row>
    <row r="90" spans="1:29" s="1060" customFormat="1" ht="29.4" thickTop="1">
      <c r="A90" s="486"/>
      <c r="B90" s="615" t="s">
        <v>536</v>
      </c>
      <c r="C90" s="143" t="s">
        <v>527</v>
      </c>
      <c r="D90" s="143" t="s">
        <v>528</v>
      </c>
      <c r="E90" s="143" t="s">
        <v>529</v>
      </c>
      <c r="F90" s="143" t="s">
        <v>530</v>
      </c>
      <c r="G90" s="143" t="s">
        <v>531</v>
      </c>
      <c r="H90" s="649"/>
      <c r="I90" s="649"/>
      <c r="J90" s="649"/>
      <c r="K90" s="649"/>
      <c r="L90" s="649"/>
      <c r="M90" s="651"/>
      <c r="N90" s="2734"/>
      <c r="O90" s="1765"/>
      <c r="P90" s="1765"/>
      <c r="Q90" s="1762"/>
      <c r="R90" s="1639"/>
      <c r="S90" s="1639"/>
      <c r="T90" s="1639"/>
      <c r="U90" s="1639"/>
      <c r="V90" s="1639"/>
      <c r="W90" s="1639"/>
      <c r="X90" s="1639"/>
      <c r="Y90" s="1639"/>
      <c r="Z90" s="1639"/>
      <c r="AA90" s="1639"/>
      <c r="AB90" s="1639"/>
      <c r="AC90" s="1639"/>
    </row>
    <row r="91" spans="1:29" s="1060" customFormat="1" ht="14.4" thickBot="1">
      <c r="A91" s="486"/>
      <c r="B91" s="620"/>
      <c r="C91" s="621">
        <v>100</v>
      </c>
      <c r="D91" s="621">
        <f>C91-$K23</f>
        <v>100</v>
      </c>
      <c r="E91" s="621">
        <f>D91-$K23</f>
        <v>100</v>
      </c>
      <c r="F91" s="621">
        <f>E91-$K23</f>
        <v>100</v>
      </c>
      <c r="G91" s="621">
        <f>F91-$K23</f>
        <v>100</v>
      </c>
      <c r="H91" s="621"/>
      <c r="I91" s="621"/>
      <c r="J91" s="621"/>
      <c r="K91" s="621"/>
      <c r="L91" s="621"/>
      <c r="M91" s="622"/>
      <c r="N91" s="2736"/>
      <c r="O91" s="1767"/>
      <c r="P91" s="1765"/>
      <c r="Q91" s="1762"/>
      <c r="R91" s="1639"/>
      <c r="S91" s="1639"/>
      <c r="T91" s="1639"/>
      <c r="U91" s="1639"/>
      <c r="V91" s="1639"/>
      <c r="W91" s="1639"/>
      <c r="X91" s="1639"/>
      <c r="Y91" s="1639"/>
      <c r="Z91" s="1639"/>
      <c r="AA91" s="1639"/>
      <c r="AB91" s="1639"/>
      <c r="AC91" s="1639"/>
    </row>
    <row r="92" spans="1:29" s="1134" customFormat="1" ht="15" thickTop="1">
      <c r="A92" s="629"/>
      <c r="B92" s="1554" t="s">
        <v>1831</v>
      </c>
      <c r="C92" s="143" t="s">
        <v>527</v>
      </c>
      <c r="D92" s="143" t="s">
        <v>528</v>
      </c>
      <c r="E92" s="143" t="s">
        <v>529</v>
      </c>
      <c r="F92" s="143" t="s">
        <v>530</v>
      </c>
      <c r="G92" s="143" t="s">
        <v>531</v>
      </c>
      <c r="H92" s="653"/>
      <c r="I92" s="653"/>
      <c r="J92" s="653"/>
      <c r="K92" s="653"/>
      <c r="L92" s="654"/>
      <c r="M92" s="655"/>
      <c r="N92" s="2737"/>
      <c r="O92" s="1768"/>
      <c r="P92" s="1768"/>
      <c r="Q92" s="1769"/>
      <c r="R92" s="1770"/>
      <c r="S92" s="1770"/>
      <c r="T92" s="1770"/>
      <c r="U92" s="1770"/>
      <c r="V92" s="1770"/>
      <c r="W92" s="1770"/>
      <c r="X92" s="1770"/>
      <c r="Y92" s="1770"/>
      <c r="Z92" s="1770"/>
      <c r="AA92" s="1770"/>
      <c r="AB92" s="1770"/>
      <c r="AC92" s="1770"/>
    </row>
    <row r="93" spans="1:29" s="1134" customFormat="1" ht="14.4" thickBot="1">
      <c r="A93" s="629"/>
      <c r="B93" s="620"/>
      <c r="C93" s="621">
        <v>100</v>
      </c>
      <c r="D93" s="621">
        <f>C93-$K25</f>
        <v>100</v>
      </c>
      <c r="E93" s="621">
        <f>D93-$K25</f>
        <v>100</v>
      </c>
      <c r="F93" s="621">
        <f>E93-$K25</f>
        <v>100</v>
      </c>
      <c r="G93" s="621">
        <f>F93-$K25</f>
        <v>100</v>
      </c>
      <c r="H93" s="656"/>
      <c r="I93" s="656"/>
      <c r="J93" s="656"/>
      <c r="K93" s="656"/>
      <c r="L93" s="656"/>
      <c r="M93" s="657"/>
      <c r="N93" s="2737"/>
      <c r="O93" s="1768"/>
      <c r="P93" s="1768"/>
      <c r="Q93" s="1769"/>
      <c r="R93" s="1770"/>
      <c r="S93" s="1770"/>
      <c r="T93" s="1770"/>
      <c r="U93" s="1770"/>
      <c r="V93" s="1770"/>
      <c r="W93" s="1770"/>
      <c r="X93" s="1770"/>
      <c r="Y93" s="1770"/>
      <c r="Z93" s="1770"/>
      <c r="AA93" s="1770"/>
      <c r="AB93" s="1770"/>
      <c r="AC93" s="1770"/>
    </row>
    <row r="94" spans="1:29" s="1134" customFormat="1" ht="15" thickTop="1">
      <c r="A94" s="629"/>
      <c r="B94" s="2055" t="s">
        <v>1833</v>
      </c>
      <c r="C94" s="2056" t="s">
        <v>1834</v>
      </c>
      <c r="D94" s="2056" t="s">
        <v>1835</v>
      </c>
      <c r="E94" s="2056" t="s">
        <v>1836</v>
      </c>
      <c r="F94" s="2056" t="s">
        <v>1837</v>
      </c>
      <c r="G94" s="2056" t="s">
        <v>1838</v>
      </c>
      <c r="H94" s="653"/>
      <c r="I94" s="653"/>
      <c r="J94" s="653"/>
      <c r="K94" s="653"/>
      <c r="L94" s="653"/>
      <c r="M94" s="655"/>
      <c r="N94" s="2737"/>
      <c r="O94" s="1768"/>
      <c r="P94" s="1768"/>
      <c r="Q94" s="1769"/>
      <c r="R94" s="1770"/>
      <c r="S94" s="1770"/>
      <c r="T94" s="1770"/>
      <c r="U94" s="1770"/>
      <c r="V94" s="1770"/>
      <c r="W94" s="1770"/>
      <c r="X94" s="1770"/>
      <c r="Y94" s="1770"/>
      <c r="Z94" s="1770"/>
      <c r="AA94" s="1770"/>
      <c r="AB94" s="1770"/>
      <c r="AC94" s="1770"/>
    </row>
    <row r="95" spans="1:29" s="1134" customFormat="1" ht="14.4" thickBot="1">
      <c r="A95" s="629"/>
      <c r="B95" s="623"/>
      <c r="C95" s="621">
        <v>100</v>
      </c>
      <c r="D95" s="621">
        <f>C95-$K27</f>
        <v>100</v>
      </c>
      <c r="E95" s="621">
        <f>D95-$K27</f>
        <v>100</v>
      </c>
      <c r="F95" s="621">
        <f>E95-$K27</f>
        <v>100</v>
      </c>
      <c r="G95" s="621">
        <f>F95-$K27</f>
        <v>100</v>
      </c>
      <c r="H95" s="625"/>
      <c r="I95" s="625"/>
      <c r="J95" s="625"/>
      <c r="K95" s="625"/>
      <c r="L95" s="625"/>
      <c r="M95" s="2048"/>
      <c r="N95" s="2737"/>
      <c r="O95" s="1768"/>
      <c r="P95" s="1768"/>
      <c r="Q95" s="1769"/>
      <c r="R95" s="1770"/>
      <c r="S95" s="1770"/>
      <c r="T95" s="1770"/>
      <c r="U95" s="1770"/>
      <c r="V95" s="1770"/>
      <c r="W95" s="1770"/>
      <c r="X95" s="1770"/>
      <c r="Y95" s="1770"/>
      <c r="Z95" s="1770"/>
      <c r="AA95" s="1770"/>
      <c r="AB95" s="1770"/>
      <c r="AC95" s="1770"/>
    </row>
    <row r="96" spans="1:29" ht="15" thickTop="1">
      <c r="A96" s="482"/>
      <c r="B96" s="615" t="str">
        <f>B29</f>
        <v>临街状况</v>
      </c>
      <c r="C96" s="616" t="s">
        <v>537</v>
      </c>
      <c r="D96" s="616" t="s">
        <v>538</v>
      </c>
      <c r="E96" s="616" t="s">
        <v>539</v>
      </c>
      <c r="F96" s="616" t="s">
        <v>540</v>
      </c>
      <c r="G96" s="616"/>
      <c r="H96" s="616"/>
      <c r="I96" s="616"/>
      <c r="J96" s="616"/>
      <c r="K96" s="617"/>
      <c r="L96" s="618"/>
      <c r="M96" s="619"/>
      <c r="N96" s="2735"/>
      <c r="O96" s="1766"/>
      <c r="P96" s="1765"/>
      <c r="Q96" s="1762"/>
      <c r="R96" s="1741"/>
      <c r="S96" s="1741"/>
      <c r="T96" s="1741"/>
      <c r="U96" s="1741"/>
      <c r="V96" s="1741"/>
      <c r="W96" s="1741"/>
      <c r="X96" s="1741"/>
      <c r="Y96" s="1741"/>
      <c r="Z96" s="1741"/>
      <c r="AA96" s="1741"/>
      <c r="AB96" s="1741"/>
      <c r="AC96" s="1741"/>
    </row>
    <row r="97" spans="1:29" ht="14.4"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6"/>
      <c r="O97" s="1767"/>
      <c r="P97" s="1765"/>
      <c r="Q97" s="1762"/>
      <c r="R97" s="1741"/>
      <c r="S97" s="1741"/>
      <c r="T97" s="1741"/>
      <c r="U97" s="1741"/>
      <c r="V97" s="1741"/>
      <c r="W97" s="1741"/>
      <c r="X97" s="1741"/>
      <c r="Y97" s="1741"/>
      <c r="Z97" s="1741"/>
      <c r="AA97" s="1741"/>
      <c r="AB97" s="1741"/>
      <c r="AC97" s="1741"/>
    </row>
    <row r="98" spans="1:29" ht="29.4" thickTop="1">
      <c r="A98" s="482"/>
      <c r="B98" s="615" t="s">
        <v>497</v>
      </c>
      <c r="C98" s="630"/>
      <c r="D98" s="630"/>
      <c r="E98" s="630"/>
      <c r="F98" s="630"/>
      <c r="G98" s="630"/>
      <c r="H98" s="658"/>
      <c r="I98" s="658"/>
      <c r="J98" s="658"/>
      <c r="K98" s="659"/>
      <c r="L98" s="660"/>
      <c r="M98" s="661"/>
      <c r="N98" s="2735"/>
      <c r="O98" s="1766"/>
      <c r="P98" s="1765"/>
      <c r="Q98" s="1762"/>
      <c r="R98" s="1741"/>
      <c r="S98" s="1741"/>
      <c r="T98" s="1741"/>
      <c r="U98" s="1741"/>
      <c r="V98" s="1741"/>
      <c r="W98" s="1741"/>
      <c r="X98" s="1741"/>
      <c r="Y98" s="1741"/>
      <c r="Z98" s="1741"/>
      <c r="AA98" s="1741"/>
      <c r="AB98" s="1741"/>
      <c r="AC98" s="1741"/>
    </row>
    <row r="99" spans="1:29" ht="14.4"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6"/>
      <c r="O99" s="1767"/>
      <c r="P99" s="1765"/>
      <c r="Q99" s="1762"/>
      <c r="R99" s="1741"/>
      <c r="S99" s="1741"/>
      <c r="T99" s="1741"/>
      <c r="U99" s="1741"/>
      <c r="V99" s="1741"/>
      <c r="W99" s="1741"/>
      <c r="X99" s="1741"/>
      <c r="Y99" s="1741"/>
      <c r="Z99" s="1741"/>
      <c r="AA99" s="1741"/>
      <c r="AB99" s="1741"/>
      <c r="AC99" s="1741"/>
    </row>
    <row r="100" spans="1:29" ht="15" thickTop="1">
      <c r="A100" s="482"/>
      <c r="B100" s="615" t="s">
        <v>498</v>
      </c>
      <c r="C100" s="658"/>
      <c r="D100" s="658"/>
      <c r="E100" s="658"/>
      <c r="F100" s="658"/>
      <c r="G100" s="658"/>
      <c r="H100" s="658"/>
      <c r="I100" s="658"/>
      <c r="J100" s="658"/>
      <c r="K100" s="659"/>
      <c r="L100" s="660"/>
      <c r="M100" s="661"/>
      <c r="N100" s="2735"/>
      <c r="O100" s="1766"/>
      <c r="P100" s="1765"/>
      <c r="Q100" s="1762"/>
      <c r="R100" s="1741"/>
      <c r="S100" s="1741"/>
      <c r="T100" s="1741"/>
      <c r="U100" s="1741"/>
      <c r="V100" s="1741"/>
      <c r="W100" s="1741"/>
      <c r="X100" s="1741"/>
      <c r="Y100" s="1741"/>
      <c r="Z100" s="1741"/>
      <c r="AA100" s="1741"/>
      <c r="AB100" s="1741"/>
      <c r="AC100" s="1741"/>
    </row>
    <row r="101" spans="1:29" ht="14.4"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6"/>
      <c r="O101" s="1767"/>
      <c r="P101" s="1765"/>
      <c r="Q101" s="1762"/>
      <c r="R101" s="1741"/>
      <c r="S101" s="1741"/>
      <c r="T101" s="1741"/>
      <c r="U101" s="1741"/>
      <c r="V101" s="1741"/>
      <c r="W101" s="1741"/>
      <c r="X101" s="1741"/>
      <c r="Y101" s="1741"/>
      <c r="Z101" s="1741"/>
      <c r="AA101" s="1741"/>
      <c r="AB101" s="1741"/>
      <c r="AC101" s="1741"/>
    </row>
    <row r="102" spans="1:29" ht="14.4" thickTop="1">
      <c r="A102" s="482"/>
      <c r="B102" s="623">
        <f>B33</f>
        <v>111</v>
      </c>
      <c r="C102" s="630"/>
      <c r="D102" s="630"/>
      <c r="E102" s="630"/>
      <c r="F102" s="630"/>
      <c r="G102" s="662"/>
      <c r="H102" s="662"/>
      <c r="I102" s="662"/>
      <c r="J102" s="662"/>
      <c r="K102" s="663"/>
      <c r="L102" s="664"/>
      <c r="M102" s="665"/>
      <c r="N102" s="2735"/>
      <c r="O102" s="1766"/>
      <c r="P102" s="1765"/>
      <c r="Q102" s="1762"/>
      <c r="R102" s="1741"/>
      <c r="S102" s="1741"/>
      <c r="T102" s="1741"/>
      <c r="U102" s="1741"/>
      <c r="V102" s="1741"/>
      <c r="W102" s="1741"/>
      <c r="X102" s="1741"/>
      <c r="Y102" s="1741"/>
      <c r="Z102" s="1741"/>
      <c r="AA102" s="1741"/>
      <c r="AB102" s="1741"/>
      <c r="AC102" s="1741"/>
    </row>
    <row r="103" spans="1:29" ht="14.4" thickBot="1">
      <c r="A103" s="482"/>
      <c r="B103" s="641"/>
      <c r="C103" s="634"/>
      <c r="D103" s="613"/>
      <c r="E103" s="613"/>
      <c r="F103" s="613"/>
      <c r="G103" s="666"/>
      <c r="H103" s="666"/>
      <c r="I103" s="666"/>
      <c r="J103" s="666"/>
      <c r="K103" s="666"/>
      <c r="L103" s="666"/>
      <c r="M103" s="667"/>
      <c r="N103" s="2736"/>
      <c r="O103" s="1767"/>
      <c r="P103" s="1765"/>
      <c r="Q103" s="1762"/>
      <c r="R103" s="1741"/>
      <c r="S103" s="1741"/>
      <c r="T103" s="1741"/>
      <c r="U103" s="1741"/>
      <c r="V103" s="1741"/>
      <c r="W103" s="1741"/>
      <c r="X103" s="1741"/>
      <c r="Y103" s="1741"/>
      <c r="Z103" s="1741"/>
      <c r="AA103" s="1741"/>
      <c r="AB103" s="1741"/>
      <c r="AC103" s="1741"/>
    </row>
    <row r="104" spans="1:29" ht="14.4" thickTop="1">
      <c r="A104" s="536"/>
      <c r="B104" s="615">
        <f>B34</f>
        <v>111</v>
      </c>
      <c r="C104" s="630"/>
      <c r="D104" s="630"/>
      <c r="E104" s="630"/>
      <c r="F104" s="630"/>
      <c r="G104" s="658"/>
      <c r="H104" s="658"/>
      <c r="I104" s="658"/>
      <c r="J104" s="658"/>
      <c r="K104" s="659"/>
      <c r="L104" s="660"/>
      <c r="M104" s="661"/>
      <c r="N104" s="2735"/>
      <c r="O104" s="1766"/>
      <c r="P104" s="1765"/>
      <c r="Q104" s="1762"/>
      <c r="R104" s="1741"/>
      <c r="S104" s="1741"/>
      <c r="T104" s="1741"/>
      <c r="U104" s="1741"/>
      <c r="V104" s="1741"/>
      <c r="W104" s="1741"/>
      <c r="X104" s="1741"/>
      <c r="Y104" s="1741"/>
      <c r="Z104" s="1741"/>
      <c r="AA104" s="1741"/>
      <c r="AB104" s="1741"/>
      <c r="AC104" s="1741"/>
    </row>
    <row r="105" spans="1:29" ht="14.4" thickBot="1">
      <c r="A105" s="482"/>
      <c r="B105" s="620"/>
      <c r="C105" s="634"/>
      <c r="D105" s="634"/>
      <c r="E105" s="634"/>
      <c r="F105" s="634"/>
      <c r="G105" s="613"/>
      <c r="H105" s="613"/>
      <c r="I105" s="613"/>
      <c r="J105" s="613"/>
      <c r="K105" s="613"/>
      <c r="L105" s="613"/>
      <c r="M105" s="614"/>
      <c r="N105" s="2736"/>
      <c r="O105" s="1767"/>
      <c r="P105" s="1765"/>
      <c r="Q105" s="1762"/>
      <c r="R105" s="1741"/>
      <c r="S105" s="1741"/>
      <c r="T105" s="1741"/>
      <c r="U105" s="1741"/>
      <c r="V105" s="1741"/>
      <c r="W105" s="1741"/>
      <c r="X105" s="1741"/>
      <c r="Y105" s="1741"/>
      <c r="Z105" s="1741"/>
      <c r="AA105" s="1741"/>
      <c r="AB105" s="1741"/>
      <c r="AC105" s="1741"/>
    </row>
    <row r="106" spans="1:29" s="1134" customFormat="1" ht="14.4" thickTop="1">
      <c r="A106" s="552"/>
      <c r="B106" s="668">
        <f>B35</f>
        <v>111</v>
      </c>
      <c r="C106" s="80"/>
      <c r="D106" s="80"/>
      <c r="E106" s="80"/>
      <c r="F106" s="80"/>
      <c r="G106" s="79"/>
      <c r="H106" s="79"/>
      <c r="I106" s="79"/>
      <c r="J106" s="669"/>
      <c r="K106" s="669"/>
      <c r="L106" s="670"/>
      <c r="M106" s="671"/>
      <c r="N106" s="2737"/>
      <c r="O106" s="1768"/>
      <c r="P106" s="1768"/>
      <c r="Q106" s="1769"/>
      <c r="R106" s="1770"/>
      <c r="S106" s="1770"/>
      <c r="T106" s="1770"/>
      <c r="U106" s="1770"/>
      <c r="V106" s="1770"/>
      <c r="W106" s="1770"/>
      <c r="X106" s="1770"/>
      <c r="Y106" s="1770"/>
      <c r="Z106" s="1770"/>
      <c r="AA106" s="1770"/>
      <c r="AB106" s="1770"/>
      <c r="AC106" s="1770"/>
    </row>
    <row r="107" spans="1:29" s="1134" customFormat="1" ht="14.4" thickBot="1">
      <c r="A107" s="629"/>
      <c r="B107" s="623"/>
      <c r="C107" s="642"/>
      <c r="D107" s="642"/>
      <c r="E107" s="642"/>
      <c r="F107" s="642"/>
      <c r="G107" s="541"/>
      <c r="H107" s="541"/>
      <c r="I107" s="541"/>
      <c r="J107" s="541"/>
      <c r="K107" s="541"/>
      <c r="L107" s="541"/>
      <c r="M107" s="672"/>
      <c r="N107" s="2736"/>
      <c r="O107" s="1767"/>
      <c r="P107" s="1768"/>
      <c r="Q107" s="1769"/>
      <c r="R107" s="1770"/>
      <c r="S107" s="1770"/>
      <c r="T107" s="1770"/>
      <c r="U107" s="1770"/>
      <c r="V107" s="1770"/>
      <c r="W107" s="1770"/>
      <c r="X107" s="1770"/>
      <c r="Y107" s="1770"/>
      <c r="Z107" s="1770"/>
      <c r="AA107" s="1770"/>
      <c r="AB107" s="1770"/>
      <c r="AC107" s="1770"/>
    </row>
    <row r="108" spans="1:29" ht="14.4">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7" t="str">
        <f t="shared" si="24"/>
        <v>(含)-</v>
      </c>
      <c r="L108" s="2348" t="str">
        <f t="shared" si="24"/>
        <v>(含)-</v>
      </c>
      <c r="M108" s="145" t="str">
        <f>M109&amp;"(含)"&amp;"-"&amp;P109</f>
        <v>(含)-</v>
      </c>
      <c r="N108" s="2735"/>
      <c r="O108" s="1766"/>
      <c r="P108" s="1765"/>
      <c r="Q108" s="1762"/>
      <c r="R108" s="1741"/>
      <c r="S108" s="1741"/>
      <c r="T108" s="1741"/>
      <c r="U108" s="1741"/>
      <c r="V108" s="1741"/>
      <c r="W108" s="1741"/>
      <c r="X108" s="1741"/>
      <c r="Y108" s="1741"/>
      <c r="Z108" s="1741"/>
      <c r="AA108" s="1741"/>
      <c r="AB108" s="1741"/>
      <c r="AC108" s="1741"/>
    </row>
    <row r="109" spans="1:29">
      <c r="A109" s="482"/>
      <c r="B109" s="623"/>
      <c r="C109" s="79"/>
      <c r="D109" s="79"/>
      <c r="E109" s="79"/>
      <c r="F109" s="79"/>
      <c r="G109" s="79"/>
      <c r="H109" s="79"/>
      <c r="I109" s="79"/>
      <c r="J109" s="669"/>
      <c r="K109" s="669"/>
      <c r="L109" s="670"/>
      <c r="M109" s="671"/>
      <c r="N109" s="2735"/>
      <c r="O109" s="1766"/>
      <c r="P109" s="1765"/>
      <c r="Q109" s="1762"/>
      <c r="R109" s="1741"/>
      <c r="S109" s="1741"/>
      <c r="T109" s="1741"/>
      <c r="U109" s="1741"/>
      <c r="V109" s="1741"/>
      <c r="W109" s="1741"/>
      <c r="X109" s="1741"/>
      <c r="Y109" s="1741"/>
      <c r="Z109" s="1741"/>
      <c r="AA109" s="1741"/>
      <c r="AB109" s="1741"/>
      <c r="AC109" s="1741"/>
    </row>
    <row r="110" spans="1:29" ht="14.4" thickBot="1">
      <c r="A110" s="482"/>
      <c r="B110" s="620"/>
      <c r="C110" s="642"/>
      <c r="D110" s="666"/>
      <c r="E110" s="666"/>
      <c r="F110" s="666"/>
      <c r="G110" s="666"/>
      <c r="H110" s="666"/>
      <c r="I110" s="666"/>
      <c r="J110" s="666"/>
      <c r="K110" s="666"/>
      <c r="L110" s="666"/>
      <c r="M110" s="667"/>
      <c r="N110" s="2736"/>
      <c r="O110" s="1767"/>
      <c r="P110" s="1765"/>
      <c r="Q110" s="1762"/>
      <c r="R110" s="1741"/>
      <c r="S110" s="1741"/>
      <c r="T110" s="1741"/>
      <c r="U110" s="1741"/>
      <c r="V110" s="1741"/>
      <c r="W110" s="1741"/>
      <c r="X110" s="1741"/>
      <c r="Y110" s="1741"/>
      <c r="Z110" s="1741"/>
      <c r="AA110" s="1741"/>
      <c r="AB110" s="1741"/>
      <c r="AC110" s="1741"/>
    </row>
    <row r="111" spans="1:29" ht="15" thickTop="1">
      <c r="A111" s="543"/>
      <c r="B111" s="615" t="s">
        <v>542</v>
      </c>
      <c r="C111" s="658"/>
      <c r="D111" s="658"/>
      <c r="E111" s="658"/>
      <c r="F111" s="658"/>
      <c r="G111" s="658"/>
      <c r="H111" s="658"/>
      <c r="I111" s="658"/>
      <c r="J111" s="658"/>
      <c r="K111" s="659"/>
      <c r="L111" s="660"/>
      <c r="M111" s="661"/>
      <c r="N111" s="2735"/>
      <c r="O111" s="1766"/>
      <c r="P111" s="1765"/>
      <c r="Q111" s="1762"/>
      <c r="R111" s="1741"/>
      <c r="S111" s="1741"/>
      <c r="T111" s="1741"/>
      <c r="U111" s="1741"/>
      <c r="V111" s="1741"/>
      <c r="W111" s="1741"/>
      <c r="X111" s="1741"/>
      <c r="Y111" s="1741"/>
      <c r="Z111" s="1741"/>
      <c r="AA111" s="1741"/>
      <c r="AB111" s="1741"/>
      <c r="AC111" s="1741"/>
    </row>
    <row r="112" spans="1:29" ht="14.4"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6"/>
      <c r="O112" s="1767"/>
      <c r="P112" s="1765"/>
      <c r="Q112" s="1762"/>
      <c r="R112" s="1741"/>
      <c r="S112" s="1741"/>
      <c r="T112" s="1741"/>
      <c r="U112" s="1741"/>
      <c r="V112" s="1741"/>
      <c r="W112" s="1741"/>
      <c r="X112" s="1741"/>
      <c r="Y112" s="1741"/>
      <c r="Z112" s="1741"/>
      <c r="AA112" s="1741"/>
      <c r="AB112" s="1741"/>
      <c r="AC112" s="1741"/>
    </row>
    <row r="113" spans="1:29" s="1134" customFormat="1" ht="15" thickTop="1">
      <c r="A113" s="552"/>
      <c r="B113" s="1554" t="s">
        <v>1777</v>
      </c>
      <c r="C113" s="1166"/>
      <c r="D113" s="1166"/>
      <c r="E113" s="1166"/>
      <c r="F113" s="1166"/>
      <c r="G113" s="1166"/>
      <c r="H113" s="658"/>
      <c r="I113" s="658"/>
      <c r="J113" s="658"/>
      <c r="K113" s="659"/>
      <c r="L113" s="660"/>
      <c r="M113" s="661"/>
      <c r="N113" s="2737"/>
      <c r="O113" s="1768"/>
      <c r="P113" s="1768"/>
      <c r="Q113" s="1769"/>
      <c r="R113" s="1770"/>
      <c r="S113" s="1770"/>
      <c r="T113" s="1770"/>
      <c r="U113" s="1770"/>
      <c r="V113" s="1770"/>
      <c r="W113" s="1770"/>
      <c r="X113" s="1770"/>
      <c r="Y113" s="1770"/>
      <c r="Z113" s="1770"/>
      <c r="AA113" s="1770"/>
      <c r="AB113" s="1770"/>
      <c r="AC113" s="1770"/>
    </row>
    <row r="114" spans="1:29" s="1134" customFormat="1" ht="14.4"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7"/>
      <c r="O114" s="1768"/>
      <c r="P114" s="1768"/>
      <c r="Q114" s="1769"/>
      <c r="R114" s="1770"/>
      <c r="S114" s="1770"/>
      <c r="T114" s="1770"/>
      <c r="U114" s="1770"/>
      <c r="V114" s="1770"/>
      <c r="W114" s="1770"/>
      <c r="X114" s="1770"/>
      <c r="Y114" s="1770"/>
      <c r="Z114" s="1770"/>
      <c r="AA114" s="1770"/>
      <c r="AB114" s="1770"/>
      <c r="AC114" s="1770"/>
    </row>
    <row r="115" spans="1:29" ht="15" thickTop="1">
      <c r="A115" s="543"/>
      <c r="B115" s="615" t="s">
        <v>544</v>
      </c>
      <c r="C115" s="630"/>
      <c r="D115" s="630"/>
      <c r="E115" s="658"/>
      <c r="F115" s="658"/>
      <c r="G115" s="658"/>
      <c r="H115" s="658"/>
      <c r="I115" s="658"/>
      <c r="J115" s="658"/>
      <c r="K115" s="659"/>
      <c r="L115" s="660"/>
      <c r="M115" s="661"/>
      <c r="N115" s="2735"/>
      <c r="O115" s="1766"/>
      <c r="P115" s="1765"/>
      <c r="Q115" s="1762"/>
      <c r="R115" s="1741"/>
      <c r="S115" s="1741"/>
      <c r="T115" s="1741"/>
      <c r="U115" s="1741"/>
      <c r="V115" s="1741"/>
      <c r="W115" s="1741"/>
      <c r="X115" s="1741"/>
      <c r="Y115" s="1741"/>
      <c r="Z115" s="1741"/>
      <c r="AA115" s="1741"/>
      <c r="AB115" s="1741"/>
      <c r="AC115" s="1741"/>
    </row>
    <row r="116" spans="1:29" ht="14.4"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6"/>
      <c r="O116" s="1767"/>
      <c r="P116" s="1765"/>
      <c r="Q116" s="1762"/>
      <c r="R116" s="1741"/>
      <c r="S116" s="1741"/>
      <c r="T116" s="1741"/>
      <c r="U116" s="1741"/>
      <c r="V116" s="1741"/>
      <c r="W116" s="1741"/>
      <c r="X116" s="1741"/>
      <c r="Y116" s="1741"/>
      <c r="Z116" s="1741"/>
      <c r="AA116" s="1741"/>
      <c r="AB116" s="1741"/>
      <c r="AC116" s="1741"/>
    </row>
    <row r="117" spans="1:29" ht="14.4" thickTop="1">
      <c r="A117" s="543"/>
      <c r="B117" s="615">
        <f>B40</f>
        <v>111</v>
      </c>
      <c r="C117" s="630"/>
      <c r="D117" s="630"/>
      <c r="E117" s="630"/>
      <c r="F117" s="630"/>
      <c r="G117" s="630"/>
      <c r="H117" s="658"/>
      <c r="I117" s="658"/>
      <c r="J117" s="658"/>
      <c r="K117" s="659"/>
      <c r="L117" s="660"/>
      <c r="M117" s="661"/>
      <c r="N117" s="2735"/>
      <c r="O117" s="1766"/>
      <c r="P117" s="1765"/>
      <c r="Q117" s="1762"/>
      <c r="R117" s="1741"/>
      <c r="S117" s="1741"/>
      <c r="T117" s="1741"/>
      <c r="U117" s="1741"/>
      <c r="V117" s="1741"/>
      <c r="W117" s="1741"/>
      <c r="X117" s="1741"/>
      <c r="Y117" s="1741"/>
      <c r="Z117" s="1741"/>
      <c r="AA117" s="1741"/>
      <c r="AB117" s="1741"/>
      <c r="AC117" s="1741"/>
    </row>
    <row r="118" spans="1:29" ht="14.4" thickBot="1">
      <c r="A118" s="482"/>
      <c r="B118" s="620"/>
      <c r="C118" s="634"/>
      <c r="D118" s="613"/>
      <c r="E118" s="613"/>
      <c r="F118" s="613"/>
      <c r="G118" s="613"/>
      <c r="H118" s="613"/>
      <c r="I118" s="613"/>
      <c r="J118" s="613"/>
      <c r="K118" s="613"/>
      <c r="L118" s="613"/>
      <c r="M118" s="614"/>
      <c r="N118" s="2736"/>
      <c r="O118" s="1767"/>
      <c r="P118" s="1765"/>
      <c r="Q118" s="1762"/>
      <c r="R118" s="1741"/>
      <c r="S118" s="1741"/>
      <c r="T118" s="1741"/>
      <c r="U118" s="1741"/>
      <c r="V118" s="1741"/>
      <c r="W118" s="1741"/>
      <c r="X118" s="1741"/>
      <c r="Y118" s="1741"/>
      <c r="Z118" s="1741"/>
      <c r="AA118" s="1741"/>
      <c r="AB118" s="1741"/>
      <c r="AC118" s="1741"/>
    </row>
    <row r="119" spans="1:29" ht="14.4" thickTop="1">
      <c r="A119" s="543"/>
      <c r="B119" s="615">
        <f>B41</f>
        <v>111</v>
      </c>
      <c r="C119" s="630"/>
      <c r="D119" s="630"/>
      <c r="E119" s="630"/>
      <c r="F119" s="630"/>
      <c r="G119" s="658"/>
      <c r="H119" s="658"/>
      <c r="I119" s="658"/>
      <c r="J119" s="658"/>
      <c r="K119" s="659"/>
      <c r="L119" s="660"/>
      <c r="M119" s="661"/>
      <c r="N119" s="2735"/>
      <c r="O119" s="1766"/>
      <c r="P119" s="1765"/>
      <c r="Q119" s="1762"/>
      <c r="R119" s="1741"/>
      <c r="S119" s="1741"/>
      <c r="T119" s="1741"/>
      <c r="U119" s="1741"/>
      <c r="V119" s="1741"/>
      <c r="W119" s="1741"/>
      <c r="X119" s="1741"/>
      <c r="Y119" s="1741"/>
      <c r="Z119" s="1741"/>
      <c r="AA119" s="1741"/>
      <c r="AB119" s="1741"/>
      <c r="AC119" s="1741"/>
    </row>
    <row r="120" spans="1:29" ht="14.4" thickBot="1">
      <c r="A120" s="482"/>
      <c r="B120" s="620"/>
      <c r="C120" s="634"/>
      <c r="D120" s="634"/>
      <c r="E120" s="634"/>
      <c r="F120" s="634"/>
      <c r="G120" s="613"/>
      <c r="H120" s="613"/>
      <c r="I120" s="613"/>
      <c r="J120" s="613"/>
      <c r="K120" s="613"/>
      <c r="L120" s="613"/>
      <c r="M120" s="614"/>
      <c r="N120" s="2736"/>
      <c r="O120" s="1767"/>
      <c r="P120" s="1765"/>
      <c r="Q120" s="1762"/>
      <c r="R120" s="1741"/>
      <c r="S120" s="1741"/>
      <c r="T120" s="1741"/>
      <c r="U120" s="1741"/>
      <c r="V120" s="1741"/>
      <c r="W120" s="1741"/>
      <c r="X120" s="1741"/>
      <c r="Y120" s="1741"/>
      <c r="Z120" s="1741"/>
      <c r="AA120" s="1741"/>
      <c r="AB120" s="1741"/>
      <c r="AC120" s="1741"/>
    </row>
    <row r="121" spans="1:29" s="1134" customFormat="1" ht="14.4" thickTop="1">
      <c r="A121" s="552"/>
      <c r="B121" s="615">
        <f>B42</f>
        <v>111</v>
      </c>
      <c r="C121" s="80"/>
      <c r="D121" s="80"/>
      <c r="E121" s="80"/>
      <c r="F121" s="80"/>
      <c r="G121" s="631"/>
      <c r="H121" s="631"/>
      <c r="I121" s="631"/>
      <c r="J121" s="631"/>
      <c r="K121" s="631"/>
      <c r="L121" s="632"/>
      <c r="M121" s="633"/>
      <c r="N121" s="2737"/>
      <c r="O121" s="1768"/>
      <c r="P121" s="1768"/>
      <c r="Q121" s="1769"/>
      <c r="R121" s="1770"/>
      <c r="S121" s="1770"/>
      <c r="T121" s="1770"/>
      <c r="U121" s="1770"/>
      <c r="V121" s="1770"/>
      <c r="W121" s="1770"/>
      <c r="X121" s="1770"/>
      <c r="Y121" s="1770"/>
      <c r="Z121" s="1770"/>
      <c r="AA121" s="1770"/>
      <c r="AB121" s="1770"/>
      <c r="AC121" s="1770"/>
    </row>
    <row r="122" spans="1:29" s="1134" customFormat="1" ht="14.4" thickBot="1">
      <c r="A122" s="640"/>
      <c r="B122" s="673"/>
      <c r="C122" s="642"/>
      <c r="D122" s="642"/>
      <c r="E122" s="642"/>
      <c r="F122" s="642"/>
      <c r="G122" s="666"/>
      <c r="H122" s="666"/>
      <c r="I122" s="666"/>
      <c r="J122" s="666"/>
      <c r="K122" s="666"/>
      <c r="L122" s="666"/>
      <c r="M122" s="667"/>
      <c r="N122" s="2737"/>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E2" sqref="E2"/>
    </sheetView>
  </sheetViews>
  <sheetFormatPr defaultColWidth="12" defaultRowHeight="12"/>
  <cols>
    <col min="1" max="1" width="9.77734375" style="1187" customWidth="1"/>
    <col min="2" max="2" width="24.6640625" style="1273" customWidth="1"/>
    <col min="3" max="4" width="12" style="1188"/>
    <col min="5" max="5" width="14.6640625" style="1188" customWidth="1"/>
    <col min="6" max="8" width="12" style="1188"/>
    <col min="9" max="9" width="12.21875" style="1188" bestFit="1" customWidth="1"/>
    <col min="10" max="10" width="12" style="1188"/>
    <col min="11" max="11" width="9.6640625" style="1185" customWidth="1"/>
    <col min="12" max="12" width="15.77734375" style="1188" customWidth="1"/>
    <col min="13" max="14" width="10.6640625" style="1188" customWidth="1"/>
    <col min="15" max="17" width="12" style="1188"/>
    <col min="18" max="18" width="12" style="1187"/>
    <col min="19" max="22" width="15.44140625" style="1187" customWidth="1"/>
    <col min="23" max="28" width="12" style="1188"/>
    <col min="29" max="29" width="9.33203125" style="1187" customWidth="1"/>
    <col min="30" max="35" width="9.33203125" style="1186" customWidth="1"/>
    <col min="36" max="39" width="9.33203125" style="1187" customWidth="1"/>
    <col min="40" max="41" width="9.33203125" style="1188" customWidth="1"/>
    <col min="42" max="16384" width="12" style="1188"/>
  </cols>
  <sheetData>
    <row r="1" spans="1:39" ht="20.399999999999999">
      <c r="A1" s="1182" t="s">
        <v>1227</v>
      </c>
      <c r="B1" s="1183"/>
      <c r="C1" s="1189" t="s">
        <v>1778</v>
      </c>
      <c r="D1" s="1266">
        <f>SUM(D33:D34,D37:D42)</f>
        <v>0</v>
      </c>
      <c r="E1" s="1189" t="s">
        <v>1779</v>
      </c>
      <c r="F1" s="1251"/>
      <c r="G1" s="1184"/>
      <c r="H1" s="1184"/>
      <c r="I1" s="1184"/>
      <c r="J1" s="1184"/>
      <c r="K1" s="1788"/>
      <c r="L1" s="1540" t="s">
        <v>1597</v>
      </c>
      <c r="M1" s="1541">
        <f>SUMPRODUCT((区片价!B5:B9=I2)*(区片价!C3:G3=E2)*(区片价!C5:G9))</f>
        <v>0</v>
      </c>
      <c r="N1" s="1542">
        <f>SUMPRODUCT((因素修正幅度!B5:B9=I2)*(因素修正幅度!C3:G3=E2)*(因素修正幅度!C5:G9))</f>
        <v>0</v>
      </c>
      <c r="O1" s="1788"/>
      <c r="P1" s="1788"/>
      <c r="Q1" s="1788"/>
      <c r="R1" s="2231" t="s">
        <v>2043</v>
      </c>
      <c r="S1" s="2231" t="s">
        <v>2044</v>
      </c>
      <c r="T1" s="2231" t="s">
        <v>2061</v>
      </c>
      <c r="U1" s="2231" t="s">
        <v>2062</v>
      </c>
      <c r="V1" s="2231" t="s">
        <v>2063</v>
      </c>
      <c r="W1" s="1788"/>
      <c r="X1" s="1788"/>
      <c r="Y1" s="1788"/>
      <c r="Z1" s="1788"/>
      <c r="AA1" s="1788"/>
      <c r="AB1" s="1788"/>
      <c r="AC1" s="1789"/>
    </row>
    <row r="2" spans="1:39" ht="15.6">
      <c r="A2" s="1189" t="s">
        <v>848</v>
      </c>
      <c r="B2" s="941" t="e">
        <f>C30</f>
        <v>#DIV/0!</v>
      </c>
      <c r="C2" s="1190" t="s">
        <v>849</v>
      </c>
      <c r="D2" s="1191" t="s">
        <v>850</v>
      </c>
      <c r="E2" s="1192"/>
      <c r="F2" s="1191" t="s">
        <v>852</v>
      </c>
      <c r="G2" s="1371">
        <f>IF(E2="商业",项目基本情况!B43,IF(E2="办公",项目基本情况!C43,IF(E2="住宅",项目基本情况!D43,IF(E2="工业",项目基本情况!E43,项目基本情况!F43))))</f>
        <v>0</v>
      </c>
      <c r="H2" s="1191" t="s">
        <v>854</v>
      </c>
      <c r="I2" s="946">
        <f>IF(E2="商业",项目基本情况!B44,IF(E2="办公",项目基本情况!C44,IF(E2="住宅",项目基本情况!D44,IF(E2="工业",项目基本情况!E44,项目基本情况!F44))))</f>
        <v>0</v>
      </c>
      <c r="J2" s="1184"/>
      <c r="K2" s="1788"/>
      <c r="L2" s="1543" t="s">
        <v>1598</v>
      </c>
      <c r="M2" s="1544">
        <f>SUMPRODUCT((区片价!B10:B29=I2)*(区片价!C3:G3=E2)*(区片价!C10:G29))</f>
        <v>0</v>
      </c>
      <c r="N2" s="1545">
        <f>SUMPRODUCT((因素修正幅度!B10:B29=I2)*(因素修正幅度!C3:G3=E2)*(因素修正幅度!C10:G29))</f>
        <v>0</v>
      </c>
      <c r="O2" s="1788"/>
      <c r="P2" s="1788"/>
      <c r="Q2" s="1788"/>
      <c r="R2" s="2232">
        <v>1</v>
      </c>
      <c r="S2" s="2232">
        <f>ROUND(SUMPRODUCT((B107:B111=R2)*(C106:N106=G2)*(C107:N111)),4)</f>
        <v>0</v>
      </c>
      <c r="T2" s="2232" t="e">
        <f>ROUND($C$5*$C$22*$C$23*$C$24*S2*$C$28,0)</f>
        <v>#DIV/0!</v>
      </c>
      <c r="U2" s="2222"/>
      <c r="V2" s="2232" t="e">
        <f>ROUND(T2*U2/10000,0)</f>
        <v>#DIV/0!</v>
      </c>
      <c r="W2" s="1788"/>
      <c r="X2" s="1788"/>
      <c r="Y2" s="1788"/>
      <c r="Z2" s="1788"/>
      <c r="AA2" s="1788"/>
      <c r="AB2" s="1788"/>
      <c r="AC2" s="1789"/>
    </row>
    <row r="3" spans="1:39" ht="15.6">
      <c r="A3" s="1193" t="s">
        <v>1220</v>
      </c>
      <c r="B3" s="941" t="e">
        <f>ROUND(B2*10000/D1,0)</f>
        <v>#DIV/0!</v>
      </c>
      <c r="C3" s="1190" t="s">
        <v>855</v>
      </c>
      <c r="D3" s="1191" t="s">
        <v>856</v>
      </c>
      <c r="E3" s="1194"/>
      <c r="F3" s="1195"/>
      <c r="G3" s="942">
        <f>IF(F3="宗地容积率",'数据-汇总表'!I4,IF(F3="估价对象容积率",'数据-汇总表'!I6,'数据-汇总表'!I7))</f>
        <v>0</v>
      </c>
      <c r="H3" s="1191" t="s">
        <v>857</v>
      </c>
      <c r="I3" s="943"/>
      <c r="J3" s="1184" t="s">
        <v>858</v>
      </c>
      <c r="K3" s="1788"/>
      <c r="L3" s="1543" t="s">
        <v>1599</v>
      </c>
      <c r="M3" s="1544">
        <f>SUMPRODUCT((区片价!B30:B54=I2)*(区片价!C3:G3=E2)*(区片价!C30:G54))</f>
        <v>0</v>
      </c>
      <c r="N3" s="1545">
        <f>SUMPRODUCT((因素修正幅度!B30:B54=I2)*(因素修正幅度!C3:G3=E2)*(因素修正幅度!C30:G54))</f>
        <v>0</v>
      </c>
      <c r="O3" s="1788"/>
      <c r="P3" s="1788"/>
      <c r="Q3" s="1788"/>
      <c r="R3" s="2232">
        <v>2</v>
      </c>
      <c r="S3" s="2232">
        <f>ROUND(SUMPRODUCT((B107:B111=R3)*(C106:N106=G2)*(C107:N111)),4)</f>
        <v>0</v>
      </c>
      <c r="T3" s="2232" t="e">
        <f t="shared" ref="T3:T16" si="0">ROUND($C$5*$C$22*$C$23*$C$24*S3*$C$28,0)</f>
        <v>#DIV/0!</v>
      </c>
      <c r="U3" s="2222"/>
      <c r="V3" s="2232" t="e">
        <f t="shared" ref="V3:V16" si="1">ROUND(T3*U3/10000,0)</f>
        <v>#DIV/0!</v>
      </c>
      <c r="W3" s="1788"/>
      <c r="X3" s="1788"/>
      <c r="Y3" s="1788"/>
      <c r="Z3" s="1788"/>
      <c r="AA3" s="1788"/>
      <c r="AB3" s="1788"/>
      <c r="AC3" s="1789"/>
    </row>
    <row r="4" spans="1:39" ht="31.2">
      <c r="A4" s="1549" t="s">
        <v>1638</v>
      </c>
      <c r="B4" s="1969" t="e">
        <f>ROUND(B2*10000/F1,0)</f>
        <v>#DIV/0!</v>
      </c>
      <c r="C4" s="1552" t="s">
        <v>1613</v>
      </c>
      <c r="D4" s="1552" t="e">
        <f>ROUND(B2/(F1/666.67),0)</f>
        <v>#DIV/0!</v>
      </c>
      <c r="E4" s="1552" t="s">
        <v>1614</v>
      </c>
      <c r="F4" s="1550"/>
      <c r="G4" s="1550"/>
      <c r="H4" s="1550"/>
      <c r="I4" s="1550"/>
      <c r="J4" s="1551"/>
      <c r="K4" s="2738"/>
      <c r="L4" s="1543" t="s">
        <v>1600</v>
      </c>
      <c r="M4" s="1544">
        <f>SUMPRODUCT((区片价!B55:B86=I2)*(区片价!C3:G3=E2)*(区片价!C55:G86))</f>
        <v>0</v>
      </c>
      <c r="N4" s="1545">
        <f>SUMPRODUCT((因素修正幅度!B55:B86=I2)*(因素修正幅度!C3:G3=E2)*(因素修正幅度!C55:G86))</f>
        <v>0</v>
      </c>
      <c r="O4" s="2738"/>
      <c r="P4" s="1788"/>
      <c r="Q4" s="1788"/>
      <c r="R4" s="2232">
        <v>3</v>
      </c>
      <c r="S4" s="2232">
        <f>ROUND(SUMPRODUCT((B107:B111=R4)*(C106:N106=G2)*(C107:N111)),4)</f>
        <v>0</v>
      </c>
      <c r="T4" s="2232" t="e">
        <f t="shared" si="0"/>
        <v>#DIV/0!</v>
      </c>
      <c r="U4" s="2222"/>
      <c r="V4" s="2232" t="e">
        <f t="shared" si="1"/>
        <v>#DIV/0!</v>
      </c>
      <c r="W4" s="1788"/>
      <c r="X4" s="1788"/>
      <c r="Y4" s="1788"/>
      <c r="Z4" s="1788"/>
      <c r="AA4" s="1788"/>
      <c r="AB4" s="1788"/>
      <c r="AC4" s="1789"/>
    </row>
    <row r="5" spans="1:39" s="1202" customFormat="1" ht="15.6" thickBot="1">
      <c r="A5" s="1358" t="s">
        <v>1352</v>
      </c>
      <c r="B5" s="1196" t="s">
        <v>859</v>
      </c>
      <c r="C5" s="944" t="e">
        <f>ROUND(IF(E2="商业",C6*C7*C17+C20,(IF(E2="住宅",C6*C13*C17+C20,IF(E2="办公",C6*C12*C17+C20,C6+C20)))),0)</f>
        <v>#DIV/0!</v>
      </c>
      <c r="D5" s="2357" t="e">
        <f>ROUND(C6*C17+C20,0)</f>
        <v>#DIV/0!</v>
      </c>
      <c r="E5" s="2357"/>
      <c r="F5" s="1197"/>
      <c r="G5" s="1198"/>
      <c r="H5" s="1198"/>
      <c r="I5" s="1198"/>
      <c r="J5" s="1199"/>
      <c r="K5" s="2739"/>
      <c r="L5" s="1543" t="s">
        <v>1601</v>
      </c>
      <c r="M5" s="1544">
        <f>SUMPRODUCT((区片价!B87:B126=I2)*(区片价!C3:G3=E2)*(区片价!C87:G126))</f>
        <v>0</v>
      </c>
      <c r="N5" s="1545">
        <f>SUMPRODUCT((因素修正幅度!B87:B126=I2)*(因素修正幅度!C3:G3=E2)*(因素修正幅度!C87:G126))</f>
        <v>0</v>
      </c>
      <c r="O5" s="2739"/>
      <c r="P5" s="2741"/>
      <c r="Q5" s="1788"/>
      <c r="R5" s="2232">
        <v>4</v>
      </c>
      <c r="S5" s="2232">
        <f>ROUND(SUMPRODUCT((B107:B111=R5)*(C106:N106=G2)*(C107:N111)),4)</f>
        <v>0</v>
      </c>
      <c r="T5" s="2232" t="e">
        <f t="shared" si="0"/>
        <v>#DIV/0!</v>
      </c>
      <c r="U5" s="2222"/>
      <c r="V5" s="2232" t="e">
        <f t="shared" si="1"/>
        <v>#DIV/0!</v>
      </c>
      <c r="W5" s="1788"/>
      <c r="X5" s="1788"/>
      <c r="Y5" s="1788"/>
      <c r="Z5" s="1788"/>
      <c r="AA5" s="1788"/>
      <c r="AB5" s="1788"/>
      <c r="AC5" s="1790"/>
      <c r="AD5" s="1200"/>
      <c r="AE5" s="1200"/>
      <c r="AF5" s="1200"/>
      <c r="AG5" s="1200"/>
      <c r="AH5" s="1200"/>
      <c r="AI5" s="1200"/>
      <c r="AJ5" s="1201"/>
      <c r="AK5" s="1201"/>
      <c r="AL5" s="1201"/>
      <c r="AM5" s="1201"/>
    </row>
    <row r="6" spans="1:39" ht="15.6" thickBot="1">
      <c r="A6" s="3249" t="s">
        <v>1395</v>
      </c>
      <c r="B6" s="1203" t="s">
        <v>859</v>
      </c>
      <c r="C6" s="3250">
        <f>SUMIF(L1:L12,G2,M1:M12)</f>
        <v>0</v>
      </c>
      <c r="D6" s="3251" t="s">
        <v>1228</v>
      </c>
      <c r="E6" s="1203"/>
      <c r="F6" s="1203"/>
      <c r="G6" s="3252"/>
      <c r="H6" s="3252"/>
      <c r="I6" s="3252"/>
      <c r="J6" s="3253"/>
      <c r="K6" s="1788"/>
      <c r="L6" s="1543" t="s">
        <v>1602</v>
      </c>
      <c r="M6" s="1544">
        <f>SUMPRODUCT((区片价!B127:B189=I2)*(区片价!C3:G3=E2)*(区片价!C127:G189))</f>
        <v>0</v>
      </c>
      <c r="N6" s="1545">
        <f>SUMPRODUCT((因素修正幅度!B127:B189=I2)*(因素修正幅度!C3:G3=E2)*(因素修正幅度!C127:G189))</f>
        <v>0</v>
      </c>
      <c r="O6" s="1788"/>
      <c r="P6" s="2742"/>
      <c r="Q6" s="1788"/>
      <c r="R6" s="2232">
        <v>5</v>
      </c>
      <c r="S6" s="2232">
        <f>ROUND(SUMPRODUCT((B107:B111=R6)*(C106:N106=G2)*(C107:N111)),4)</f>
        <v>0</v>
      </c>
      <c r="T6" s="2232" t="e">
        <f t="shared" si="0"/>
        <v>#DIV/0!</v>
      </c>
      <c r="U6" s="2222"/>
      <c r="V6" s="2232" t="e">
        <f t="shared" si="1"/>
        <v>#DIV/0!</v>
      </c>
      <c r="W6" s="1788"/>
      <c r="X6" s="1788"/>
      <c r="Y6" s="1788"/>
      <c r="Z6" s="1788"/>
      <c r="AA6" s="1788"/>
      <c r="AB6" s="1788"/>
      <c r="AC6" s="1790"/>
      <c r="AD6" s="1200"/>
      <c r="AE6" s="1200"/>
      <c r="AF6" s="1200"/>
      <c r="AG6" s="1200"/>
      <c r="AH6" s="1200"/>
      <c r="AI6" s="1200"/>
      <c r="AJ6" s="1201"/>
    </row>
    <row r="7" spans="1:39" ht="24.6" thickBot="1">
      <c r="A7" s="3254" t="s">
        <v>3191</v>
      </c>
      <c r="B7" s="1204" t="s">
        <v>860</v>
      </c>
      <c r="C7" s="3255" t="e">
        <f>IF(C8="不临65条商业街",1,ROUND(1+(1.6*E8+1.2*E9+0.8*E10+0.4*E11)*C9,4))</f>
        <v>#DIV/0!</v>
      </c>
      <c r="D7" s="3256" t="s">
        <v>861</v>
      </c>
      <c r="E7" s="3257"/>
      <c r="F7" s="3258"/>
      <c r="G7" s="3258"/>
      <c r="H7" s="3258"/>
      <c r="I7" s="3258"/>
      <c r="J7" s="3259"/>
      <c r="K7" s="1788"/>
      <c r="L7" s="1543" t="s">
        <v>1603</v>
      </c>
      <c r="M7" s="1544">
        <f>SUMPRODUCT((区片价!B190:B233=I2)*(区片价!C3:G3=E2)*(区片价!C190:G233))</f>
        <v>0</v>
      </c>
      <c r="N7" s="1545">
        <f>SUMPRODUCT((因素修正幅度!B190:B233=I2)*(因素修正幅度!C3:G3=E2)*(因素修正幅度!C190:G233))</f>
        <v>0</v>
      </c>
      <c r="O7" s="1788"/>
      <c r="P7" s="2742"/>
      <c r="Q7" s="1788"/>
      <c r="R7" s="2232">
        <v>6</v>
      </c>
      <c r="S7" s="2222"/>
      <c r="T7" s="2232" t="e">
        <f t="shared" si="0"/>
        <v>#DIV/0!</v>
      </c>
      <c r="U7" s="2222"/>
      <c r="V7" s="2232" t="e">
        <f t="shared" si="1"/>
        <v>#DIV/0!</v>
      </c>
      <c r="W7" s="2230" t="s">
        <v>2046</v>
      </c>
      <c r="X7" s="2223">
        <f>G2</f>
        <v>0</v>
      </c>
      <c r="Y7" s="2223" t="s">
        <v>2047</v>
      </c>
      <c r="Z7" s="2224">
        <f>G3</f>
        <v>0</v>
      </c>
      <c r="AA7" s="1791"/>
      <c r="AB7" s="1791"/>
      <c r="AC7" s="1792"/>
      <c r="AD7" s="2225"/>
      <c r="AE7" s="2225"/>
      <c r="AF7" s="2225"/>
      <c r="AG7" s="2225"/>
      <c r="AH7" s="2225"/>
      <c r="AI7" s="2225"/>
      <c r="AJ7" s="2226"/>
    </row>
    <row r="8" spans="1:39" ht="15">
      <c r="A8" s="3260"/>
      <c r="B8" s="1191" t="s">
        <v>862</v>
      </c>
      <c r="C8" s="3261"/>
      <c r="D8" s="3262" t="s">
        <v>863</v>
      </c>
      <c r="E8" s="3263" t="e">
        <f>ROUND(C11/E7,4)</f>
        <v>#DIV/0!</v>
      </c>
      <c r="F8" s="3264" t="s">
        <v>864</v>
      </c>
      <c r="G8" s="3265"/>
      <c r="H8" s="3265"/>
      <c r="I8" s="3265"/>
      <c r="J8" s="3266"/>
      <c r="K8" s="1788"/>
      <c r="L8" s="1543" t="s">
        <v>1604</v>
      </c>
      <c r="M8" s="1544">
        <f>SUMPRODUCT((区片价!B234:B276=I2)*(区片价!C3:G3=E2)*(区片价!C234:G276))</f>
        <v>0</v>
      </c>
      <c r="N8" s="1545">
        <f>SUMPRODUCT((因素修正幅度!B234:B276=I2)*(因素修正幅度!C3:G3=E2)*(因素修正幅度!C234:G276))</f>
        <v>0</v>
      </c>
      <c r="O8" s="1788"/>
      <c r="P8" s="1788"/>
      <c r="Q8" s="1788"/>
      <c r="R8" s="2232">
        <v>7</v>
      </c>
      <c r="S8" s="2222"/>
      <c r="T8" s="2232" t="e">
        <f t="shared" si="0"/>
        <v>#DIV/0!</v>
      </c>
      <c r="U8" s="2222"/>
      <c r="V8" s="2232" t="e">
        <f t="shared" si="1"/>
        <v>#DIV/0!</v>
      </c>
      <c r="W8" s="3671" t="s">
        <v>2060</v>
      </c>
      <c r="X8" s="3672"/>
      <c r="Y8" s="1537" t="s">
        <v>2048</v>
      </c>
      <c r="Z8" s="1537" t="s">
        <v>2049</v>
      </c>
      <c r="AA8" s="1537" t="s">
        <v>2050</v>
      </c>
      <c r="AB8" s="1537" t="s">
        <v>2051</v>
      </c>
      <c r="AC8" s="1537" t="s">
        <v>2052</v>
      </c>
      <c r="AD8" s="1537" t="s">
        <v>2053</v>
      </c>
      <c r="AE8" s="1537" t="s">
        <v>2054</v>
      </c>
      <c r="AF8" s="1537" t="s">
        <v>2055</v>
      </c>
      <c r="AG8" s="1537" t="s">
        <v>2056</v>
      </c>
      <c r="AH8" s="1537" t="s">
        <v>2057</v>
      </c>
      <c r="AI8" s="1537" t="s">
        <v>2058</v>
      </c>
      <c r="AJ8" s="1537" t="s">
        <v>2059</v>
      </c>
    </row>
    <row r="9" spans="1:39" ht="15">
      <c r="A9" s="3260"/>
      <c r="B9" s="1191" t="s">
        <v>865</v>
      </c>
      <c r="C9" s="3267">
        <f>SUMIF(修正!C73:C141,C8,修正!E73:E141)</f>
        <v>0</v>
      </c>
      <c r="D9" s="3268" t="s">
        <v>866</v>
      </c>
      <c r="E9" s="3268" t="e">
        <f>ROUND(C11/E7,4)</f>
        <v>#DIV/0!</v>
      </c>
      <c r="F9" s="3264" t="s">
        <v>867</v>
      </c>
      <c r="G9" s="3265"/>
      <c r="H9" s="3265"/>
      <c r="I9" s="3265"/>
      <c r="J9" s="3266"/>
      <c r="K9" s="1788"/>
      <c r="L9" s="1543" t="s">
        <v>1605</v>
      </c>
      <c r="M9" s="1544">
        <f>SUMPRODUCT((区片价!B277:B326=I2)*(区片价!C3:G3=E2)*(区片价!C277:G326))</f>
        <v>0</v>
      </c>
      <c r="N9" s="1545">
        <f>SUMPRODUCT((因素修正幅度!B277:B326=I2)*(因素修正幅度!C3:G3=E2)*(因素修正幅度!C277:G326))</f>
        <v>0</v>
      </c>
      <c r="O9" s="1788"/>
      <c r="P9" s="1788"/>
      <c r="Q9" s="1788"/>
      <c r="R9" s="2232">
        <v>8</v>
      </c>
      <c r="S9" s="2222"/>
      <c r="T9" s="2232" t="e">
        <f t="shared" si="0"/>
        <v>#DIV/0!</v>
      </c>
      <c r="U9" s="2222"/>
      <c r="V9" s="2232" t="e">
        <f t="shared" si="1"/>
        <v>#DIV/0!</v>
      </c>
      <c r="W9" s="3670"/>
      <c r="X9" s="2227" t="s">
        <v>3214</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60"/>
      <c r="B10" s="1191" t="s">
        <v>868</v>
      </c>
      <c r="C10" s="3268">
        <f>SUMIF(修正!C73:C141,C8,修正!F73:F141)</f>
        <v>0</v>
      </c>
      <c r="D10" s="3268" t="s">
        <v>869</v>
      </c>
      <c r="E10" s="3268" t="e">
        <f>ROUND(C11/E7,4)</f>
        <v>#DIV/0!</v>
      </c>
      <c r="F10" s="3264" t="s">
        <v>870</v>
      </c>
      <c r="G10" s="3265"/>
      <c r="H10" s="3265"/>
      <c r="I10" s="3265"/>
      <c r="J10" s="3266"/>
      <c r="K10" s="1788"/>
      <c r="L10" s="1543" t="s">
        <v>1606</v>
      </c>
      <c r="M10" s="1544">
        <f>SUMPRODUCT((区片价!B327:B357=I2)*(区片价!C3:G3=E2)*(区片价!C327:G357))</f>
        <v>0</v>
      </c>
      <c r="N10" s="1545">
        <f>SUMPRODUCT((因素修正幅度!B327:B357=I2)*(因素修正幅度!C3:G3=E2)*(因素修正幅度!C327:G357))</f>
        <v>0</v>
      </c>
      <c r="O10" s="1788"/>
      <c r="P10" s="1788"/>
      <c r="Q10" s="1788"/>
      <c r="R10" s="2232">
        <v>9</v>
      </c>
      <c r="S10" s="2222"/>
      <c r="T10" s="2232" t="e">
        <f t="shared" si="0"/>
        <v>#DIV/0!</v>
      </c>
      <c r="U10" s="2222"/>
      <c r="V10" s="2232" t="e">
        <f t="shared" si="1"/>
        <v>#DIV/0!</v>
      </c>
      <c r="W10" s="3670"/>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60"/>
      <c r="B11" s="1208" t="s">
        <v>871</v>
      </c>
      <c r="C11" s="3269">
        <f>C10/4</f>
        <v>0</v>
      </c>
      <c r="D11" s="3269" t="s">
        <v>872</v>
      </c>
      <c r="E11" s="3269" t="e">
        <f>ROUND(C11/E7,4)</f>
        <v>#DIV/0!</v>
      </c>
      <c r="F11" s="3270" t="s">
        <v>873</v>
      </c>
      <c r="G11" s="3271"/>
      <c r="H11" s="3271"/>
      <c r="I11" s="3271"/>
      <c r="J11" s="3272"/>
      <c r="K11" s="1788"/>
      <c r="L11" s="1543" t="s">
        <v>1607</v>
      </c>
      <c r="M11" s="1544">
        <f>SUMPRODUCT((区片价!B358:B377=I2)*(区片价!C3:G3=E2)*(区片价!C358:G377))</f>
        <v>0</v>
      </c>
      <c r="N11" s="1545">
        <f>SUMPRODUCT((因素修正幅度!B358:B377=I2)*(因素修正幅度!C3:G3=E2)*(因素修正幅度!C358:G377))</f>
        <v>0</v>
      </c>
      <c r="O11" s="1788"/>
      <c r="P11" s="1788"/>
      <c r="Q11" s="1788"/>
      <c r="R11" s="2232">
        <v>10</v>
      </c>
      <c r="S11" s="2222"/>
      <c r="T11" s="2232" t="e">
        <f t="shared" si="0"/>
        <v>#DIV/0!</v>
      </c>
      <c r="U11" s="2222"/>
      <c r="V11" s="2232" t="e">
        <f t="shared" si="1"/>
        <v>#DIV/0!</v>
      </c>
      <c r="W11" s="1788"/>
      <c r="X11" s="1788"/>
      <c r="Y11" s="1788"/>
      <c r="Z11" s="1788"/>
      <c r="AA11" s="1788"/>
      <c r="AB11" s="1788"/>
      <c r="AC11" s="1789"/>
    </row>
    <row r="12" spans="1:39" ht="25.8" thickBot="1">
      <c r="A12" s="3254" t="s">
        <v>3192</v>
      </c>
      <c r="B12" s="3236" t="s">
        <v>3193</v>
      </c>
      <c r="C12" s="3242">
        <v>1.02</v>
      </c>
      <c r="D12" s="3237" t="s">
        <v>3194</v>
      </c>
      <c r="E12" s="3238" t="s">
        <v>3195</v>
      </c>
      <c r="F12" s="3239"/>
      <c r="G12" s="3240"/>
      <c r="H12" s="3240"/>
      <c r="I12" s="3240"/>
      <c r="J12" s="3241"/>
      <c r="K12" s="1788"/>
      <c r="L12" s="1546" t="s">
        <v>1608</v>
      </c>
      <c r="M12" s="1547">
        <f>SUMPRODUCT((区片价!B378:B384=I2)*(区片价!C3:G3=E2)*(区片价!C378:G384))</f>
        <v>0</v>
      </c>
      <c r="N12" s="1548">
        <f>SUMPRODUCT((因素修正幅度!B378:B384=I2)*(因素修正幅度!C3:G3=E2)*(因素修正幅度!C378:G384))</f>
        <v>0</v>
      </c>
      <c r="O12" s="1788"/>
      <c r="P12" s="1788"/>
      <c r="Q12" s="1788"/>
      <c r="R12" s="2232">
        <v>11</v>
      </c>
      <c r="S12" s="2222"/>
      <c r="T12" s="2232" t="e">
        <f t="shared" si="0"/>
        <v>#DIV/0!</v>
      </c>
      <c r="U12" s="2222"/>
      <c r="V12" s="2232" t="e">
        <f t="shared" si="1"/>
        <v>#DIV/0!</v>
      </c>
      <c r="W12" s="1788"/>
      <c r="X12" s="1788"/>
      <c r="Y12" s="1788"/>
      <c r="Z12" s="1788"/>
      <c r="AA12" s="1788"/>
      <c r="AB12" s="1788"/>
      <c r="AC12" s="1789"/>
    </row>
    <row r="13" spans="1:39" ht="24.6" thickBot="1">
      <c r="A13" s="3254" t="s">
        <v>3196</v>
      </c>
      <c r="B13" s="1209" t="s">
        <v>874</v>
      </c>
      <c r="C13" s="3255">
        <f>ROUND(C16*D16*E16*F16*G16*H16*I16*J16,4)</f>
        <v>0</v>
      </c>
      <c r="D13" s="3273" t="s">
        <v>3197</v>
      </c>
      <c r="E13" s="3274"/>
      <c r="F13" s="3274"/>
      <c r="G13" s="3274"/>
      <c r="H13" s="3274"/>
      <c r="I13" s="3274"/>
      <c r="J13" s="3275"/>
      <c r="K13" s="1789"/>
      <c r="L13" s="1789"/>
      <c r="M13" s="1789"/>
      <c r="N13" s="1789"/>
      <c r="O13" s="1789"/>
      <c r="P13" s="1788"/>
      <c r="Q13" s="1788"/>
      <c r="R13" s="2232">
        <v>12</v>
      </c>
      <c r="S13" s="2222"/>
      <c r="T13" s="2232" t="e">
        <f t="shared" si="0"/>
        <v>#DIV/0!</v>
      </c>
      <c r="U13" s="2222"/>
      <c r="V13" s="2232" t="e">
        <f t="shared" si="1"/>
        <v>#DIV/0!</v>
      </c>
      <c r="W13" s="1788"/>
      <c r="X13" s="1788"/>
      <c r="Y13" s="1788"/>
      <c r="Z13" s="1788"/>
      <c r="AA13" s="1788"/>
      <c r="AB13" s="1788"/>
      <c r="AC13" s="1789"/>
    </row>
    <row r="14" spans="1:39" ht="12.75" customHeight="1">
      <c r="A14" s="3276"/>
      <c r="B14" s="1213" t="s">
        <v>1229</v>
      </c>
      <c r="C14" s="3192" t="s">
        <v>1230</v>
      </c>
      <c r="D14" s="1215" t="s">
        <v>1231</v>
      </c>
      <c r="E14" s="750" t="s">
        <v>3198</v>
      </c>
      <c r="F14" s="3277" t="s">
        <v>1178</v>
      </c>
      <c r="G14" s="3277" t="s">
        <v>1178</v>
      </c>
      <c r="H14" s="3278" t="s">
        <v>1178</v>
      </c>
      <c r="I14" s="3278" t="s">
        <v>1178</v>
      </c>
      <c r="J14" s="3278" t="s">
        <v>1178</v>
      </c>
      <c r="K14" s="2740"/>
      <c r="L14" s="2740"/>
      <c r="M14" s="2740"/>
      <c r="N14" s="2740"/>
      <c r="O14" s="2740"/>
      <c r="P14" s="1788"/>
      <c r="Q14" s="1788"/>
      <c r="R14" s="2232">
        <v>13</v>
      </c>
      <c r="S14" s="2222"/>
      <c r="T14" s="2232" t="e">
        <f t="shared" si="0"/>
        <v>#DIV/0!</v>
      </c>
      <c r="U14" s="2222"/>
      <c r="V14" s="2232" t="e">
        <f t="shared" si="1"/>
        <v>#DIV/0!</v>
      </c>
      <c r="W14" s="1788"/>
      <c r="X14" s="1788"/>
      <c r="Y14" s="1788"/>
      <c r="Z14" s="1788"/>
      <c r="AA14" s="1788"/>
      <c r="AB14" s="1788"/>
      <c r="AC14" s="1789"/>
    </row>
    <row r="15" spans="1:39" ht="13.5" customHeight="1">
      <c r="A15" s="3276"/>
      <c r="B15" s="1215"/>
      <c r="C15" s="3279"/>
      <c r="D15" s="3280"/>
      <c r="E15" s="3281"/>
      <c r="F15" s="3281"/>
      <c r="G15" s="1038" t="s">
        <v>3199</v>
      </c>
      <c r="H15" s="3245"/>
      <c r="I15" s="3246"/>
      <c r="J15" s="3247"/>
      <c r="K15" s="3248"/>
      <c r="L15" s="1792"/>
      <c r="M15" s="1792"/>
      <c r="N15" s="1792"/>
      <c r="O15" s="1792"/>
      <c r="P15" s="1788"/>
      <c r="Q15" s="1788"/>
      <c r="R15" s="2232">
        <v>14</v>
      </c>
      <c r="S15" s="2222"/>
      <c r="T15" s="2232" t="e">
        <f t="shared" si="0"/>
        <v>#DIV/0!</v>
      </c>
      <c r="U15" s="2222"/>
      <c r="V15" s="2232" t="e">
        <f t="shared" si="1"/>
        <v>#DIV/0!</v>
      </c>
      <c r="W15" s="1788"/>
      <c r="X15" s="1788"/>
      <c r="Y15" s="1788"/>
      <c r="Z15" s="1788"/>
      <c r="AA15" s="1788"/>
      <c r="AB15" s="1788"/>
      <c r="AC15" s="1789"/>
    </row>
    <row r="16" spans="1:39" ht="24.6" customHeight="1" thickBot="1">
      <c r="A16" s="3276"/>
      <c r="B16" s="2405" t="s">
        <v>1232</v>
      </c>
      <c r="C16" s="3243"/>
      <c r="D16" s="3243"/>
      <c r="E16" s="3243"/>
      <c r="F16" s="3243"/>
      <c r="G16" s="3243">
        <v>1</v>
      </c>
      <c r="H16" s="3243">
        <v>1</v>
      </c>
      <c r="I16" s="3243">
        <v>1</v>
      </c>
      <c r="J16" s="3244">
        <v>1</v>
      </c>
      <c r="K16" s="1792"/>
      <c r="L16" s="1792"/>
      <c r="M16" s="1792"/>
      <c r="N16" s="1792"/>
      <c r="O16" s="1792"/>
      <c r="P16" s="1788"/>
      <c r="Q16" s="1788"/>
      <c r="R16" s="2232">
        <v>15</v>
      </c>
      <c r="S16" s="2222"/>
      <c r="T16" s="2232" t="e">
        <f t="shared" si="0"/>
        <v>#DIV/0!</v>
      </c>
      <c r="U16" s="2222"/>
      <c r="V16" s="2232" t="e">
        <f t="shared" si="1"/>
        <v>#DIV/0!</v>
      </c>
      <c r="W16" s="1791"/>
      <c r="X16" s="1791"/>
      <c r="Y16" s="1791"/>
      <c r="Z16" s="1791"/>
      <c r="AA16" s="1791"/>
      <c r="AB16" s="1791"/>
      <c r="AC16" s="1792"/>
    </row>
    <row r="17" spans="1:40" ht="24">
      <c r="A17" s="3283" t="s">
        <v>3200</v>
      </c>
      <c r="B17" s="3284" t="s">
        <v>3201</v>
      </c>
      <c r="C17" s="3292">
        <f>ROUND(IF(OR(E2="工业",E2="公共服务"),1,IF(AND(E18=0,E19=0),1,IF(AND(E18=J24,E19=G19),0.8,IF(E19=0,1+E17*(-0.2),1+E17*G17*(-0.2))))),4)</f>
        <v>1</v>
      </c>
      <c r="D17" s="3285" t="s">
        <v>3202</v>
      </c>
      <c r="E17" s="3292" t="e">
        <f>ROUND(G18/I18,2)</f>
        <v>#DIV/0!</v>
      </c>
      <c r="F17" s="3285" t="s">
        <v>3205</v>
      </c>
      <c r="G17" s="3292" t="e">
        <f>ROUND(E19/G19,2)</f>
        <v>#DIV/0!</v>
      </c>
      <c r="H17" s="3292"/>
      <c r="I17" s="3292"/>
      <c r="J17" s="3371"/>
      <c r="K17" s="1792"/>
      <c r="L17" s="1792"/>
      <c r="M17" s="1792"/>
      <c r="N17" s="1792"/>
      <c r="O17" s="1792"/>
      <c r="P17" s="1788"/>
      <c r="Q17" s="1788"/>
      <c r="R17" s="1792"/>
      <c r="S17" s="1792"/>
      <c r="T17" s="1792"/>
      <c r="U17" s="1792"/>
      <c r="V17" s="1792"/>
      <c r="W17" s="1791"/>
      <c r="X17" s="1791"/>
      <c r="Y17" s="1791"/>
      <c r="Z17" s="1791"/>
      <c r="AA17" s="1791"/>
      <c r="AB17" s="1791"/>
      <c r="AC17" s="1792"/>
      <c r="AH17" s="1185"/>
      <c r="AI17" s="1185"/>
      <c r="AJ17" s="1188"/>
      <c r="AK17" s="1188"/>
      <c r="AL17" s="1188"/>
      <c r="AM17" s="1188"/>
    </row>
    <row r="18" spans="1:40" s="1202" customFormat="1" ht="14.4">
      <c r="A18" s="3276"/>
      <c r="B18" s="3156"/>
      <c r="C18" s="3290"/>
      <c r="D18" s="3286" t="s">
        <v>3203</v>
      </c>
      <c r="E18" s="3291"/>
      <c r="F18" s="3288" t="s">
        <v>3206</v>
      </c>
      <c r="G18" s="3290">
        <f>ROUND(1-(1/(POWER(1+G24,E18))),4)</f>
        <v>0</v>
      </c>
      <c r="H18" s="3288" t="s">
        <v>3208</v>
      </c>
      <c r="I18" s="3290">
        <f>ROUND(1-(1/(POWER(1+G24,J24))),4)</f>
        <v>0</v>
      </c>
      <c r="J18" s="3372"/>
      <c r="K18" s="1792"/>
      <c r="L18" s="1792"/>
      <c r="M18" s="1792"/>
      <c r="N18" s="1792"/>
      <c r="O18" s="1792"/>
      <c r="P18" s="1788"/>
      <c r="Q18" s="1788"/>
      <c r="R18" s="1793"/>
      <c r="S18" s="1793"/>
      <c r="T18" s="1793"/>
      <c r="U18" s="1793"/>
      <c r="V18" s="1793"/>
      <c r="W18" s="1792"/>
      <c r="X18" s="1792"/>
      <c r="Y18" s="1792"/>
      <c r="Z18" s="1792"/>
      <c r="AA18" s="1791"/>
      <c r="AB18" s="1791"/>
      <c r="AC18" s="1794"/>
      <c r="AD18" s="1220"/>
      <c r="AE18" s="1220"/>
      <c r="AF18" s="1220"/>
      <c r="AG18" s="1220"/>
      <c r="AH18" s="1186"/>
      <c r="AI18" s="1186"/>
      <c r="AJ18" s="1187"/>
      <c r="AK18" s="1187"/>
      <c r="AL18" s="1187"/>
    </row>
    <row r="19" spans="1:40" s="1202" customFormat="1" ht="15" thickBot="1">
      <c r="A19" s="3282"/>
      <c r="B19" s="3159"/>
      <c r="C19" s="3287"/>
      <c r="D19" s="3287" t="s">
        <v>3204</v>
      </c>
      <c r="E19" s="3293"/>
      <c r="F19" s="3289" t="s">
        <v>3207</v>
      </c>
      <c r="G19" s="3293"/>
      <c r="H19" s="3287"/>
      <c r="I19" s="3287"/>
      <c r="J19" s="3373"/>
      <c r="K19" s="1792"/>
      <c r="L19" s="1792"/>
      <c r="M19" s="1792"/>
      <c r="N19" s="1792"/>
      <c r="O19" s="1792"/>
      <c r="P19" s="1788"/>
      <c r="Q19" s="1788"/>
      <c r="R19" s="1794"/>
      <c r="S19" s="1794"/>
      <c r="T19" s="1794"/>
      <c r="U19" s="1794"/>
      <c r="V19" s="1794"/>
      <c r="W19" s="1794"/>
      <c r="X19" s="1794"/>
      <c r="Y19" s="1186"/>
      <c r="Z19" s="1186"/>
      <c r="AA19" s="1186"/>
      <c r="AB19" s="1186"/>
      <c r="AC19" s="1220"/>
      <c r="AD19" s="1221"/>
      <c r="AE19" s="1225"/>
      <c r="AF19" s="1187"/>
      <c r="AG19" s="1201"/>
      <c r="AH19" s="1201"/>
      <c r="AI19" s="1201"/>
    </row>
    <row r="20" spans="1:40" s="1202" customFormat="1" ht="14.4">
      <c r="A20" s="3664" t="s">
        <v>1370</v>
      </c>
      <c r="B20" s="1204" t="s">
        <v>875</v>
      </c>
      <c r="C20" s="948" t="e">
        <f>ROUND(IF(F21="与级别开发程度一致",0,(G21-E21)/C21),0)</f>
        <v>#DIV/0!</v>
      </c>
      <c r="D20" s="3676" t="s">
        <v>879</v>
      </c>
      <c r="E20" s="3677"/>
      <c r="F20" s="3676" t="s">
        <v>876</v>
      </c>
      <c r="G20" s="3677"/>
      <c r="H20" s="1216"/>
      <c r="I20" s="1216"/>
      <c r="J20" s="1216"/>
      <c r="K20" s="1216"/>
      <c r="L20" s="1216"/>
      <c r="M20" s="1216"/>
      <c r="N20" s="1216"/>
      <c r="O20" s="2410"/>
      <c r="P20" s="1788"/>
      <c r="Q20" s="1791"/>
      <c r="R20" s="1794"/>
      <c r="S20" s="1794"/>
      <c r="T20" s="1794"/>
      <c r="U20" s="1794"/>
      <c r="V20" s="1794"/>
      <c r="W20" s="1794"/>
      <c r="X20" s="1794"/>
      <c r="Y20" s="1220"/>
      <c r="Z20" s="1220"/>
      <c r="AA20" s="1220"/>
      <c r="AB20" s="1220"/>
      <c r="AC20" s="1220"/>
      <c r="AD20" s="1220"/>
    </row>
    <row r="21" spans="1:40" s="1202" customFormat="1" ht="15" thickBot="1">
      <c r="A21" s="3665"/>
      <c r="B21" s="2411" t="s">
        <v>878</v>
      </c>
      <c r="C21" s="2412">
        <f>IF(E3="M4科研用地",SUMPRODUCT((修正!A2:A7=E3)*(修正!B1:M1=G2)*(修正!B2:M7)),SUMPRODUCT((修正!A2:A7=E2)*(修正!B1:M1=G2)*(修正!B2:M7)))</f>
        <v>0</v>
      </c>
      <c r="D21" s="2413" t="str">
        <f>IF(OR(G2="八级",G2="九级",G2="十级",G2="十一级",G2="十二级"),"五通一平","七通一平")</f>
        <v>七通一平</v>
      </c>
      <c r="E21" s="2403">
        <f>SUMPRODUCT((修正!B1:M1=G2)*(修正!B17:M17))</f>
        <v>0</v>
      </c>
      <c r="F21" s="2404"/>
      <c r="G21" s="2403">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4">
        <f>SUMPRODUCT((七通一平=O20)*(修正!B1:M1=G2)*(修正!B8:M16))</f>
        <v>0</v>
      </c>
      <c r="P21" s="1788"/>
      <c r="Q21" s="1791"/>
      <c r="R21" s="1794"/>
      <c r="S21" s="1794"/>
      <c r="T21" s="1794"/>
      <c r="U21" s="1794"/>
      <c r="V21" s="1794"/>
      <c r="W21" s="1794"/>
      <c r="X21" s="1794"/>
      <c r="Y21" s="1186"/>
      <c r="Z21" s="1186"/>
      <c r="AA21" s="1186"/>
      <c r="AB21" s="1186"/>
      <c r="AC21" s="1220"/>
      <c r="AD21" s="1220"/>
    </row>
    <row r="22" spans="1:40" s="1202" customFormat="1" ht="15" thickBot="1">
      <c r="A22" s="2094" t="s">
        <v>1358</v>
      </c>
      <c r="B22" s="2406" t="s">
        <v>880</v>
      </c>
      <c r="C22" s="2407">
        <f>SUMIF(修正!C20:C53,E3,修正!E20:E53)</f>
        <v>0</v>
      </c>
      <c r="D22" s="2408"/>
      <c r="E22" s="2409"/>
      <c r="F22" s="2396"/>
      <c r="G22" s="1229"/>
      <c r="H22" s="1229"/>
      <c r="I22" s="1229"/>
      <c r="J22" s="2401"/>
      <c r="K22" s="2739"/>
      <c r="L22" s="1229"/>
      <c r="M22" s="1229"/>
      <c r="N22" s="1229"/>
      <c r="O22" s="1229"/>
      <c r="P22" s="2739"/>
      <c r="Q22" s="1793"/>
      <c r="R22" s="1794"/>
      <c r="S22" s="1794"/>
      <c r="T22" s="1794"/>
      <c r="U22" s="1794"/>
      <c r="V22" s="1794"/>
      <c r="W22" s="1794"/>
      <c r="X22" s="1794"/>
      <c r="Y22" s="1220"/>
      <c r="Z22" s="1220"/>
      <c r="AA22" s="1220"/>
      <c r="AB22" s="1220"/>
      <c r="AC22" s="1220"/>
      <c r="AD22" s="1220"/>
    </row>
    <row r="23" spans="1:40" ht="29.4" thickBot="1">
      <c r="A23" s="1359" t="s">
        <v>1364</v>
      </c>
      <c r="B23" s="1219" t="s">
        <v>881</v>
      </c>
      <c r="C23" s="94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2" t="s">
        <v>882</v>
      </c>
      <c r="E23" s="950">
        <v>44197</v>
      </c>
      <c r="F23" s="1222" t="s">
        <v>883</v>
      </c>
      <c r="G23" s="951">
        <f>'数据-取费表'!B2</f>
        <v>45849</v>
      </c>
      <c r="H23" s="1223" t="s">
        <v>2247</v>
      </c>
      <c r="I23" s="2100" t="str">
        <f>IF(H23="季度增幅（自定义）",SUMIF(N25:N28,E2,O25:O28),"")</f>
        <v/>
      </c>
      <c r="J23" s="3294" t="s">
        <v>3258</v>
      </c>
      <c r="K23" s="2739"/>
      <c r="L23" s="2322" t="s">
        <v>2116</v>
      </c>
      <c r="M23" s="2323">
        <f>ROUND(SUMIF(地价!B2:F2,E2,地价!B41:F41),0)</f>
        <v>0</v>
      </c>
      <c r="N23" s="2102" t="s">
        <v>1211</v>
      </c>
      <c r="O23" s="2101">
        <f>ROUNDDOWN(DATEDIF(E23,G23,"M")/3,0)</f>
        <v>18</v>
      </c>
      <c r="P23" s="1792"/>
      <c r="Q23" s="2221"/>
      <c r="R23" s="1794"/>
      <c r="S23" s="1794"/>
      <c r="T23" s="1794"/>
      <c r="U23" s="1794"/>
      <c r="V23" s="1794"/>
      <c r="W23" s="1794"/>
      <c r="X23" s="1794"/>
      <c r="Y23" s="1186"/>
      <c r="Z23" s="1186"/>
      <c r="AA23" s="1186"/>
      <c r="AB23" s="1186"/>
      <c r="AC23" s="1186"/>
      <c r="AE23" s="1187"/>
      <c r="AF23" s="1187"/>
      <c r="AG23" s="1187"/>
      <c r="AH23" s="1187"/>
      <c r="AI23" s="1187"/>
      <c r="AJ23" s="1188"/>
      <c r="AK23" s="1188"/>
      <c r="AL23" s="1188"/>
      <c r="AM23" s="1188"/>
    </row>
    <row r="24" spans="1:40" s="1202" customFormat="1" ht="29.4" thickBot="1">
      <c r="A24" s="2094" t="s">
        <v>1365</v>
      </c>
      <c r="B24" s="2095" t="s">
        <v>896</v>
      </c>
      <c r="C24" s="2096" t="e">
        <f>ROUND(POWER(1+G24,J24-I24)*(POWER(1+G24,I24)-1)/(POWER(1+G24,J24)-1),4)</f>
        <v>#DIV/0!</v>
      </c>
      <c r="D24" s="2097" t="s">
        <v>897</v>
      </c>
      <c r="E24" s="2349">
        <f>存贷款利率!E28/100</f>
        <v>4.3499999999999997E-2</v>
      </c>
      <c r="F24" s="2097" t="s">
        <v>898</v>
      </c>
      <c r="G24" s="2098">
        <f>SUMIF(M30:Q30,E2,M33:Q33)</f>
        <v>0</v>
      </c>
      <c r="H24" s="2097" t="s">
        <v>899</v>
      </c>
      <c r="I24" s="2093" t="e">
        <f>SUMIF('数据-取费表'!C6:C15,E2,'数据-取费表'!F6:F15)/COUNTIF('数据-取费表'!C6:C15,E2)</f>
        <v>#DIV/0!</v>
      </c>
      <c r="J24" s="2099">
        <f>IF(E2="住宅",70,IF(E2="商业",40,50))</f>
        <v>50</v>
      </c>
      <c r="K24" s="1792"/>
      <c r="L24" s="2324" t="s">
        <v>2117</v>
      </c>
      <c r="M24" s="2398">
        <f>ROUND(SUMPRODUCT((地价!A4:A41=YEAR(G23)&amp;"-"&amp;ROUNDUP(MONTH(G23)/3,0))*(地价!B2:F2=E2)*(地价!B4:F41)),0)</f>
        <v>0</v>
      </c>
      <c r="N24" s="2105" t="s">
        <v>1927</v>
      </c>
      <c r="O24" s="2103" t="s">
        <v>1926</v>
      </c>
      <c r="P24" s="2104" t="s">
        <v>1932</v>
      </c>
      <c r="Q24" s="2221"/>
      <c r="R24" s="1794"/>
      <c r="S24" s="1794"/>
      <c r="T24" s="1794"/>
      <c r="U24" s="1794"/>
      <c r="V24" s="1794"/>
      <c r="W24" s="1794"/>
      <c r="X24" s="1794"/>
      <c r="Y24" s="1220"/>
      <c r="Z24" s="1220"/>
      <c r="AA24" s="1220"/>
      <c r="AB24" s="1220"/>
      <c r="AC24" s="1220"/>
      <c r="AD24" s="1220"/>
    </row>
    <row r="25" spans="1:40" ht="14.4">
      <c r="A25" s="1361" t="s">
        <v>1366</v>
      </c>
      <c r="B25" s="1228" t="s">
        <v>2275</v>
      </c>
      <c r="C25" s="1004">
        <f>IF(B25="容积率修正",IF(G3&lt;10,D26,J26),C27)</f>
        <v>0</v>
      </c>
      <c r="D25" s="1229"/>
      <c r="E25" s="1229"/>
      <c r="F25" s="1229"/>
      <c r="G25" s="1229"/>
      <c r="H25" s="1229"/>
      <c r="I25" s="1229"/>
      <c r="J25" s="1230"/>
      <c r="K25" s="2739"/>
      <c r="L25" s="1229"/>
      <c r="M25" s="1229"/>
      <c r="N25" s="1226" t="s">
        <v>900</v>
      </c>
      <c r="O25" s="1286"/>
      <c r="P25" s="2092">
        <f>SUMPRODUCT((地价!A3:A41=YEAR(G23)&amp;"-"&amp;ROUNDUP(MONTH(G23)/3,0))*(地价!AD2:AH2=N25)*(地价!AD3:AH41))</f>
        <v>0</v>
      </c>
      <c r="Q25" s="2221"/>
      <c r="R25" s="1794"/>
      <c r="S25" s="1794"/>
      <c r="T25" s="1794"/>
      <c r="U25" s="1794"/>
      <c r="V25" s="1794"/>
      <c r="W25" s="1794"/>
      <c r="X25" s="1794"/>
      <c r="Y25" s="1186"/>
      <c r="Z25" s="1186"/>
      <c r="AA25" s="1186"/>
      <c r="AB25" s="1186"/>
      <c r="AC25" s="1186"/>
      <c r="AE25" s="1187"/>
      <c r="AF25" s="1187"/>
      <c r="AG25" s="1187"/>
      <c r="AH25" s="1187"/>
      <c r="AI25" s="1188"/>
      <c r="AJ25" s="1188"/>
      <c r="AK25" s="1188"/>
      <c r="AL25" s="1188"/>
      <c r="AM25" s="1188"/>
    </row>
    <row r="26" spans="1:40" ht="14.4">
      <c r="A26" s="1362" t="s">
        <v>1395</v>
      </c>
      <c r="B26" s="1231" t="s">
        <v>901</v>
      </c>
      <c r="C26" s="3295" t="s">
        <v>3209</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5" t="s">
        <v>3210</v>
      </c>
      <c r="J26" s="952" t="str">
        <f>IF(G3&gt;=10,D116,"——")</f>
        <v>——</v>
      </c>
      <c r="K26" s="2221"/>
      <c r="L26" s="1229"/>
      <c r="M26" s="1229"/>
      <c r="N26" s="1226" t="s">
        <v>902</v>
      </c>
      <c r="O26" s="1286"/>
      <c r="P26" s="2092">
        <f>SUMPRODUCT((地价!A3:A41=YEAR(G23)&amp;"-"&amp;ROUNDUP(MONTH(G23)/3,0))*(地价!AD2:AH2=N26)*(地价!AD3:AH41))</f>
        <v>0</v>
      </c>
      <c r="Q26" s="2221"/>
      <c r="R26" s="1794"/>
      <c r="S26" s="1794"/>
      <c r="T26" s="1794"/>
      <c r="U26" s="1794"/>
      <c r="V26" s="1794"/>
      <c r="W26" s="1794"/>
      <c r="X26" s="1794"/>
      <c r="Y26" s="1220"/>
      <c r="Z26" s="1220"/>
      <c r="AA26" s="1220"/>
      <c r="AB26" s="1220"/>
      <c r="AC26" s="1186"/>
      <c r="AE26" s="1187"/>
      <c r="AF26" s="1187"/>
      <c r="AG26" s="1187"/>
      <c r="AH26" s="1187"/>
      <c r="AI26" s="1188"/>
      <c r="AJ26" s="1188"/>
      <c r="AK26" s="1188"/>
      <c r="AL26" s="1188"/>
      <c r="AM26" s="1188"/>
    </row>
    <row r="27" spans="1:40" ht="15" thickBot="1">
      <c r="A27" s="1362" t="s">
        <v>1396</v>
      </c>
      <c r="B27" s="1231" t="s">
        <v>903</v>
      </c>
      <c r="C27" s="953">
        <f>ROUND(IF(I3&lt;6,SUMPRODUCT((B107:B111=I3)*(C106:N106=G2)*(C107:N111)),SUMIF(C106:N106,G2,C113:N113)),4)</f>
        <v>0</v>
      </c>
      <c r="D27" s="1274"/>
      <c r="E27" s="1274"/>
      <c r="F27" s="1275"/>
      <c r="G27" s="1276"/>
      <c r="H27" s="1277"/>
      <c r="I27" s="1278"/>
      <c r="J27" s="1278"/>
      <c r="K27" s="1794"/>
      <c r="L27" s="1184"/>
      <c r="M27" s="1184"/>
      <c r="N27" s="1226" t="s">
        <v>851</v>
      </c>
      <c r="O27" s="1286"/>
      <c r="P27" s="2092">
        <f>SUMPRODUCT((地价!A3:A41=YEAR(G23)&amp;"-"&amp;ROUNDUP(MONTH(G23)/3,0))*(地价!AD2:AH2=N27)*(地价!AD3:AH41))</f>
        <v>0</v>
      </c>
      <c r="Q27" s="2221"/>
      <c r="R27" s="2221"/>
      <c r="S27" s="2221"/>
      <c r="T27" s="2221"/>
      <c r="U27" s="2221"/>
      <c r="V27" s="2221"/>
      <c r="W27" s="1794"/>
      <c r="X27" s="1794"/>
      <c r="Y27" s="1794"/>
      <c r="Z27" s="1794"/>
      <c r="AA27" s="1794"/>
      <c r="AB27" s="1794"/>
      <c r="AC27" s="1794"/>
    </row>
    <row r="28" spans="1:40" ht="15" thickBot="1">
      <c r="A28" s="1360" t="s">
        <v>1397</v>
      </c>
      <c r="B28" s="1196" t="s">
        <v>904</v>
      </c>
      <c r="C28" s="954">
        <f>SUMIF(A47:A101,E2,B47:B101)</f>
        <v>0</v>
      </c>
      <c r="D28" s="1279"/>
      <c r="E28" s="1280"/>
      <c r="F28" s="1280"/>
      <c r="G28" s="1280"/>
      <c r="H28" s="1280"/>
      <c r="I28" s="1280"/>
      <c r="J28" s="1280"/>
      <c r="K28" s="1794"/>
      <c r="L28" s="1229"/>
      <c r="M28" s="1229"/>
      <c r="N28" s="1226" t="s">
        <v>905</v>
      </c>
      <c r="O28" s="2397"/>
      <c r="P28" s="2092">
        <f>SUMPRODUCT((地价!A3:A41=YEAR(G23)&amp;"-"&amp;ROUNDUP(MONTH(G23)/3,0))*(地价!AD2:AH2=N28)*(地价!AD3:AH41))</f>
        <v>0</v>
      </c>
      <c r="Q28" s="2221"/>
      <c r="R28" s="2221"/>
      <c r="S28" s="2221"/>
      <c r="T28" s="2221"/>
      <c r="U28" s="2221"/>
      <c r="V28" s="2221"/>
      <c r="W28" s="1794"/>
      <c r="X28" s="1794"/>
      <c r="Y28" s="1794"/>
      <c r="Z28" s="1794"/>
      <c r="AA28" s="1794"/>
      <c r="AB28" s="1794"/>
      <c r="AC28" s="1794"/>
      <c r="AD28" s="1220"/>
      <c r="AE28" s="1220"/>
      <c r="AF28" s="1220"/>
      <c r="AG28" s="1220"/>
    </row>
    <row r="29" spans="1:40" ht="15" thickBot="1">
      <c r="A29" s="1360" t="s">
        <v>1398</v>
      </c>
      <c r="B29" s="1233" t="s">
        <v>906</v>
      </c>
      <c r="C29" s="1234"/>
      <c r="D29" s="1206"/>
      <c r="E29" s="1206"/>
      <c r="F29" s="1235"/>
      <c r="G29" s="1206"/>
      <c r="H29" s="1206"/>
      <c r="I29" s="1206"/>
      <c r="J29" s="1207"/>
      <c r="K29" s="1788"/>
      <c r="L29" s="1794"/>
      <c r="M29" s="1794"/>
      <c r="N29" s="2399" t="s">
        <v>1930</v>
      </c>
      <c r="O29" s="2400"/>
      <c r="P29" s="1966">
        <f>SUMPRODUCT((地价!A3:A41=YEAR(G23)&amp;"-"&amp;ROUNDUP(MONTH(G23)/3,0))*(地价!AD2:AH2=N29)*(地价!AD3:AH41))</f>
        <v>0</v>
      </c>
      <c r="Q29" s="2221"/>
      <c r="R29" s="1794"/>
      <c r="S29" s="1794"/>
      <c r="T29" s="1794"/>
      <c r="U29" s="1794"/>
      <c r="V29" s="1794"/>
      <c r="W29" s="2221"/>
      <c r="X29" s="2221"/>
      <c r="Y29" s="2221"/>
      <c r="Z29" s="2221"/>
      <c r="AA29" s="2221"/>
      <c r="AB29" s="1794"/>
      <c r="AC29" s="1794"/>
      <c r="AD29" s="1794"/>
      <c r="AE29" s="1794"/>
      <c r="AF29" s="1794"/>
      <c r="AG29" s="1794"/>
      <c r="AH29" s="1794"/>
      <c r="AJ29" s="1186"/>
      <c r="AK29" s="1186"/>
      <c r="AL29" s="1186"/>
      <c r="AM29" s="1185"/>
      <c r="AN29" s="1185"/>
    </row>
    <row r="30" spans="1:40" ht="14.4">
      <c r="A30" s="1236"/>
      <c r="B30" s="1231" t="s">
        <v>910</v>
      </c>
      <c r="C30" s="2552" t="e">
        <f>IF(B25="容积率修正",E33+SUM(E37:E42),SUM(V2:V16)+SUM(E37:E42))</f>
        <v>#DIV/0!</v>
      </c>
      <c r="D30" s="1237"/>
      <c r="E30" s="1184"/>
      <c r="F30" s="1238"/>
      <c r="G30" s="1184"/>
      <c r="H30" s="1184"/>
      <c r="I30" s="1184"/>
      <c r="J30" s="1239"/>
      <c r="K30" s="1788"/>
      <c r="L30" s="1325" t="s">
        <v>833</v>
      </c>
      <c r="M30" s="1205" t="s">
        <v>907</v>
      </c>
      <c r="N30" s="1205" t="s">
        <v>908</v>
      </c>
      <c r="O30" s="1205" t="s">
        <v>835</v>
      </c>
      <c r="P30" s="1224" t="s">
        <v>909</v>
      </c>
      <c r="Q30" s="1224" t="s">
        <v>3236</v>
      </c>
      <c r="R30" s="1788"/>
      <c r="S30" s="1788"/>
      <c r="T30" s="1788"/>
      <c r="U30" s="1788"/>
      <c r="V30" s="1788"/>
      <c r="W30" s="1789"/>
      <c r="X30" s="1789"/>
      <c r="Y30" s="1789"/>
      <c r="Z30" s="1789"/>
      <c r="AA30" s="1789"/>
      <c r="AB30" s="1788"/>
      <c r="AC30" s="1788"/>
      <c r="AD30" s="1788"/>
      <c r="AE30" s="1788"/>
      <c r="AF30" s="1788"/>
      <c r="AG30" s="1788"/>
      <c r="AH30" s="1788"/>
      <c r="AI30" s="1220"/>
      <c r="AJ30" s="1220"/>
      <c r="AK30" s="1220"/>
      <c r="AL30" s="1220"/>
      <c r="AM30" s="1185"/>
      <c r="AN30" s="1185"/>
    </row>
    <row r="31" spans="1:40" ht="15" thickBot="1">
      <c r="A31" s="1236"/>
      <c r="B31" s="1240" t="s">
        <v>912</v>
      </c>
      <c r="C31" s="956" t="e">
        <f>E34+SUM(I37:I42)</f>
        <v>#DIV/0!</v>
      </c>
      <c r="D31" s="1241"/>
      <c r="E31" s="1242"/>
      <c r="F31" s="1243"/>
      <c r="G31" s="1242"/>
      <c r="H31" s="1242"/>
      <c r="I31" s="1242"/>
      <c r="J31" s="1244"/>
      <c r="K31" s="1788"/>
      <c r="L31" s="1217" t="s">
        <v>911</v>
      </c>
      <c r="M31" s="945">
        <v>0.25</v>
      </c>
      <c r="N31" s="945">
        <v>0.2</v>
      </c>
      <c r="O31" s="945">
        <v>0.15</v>
      </c>
      <c r="P31" s="1283">
        <v>0.1</v>
      </c>
      <c r="Q31" s="1283">
        <v>0.15</v>
      </c>
      <c r="R31" s="1788"/>
      <c r="S31" s="1788"/>
      <c r="T31" s="1788"/>
      <c r="U31" s="1788"/>
      <c r="V31" s="1788"/>
      <c r="W31" s="1789"/>
      <c r="X31" s="1789"/>
      <c r="Y31" s="1789"/>
      <c r="Z31" s="1789"/>
      <c r="AA31" s="1789"/>
      <c r="AB31" s="1788"/>
      <c r="AC31" s="1788"/>
      <c r="AD31" s="1788"/>
      <c r="AE31" s="1788"/>
      <c r="AF31" s="1788"/>
      <c r="AG31" s="1788"/>
      <c r="AH31" s="1788"/>
      <c r="AJ31" s="1186"/>
      <c r="AK31" s="1186"/>
      <c r="AL31" s="1186"/>
      <c r="AM31" s="1185"/>
      <c r="AN31" s="1185"/>
    </row>
    <row r="32" spans="1:40" ht="15" thickBot="1">
      <c r="A32" s="1232"/>
      <c r="B32" s="1245" t="s">
        <v>913</v>
      </c>
      <c r="C32" s="1246" t="s">
        <v>914</v>
      </c>
      <c r="D32" s="1246" t="s">
        <v>915</v>
      </c>
      <c r="E32" s="1247" t="s">
        <v>916</v>
      </c>
      <c r="F32" s="1248"/>
      <c r="G32" s="1211"/>
      <c r="H32" s="1211"/>
      <c r="I32" s="1211"/>
      <c r="J32" s="1212"/>
      <c r="K32" s="1788"/>
      <c r="L32" s="1218" t="s">
        <v>898</v>
      </c>
      <c r="M32" s="1284">
        <f>ROUND($E$24*(1+M31),3)</f>
        <v>5.3999999999999999E-2</v>
      </c>
      <c r="N32" s="1284">
        <f>ROUND($E$24*(1+N31),3)</f>
        <v>5.1999999999999998E-2</v>
      </c>
      <c r="O32" s="1284">
        <f>ROUND($E$24*(1+O31),3)</f>
        <v>0.05</v>
      </c>
      <c r="P32" s="1285">
        <f>ROUND($E$24*(1+P31),3)</f>
        <v>4.8000000000000001E-2</v>
      </c>
      <c r="Q32" s="1285">
        <f>ROUND($E$24*(1+Q31),3)</f>
        <v>0.05</v>
      </c>
      <c r="R32" s="1788"/>
      <c r="S32" s="1788"/>
      <c r="T32" s="1788"/>
      <c r="U32" s="1788"/>
      <c r="V32" s="1788"/>
      <c r="W32" s="1789"/>
      <c r="X32" s="1789"/>
      <c r="Y32" s="1789"/>
      <c r="Z32" s="1789"/>
      <c r="AA32" s="1789"/>
      <c r="AB32" s="1788"/>
      <c r="AC32" s="1788"/>
      <c r="AD32" s="1788"/>
      <c r="AE32" s="1788"/>
      <c r="AF32" s="1788"/>
      <c r="AG32" s="1788"/>
      <c r="AH32" s="1788"/>
      <c r="AI32" s="1185"/>
      <c r="AJ32" s="1185"/>
      <c r="AK32" s="1185"/>
      <c r="AL32" s="1185"/>
      <c r="AM32" s="1185"/>
      <c r="AN32" s="1185"/>
    </row>
    <row r="33" spans="1:44" ht="13.2">
      <c r="A33" s="1249"/>
      <c r="B33" s="1250" t="s">
        <v>917</v>
      </c>
      <c r="C33" s="955" t="e">
        <f>ROUND(C5*C22*C23*C24*C25*C28,0)</f>
        <v>#DIV/0!</v>
      </c>
      <c r="D33" s="1251"/>
      <c r="E33" s="1537" t="e">
        <f>ROUND(C33*D33/10000,0)</f>
        <v>#DIV/0!</v>
      </c>
      <c r="F33" s="3296" t="s">
        <v>3211</v>
      </c>
      <c r="G33" s="1252"/>
      <c r="H33" s="1252"/>
      <c r="I33" s="1252"/>
      <c r="J33" s="1253"/>
      <c r="K33" s="2743"/>
      <c r="L33" s="3364" t="s">
        <v>3237</v>
      </c>
      <c r="M33" s="3365">
        <v>5.5E-2</v>
      </c>
      <c r="N33" s="3365">
        <v>5.5E-2</v>
      </c>
      <c r="O33" s="3365">
        <v>0.05</v>
      </c>
      <c r="P33" s="3365">
        <v>0.05</v>
      </c>
      <c r="Q33" s="3365">
        <v>0.05</v>
      </c>
      <c r="R33" s="1788"/>
      <c r="S33" s="1788"/>
      <c r="T33" s="1788"/>
      <c r="U33" s="1788"/>
      <c r="V33" s="1788"/>
      <c r="W33" s="1789"/>
      <c r="X33" s="1789"/>
      <c r="Y33" s="1789"/>
      <c r="Z33" s="1789"/>
      <c r="AA33" s="1789"/>
      <c r="AB33" s="1788"/>
      <c r="AC33" s="1788"/>
      <c r="AD33" s="1788"/>
      <c r="AE33" s="1788"/>
      <c r="AF33" s="1788"/>
      <c r="AG33" s="1788"/>
      <c r="AH33" s="1789"/>
      <c r="AJ33" s="1186"/>
      <c r="AK33" s="1186"/>
      <c r="AL33" s="1186"/>
      <c r="AM33" s="1186"/>
      <c r="AN33" s="1186"/>
      <c r="AO33" s="1187"/>
      <c r="AP33" s="1187"/>
      <c r="AQ33" s="1187"/>
      <c r="AR33" s="1187"/>
    </row>
    <row r="34" spans="1:44" ht="24.6" thickBot="1">
      <c r="A34" s="1254"/>
      <c r="B34" s="1255" t="s">
        <v>918</v>
      </c>
      <c r="C34" s="947" t="e">
        <f>ROUND(IF(E2="工业",C33*M42,IF(B25="楼层修正",SUM(V2:V16)*M41*10000/D34,C33*M41)),0)</f>
        <v>#DIV/0!</v>
      </c>
      <c r="D34" s="1256"/>
      <c r="E34" s="1537" t="e">
        <f>ROUND(IF(B25="楼层修正",SUM(V2:V16)*#REF!,C34*D34/10000),0)</f>
        <v>#DIV/0!</v>
      </c>
      <c r="F34" s="3297" t="s">
        <v>3212</v>
      </c>
      <c r="G34" s="1257"/>
      <c r="H34" s="1257"/>
      <c r="I34" s="1257"/>
      <c r="J34" s="1258"/>
      <c r="K34" s="1788"/>
      <c r="L34" s="3364" t="s">
        <v>3238</v>
      </c>
      <c r="M34" s="3365">
        <v>6.5000000000000002E-2</v>
      </c>
      <c r="N34" s="3365">
        <v>6.5000000000000002E-2</v>
      </c>
      <c r="O34" s="3365">
        <v>0.06</v>
      </c>
      <c r="P34" s="3365">
        <v>0.06</v>
      </c>
      <c r="Q34" s="3365">
        <v>0.06</v>
      </c>
      <c r="R34" s="1788"/>
      <c r="S34" s="1788"/>
      <c r="T34" s="1788"/>
      <c r="U34" s="1788"/>
      <c r="V34" s="1788"/>
      <c r="W34" s="1789"/>
      <c r="X34" s="1789"/>
      <c r="Y34" s="1789"/>
      <c r="Z34" s="1789"/>
      <c r="AA34" s="1789"/>
      <c r="AB34" s="1788"/>
      <c r="AC34" s="1788"/>
      <c r="AD34" s="1788"/>
      <c r="AE34" s="1788"/>
      <c r="AF34" s="1788"/>
      <c r="AG34" s="1788"/>
      <c r="AH34" s="1789"/>
      <c r="AJ34" s="1186"/>
      <c r="AK34" s="1186"/>
      <c r="AL34" s="1186"/>
      <c r="AM34" s="1186"/>
      <c r="AN34" s="1186"/>
      <c r="AO34" s="1187"/>
      <c r="AP34" s="1187"/>
      <c r="AQ34" s="1187"/>
      <c r="AR34" s="1187"/>
    </row>
    <row r="35" spans="1:44">
      <c r="A35" s="1259"/>
      <c r="B35" s="1260" t="s">
        <v>920</v>
      </c>
      <c r="C35" s="1261" t="s">
        <v>921</v>
      </c>
      <c r="D35" s="1211"/>
      <c r="E35" s="1261"/>
      <c r="F35" s="1261"/>
      <c r="G35" s="1210" t="s">
        <v>919</v>
      </c>
      <c r="H35" s="1211"/>
      <c r="I35" s="1262"/>
      <c r="J35" s="1212"/>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6"/>
      <c r="AK35" s="1186"/>
      <c r="AL35" s="1186"/>
      <c r="AM35" s="1186"/>
      <c r="AN35" s="1186"/>
      <c r="AO35" s="1187"/>
      <c r="AP35" s="1187"/>
      <c r="AQ35" s="1187"/>
      <c r="AR35" s="1187"/>
    </row>
    <row r="36" spans="1:44" ht="36.6" thickBot="1">
      <c r="A36" s="1249"/>
      <c r="B36" s="1263"/>
      <c r="C36" s="1264" t="s">
        <v>914</v>
      </c>
      <c r="D36" s="1265" t="s">
        <v>915</v>
      </c>
      <c r="E36" s="1265" t="s">
        <v>916</v>
      </c>
      <c r="F36" s="1266" t="s">
        <v>922</v>
      </c>
      <c r="G36" s="1227" t="s">
        <v>914</v>
      </c>
      <c r="H36" s="1227" t="s">
        <v>915</v>
      </c>
      <c r="I36" s="1227" t="s">
        <v>916</v>
      </c>
      <c r="J36" s="1267"/>
      <c r="K36" s="3366" t="s">
        <v>3239</v>
      </c>
      <c r="L36" s="3368">
        <f ca="1">'数据-取费表'!B40</f>
        <v>0.03</v>
      </c>
      <c r="M36" s="3369">
        <f ca="1">ROUND($L$36*(1+M31),3)</f>
        <v>3.7999999999999999E-2</v>
      </c>
      <c r="N36" s="3369">
        <f ca="1">ROUND($L$36*(1+N31),3)</f>
        <v>3.5999999999999997E-2</v>
      </c>
      <c r="O36" s="3369">
        <f ca="1">ROUND($L$36*(1+O31),3)</f>
        <v>3.5000000000000003E-2</v>
      </c>
      <c r="P36" s="3369">
        <f ca="1">ROUND($L$36*(1+P31),3)</f>
        <v>3.3000000000000002E-2</v>
      </c>
      <c r="Q36" s="3369">
        <f ca="1">ROUND($L$36*(1+Q31),3)</f>
        <v>3.5000000000000003E-2</v>
      </c>
      <c r="R36" s="1788"/>
      <c r="S36" s="1788"/>
      <c r="T36" s="1788"/>
      <c r="U36" s="1788"/>
      <c r="V36" s="1788"/>
      <c r="W36" s="1789"/>
      <c r="X36" s="1789"/>
      <c r="Y36" s="1789"/>
      <c r="Z36" s="1789"/>
      <c r="AA36" s="1789"/>
      <c r="AB36" s="1788"/>
      <c r="AC36" s="1788"/>
      <c r="AD36" s="1788"/>
      <c r="AE36" s="1788"/>
      <c r="AF36" s="1788"/>
      <c r="AG36" s="1788"/>
      <c r="AH36" s="1789"/>
      <c r="AJ36" s="1186"/>
      <c r="AK36" s="1186"/>
      <c r="AL36" s="1186"/>
      <c r="AM36" s="1186"/>
      <c r="AN36" s="1186"/>
      <c r="AO36" s="1187"/>
      <c r="AP36" s="1187"/>
      <c r="AQ36" s="1187"/>
      <c r="AR36" s="1187"/>
    </row>
    <row r="37" spans="1:44" ht="24.6" thickBot="1">
      <c r="A37" s="3668"/>
      <c r="B37" s="1269" t="s">
        <v>923</v>
      </c>
      <c r="C37" s="955" t="e">
        <f>ROUND(D5*C22*C23*C24*C28*F37,0)</f>
        <v>#DIV/0!</v>
      </c>
      <c r="D37" s="1281"/>
      <c r="E37" s="946" t="e">
        <f>ROUND(C37*D37/10000,0)</f>
        <v>#DIV/0!</v>
      </c>
      <c r="F37" s="946">
        <f>SUMIF(修正!A59:A70,G2,修正!B59:B70)</f>
        <v>0</v>
      </c>
      <c r="G37" s="946" t="e">
        <f>ROUND(IF(E2="工业",C37*$M$42,C37*$M$41),0)</f>
        <v>#DIV/0!</v>
      </c>
      <c r="H37" s="946">
        <f>D37</f>
        <v>0</v>
      </c>
      <c r="I37" s="946" t="e">
        <f>ROUND(G37*H37/10000,0)</f>
        <v>#DIV/0!</v>
      </c>
      <c r="J37" s="3668"/>
      <c r="K37" s="3367" t="s">
        <v>3240</v>
      </c>
      <c r="L37" s="3368">
        <f ca="1">L36+K38</f>
        <v>3.4999999999999996E-2</v>
      </c>
      <c r="M37" s="3369">
        <f ca="1">ROUND($L$37*(1+M31),3)</f>
        <v>4.3999999999999997E-2</v>
      </c>
      <c r="N37" s="3369">
        <f t="shared" ref="N37:Q37" ca="1" si="3">ROUND($L$37*(1+N31),3)</f>
        <v>4.2000000000000003E-2</v>
      </c>
      <c r="O37" s="3369">
        <f t="shared" ca="1" si="3"/>
        <v>0.04</v>
      </c>
      <c r="P37" s="3369">
        <f t="shared" ca="1" si="3"/>
        <v>3.9E-2</v>
      </c>
      <c r="Q37" s="3369">
        <f t="shared" ca="1" si="3"/>
        <v>0.04</v>
      </c>
      <c r="R37" s="1789"/>
      <c r="S37" s="1789"/>
      <c r="T37" s="1789"/>
      <c r="U37" s="1789"/>
      <c r="V37" s="1789"/>
      <c r="W37" s="1788"/>
      <c r="X37" s="1788"/>
      <c r="Y37" s="1788"/>
      <c r="Z37" s="1788"/>
      <c r="AA37" s="1788"/>
      <c r="AB37" s="1788"/>
      <c r="AC37" s="1789"/>
    </row>
    <row r="38" spans="1:44" ht="13.2">
      <c r="A38" s="3669"/>
      <c r="B38" s="1214" t="s">
        <v>924</v>
      </c>
      <c r="C38" s="955" t="e">
        <f>ROUND(D5*C22*C23*C24*C28*F38,0)</f>
        <v>#DIV/0!</v>
      </c>
      <c r="D38" s="1281"/>
      <c r="E38" s="946" t="e">
        <f t="shared" ref="E38:E42" si="4">ROUND(C38*D38/10000,0)</f>
        <v>#DIV/0!</v>
      </c>
      <c r="F38" s="946">
        <f>SUMIF(修正!A59:A70,G2,修正!C59:C70)</f>
        <v>0</v>
      </c>
      <c r="G38" s="946" t="e">
        <f>ROUND(IF(E2="工业",C38*$M$42,C38*$M$41),0)</f>
        <v>#DIV/0!</v>
      </c>
      <c r="H38" s="946">
        <f t="shared" ref="H38:H42" si="5">D38</f>
        <v>0</v>
      </c>
      <c r="I38" s="946" t="e">
        <f t="shared" ref="I38:I42" si="6">ROUND(G38*H38/10000,0)</f>
        <v>#DIV/0!</v>
      </c>
      <c r="J38" s="3669"/>
      <c r="K38" s="3366">
        <v>5.0000000000000001E-3</v>
      </c>
      <c r="L38" s="3366"/>
      <c r="M38" s="3366"/>
      <c r="N38" s="3366"/>
      <c r="O38" s="3366"/>
      <c r="P38" s="3366"/>
      <c r="Q38" s="3366"/>
      <c r="R38" s="1789"/>
      <c r="S38" s="1789"/>
      <c r="T38" s="1789"/>
      <c r="U38" s="1789"/>
      <c r="V38" s="1789"/>
      <c r="W38" s="1788"/>
      <c r="X38" s="1788"/>
      <c r="Y38" s="1788"/>
      <c r="Z38" s="1788"/>
      <c r="AA38" s="1788"/>
      <c r="AB38" s="1788"/>
      <c r="AC38" s="1789"/>
    </row>
    <row r="39" spans="1:44" ht="13.8" thickBot="1">
      <c r="A39" s="3669"/>
      <c r="B39" s="3298" t="s">
        <v>3213</v>
      </c>
      <c r="C39" s="955" t="e">
        <f>ROUND(D5*C22*C23*C24*C28*F39,0)</f>
        <v>#DIV/0!</v>
      </c>
      <c r="D39" s="1281"/>
      <c r="E39" s="946" t="e">
        <f t="shared" si="4"/>
        <v>#DIV/0!</v>
      </c>
      <c r="F39" s="946">
        <f>SUMIF(修正!A59:A70,G2,修正!D59:D70)</f>
        <v>0</v>
      </c>
      <c r="G39" s="946" t="e">
        <f>ROUND(IF(E2="工业",C39*$M$42,C39*$M$41),0)</f>
        <v>#DIV/0!</v>
      </c>
      <c r="H39" s="946">
        <f t="shared" si="5"/>
        <v>0</v>
      </c>
      <c r="I39" s="946" t="e">
        <f t="shared" si="6"/>
        <v>#DIV/0!</v>
      </c>
      <c r="J39" s="3669"/>
      <c r="K39" s="1789"/>
      <c r="L39" s="1789"/>
      <c r="M39" s="1789"/>
      <c r="N39" s="1789"/>
      <c r="O39" s="1789"/>
      <c r="P39" s="1788"/>
      <c r="Q39" s="1788"/>
      <c r="R39" s="1789"/>
      <c r="S39" s="1789"/>
      <c r="T39" s="1789"/>
      <c r="U39" s="1789"/>
      <c r="V39" s="1789"/>
      <c r="W39" s="1788"/>
      <c r="X39" s="1788"/>
      <c r="Y39" s="1788"/>
      <c r="Z39" s="1788"/>
      <c r="AA39" s="1788"/>
      <c r="AB39" s="1788"/>
      <c r="AC39" s="1789"/>
    </row>
    <row r="40" spans="1:44" s="1185" customFormat="1" ht="13.2">
      <c r="A40" s="1268"/>
      <c r="B40" s="1214" t="s">
        <v>925</v>
      </c>
      <c r="C40" s="946" t="e">
        <f>ROUND(D5*C22*C23*C24*C28*F40,0)</f>
        <v>#DIV/0!</v>
      </c>
      <c r="D40" s="1281"/>
      <c r="E40" s="946" t="e">
        <f t="shared" si="4"/>
        <v>#DIV/0!</v>
      </c>
      <c r="F40" s="955">
        <f>SUMIF(修正!A59:A70,G2,修正!E59:E70)</f>
        <v>0</v>
      </c>
      <c r="G40" s="946" t="e">
        <f>ROUND(IF(E2="工业",C40*$M$42,C40*$M$41),0)</f>
        <v>#DIV/0!</v>
      </c>
      <c r="H40" s="946">
        <f t="shared" si="5"/>
        <v>0</v>
      </c>
      <c r="I40" s="946" t="e">
        <f t="shared" si="6"/>
        <v>#DIV/0!</v>
      </c>
      <c r="J40" s="1270"/>
      <c r="K40" s="1788"/>
      <c r="L40" s="1287" t="s">
        <v>1233</v>
      </c>
      <c r="M40" s="1288"/>
      <c r="N40" s="1788"/>
      <c r="O40" s="1788"/>
      <c r="P40" s="1788"/>
      <c r="Q40" s="1788"/>
      <c r="R40" s="1796"/>
      <c r="S40" s="1796"/>
      <c r="T40" s="1796"/>
      <c r="U40" s="1796"/>
      <c r="V40" s="1796"/>
      <c r="W40" s="1795"/>
      <c r="X40" s="1795"/>
      <c r="Y40" s="1795"/>
      <c r="Z40" s="1795"/>
      <c r="AA40" s="1795"/>
      <c r="AB40" s="1795"/>
      <c r="AC40" s="1796"/>
      <c r="AD40" s="1186"/>
      <c r="AE40" s="1186"/>
      <c r="AF40" s="1186"/>
      <c r="AG40" s="1186"/>
      <c r="AH40" s="1186"/>
      <c r="AI40" s="1186"/>
      <c r="AJ40" s="1186"/>
      <c r="AK40" s="1186"/>
      <c r="AL40" s="1186"/>
      <c r="AM40" s="1186"/>
    </row>
    <row r="41" spans="1:44" s="1185" customFormat="1" ht="13.2">
      <c r="A41" s="1268"/>
      <c r="B41" s="1214" t="s">
        <v>926</v>
      </c>
      <c r="C41" s="946" t="e">
        <f>ROUND(D5*C22*C23*C44*C28*F41,0)</f>
        <v>#DIV/0!</v>
      </c>
      <c r="D41" s="1281"/>
      <c r="E41" s="946" t="e">
        <f t="shared" si="4"/>
        <v>#DIV/0!</v>
      </c>
      <c r="F41" s="955">
        <f>SUMIF(修正!A59:A70,G2,修正!F59:F70)</f>
        <v>0</v>
      </c>
      <c r="G41" s="946" t="e">
        <f>ROUND(IF(E2="工业",C41*$M$42,C41*$M$41),0)</f>
        <v>#DIV/0!</v>
      </c>
      <c r="H41" s="946">
        <f t="shared" si="5"/>
        <v>0</v>
      </c>
      <c r="I41" s="946" t="e">
        <f t="shared" si="6"/>
        <v>#DIV/0!</v>
      </c>
      <c r="J41" s="1270"/>
      <c r="K41" s="1788"/>
      <c r="L41" s="3370" t="s">
        <v>3241</v>
      </c>
      <c r="M41" s="1289">
        <v>0.25</v>
      </c>
      <c r="N41" s="1788"/>
      <c r="O41" s="1788"/>
      <c r="P41" s="1788"/>
      <c r="Q41" s="1788"/>
      <c r="R41" s="1796"/>
      <c r="S41" s="1796"/>
      <c r="T41" s="1796"/>
      <c r="U41" s="1796"/>
      <c r="V41" s="1796"/>
      <c r="W41" s="1795"/>
      <c r="X41" s="1795"/>
      <c r="Y41" s="1795"/>
      <c r="Z41" s="1795"/>
      <c r="AA41" s="1795"/>
      <c r="AB41" s="1795"/>
      <c r="AC41" s="1796"/>
      <c r="AD41" s="1186"/>
      <c r="AE41" s="1186"/>
      <c r="AF41" s="1186"/>
      <c r="AG41" s="1186"/>
      <c r="AH41" s="1186"/>
      <c r="AI41" s="1186"/>
      <c r="AJ41" s="1186"/>
      <c r="AK41" s="1186"/>
      <c r="AL41" s="1186"/>
      <c r="AM41" s="1186"/>
    </row>
    <row r="42" spans="1:44" s="1185" customFormat="1" ht="13.8" thickBot="1">
      <c r="A42" s="1254"/>
      <c r="B42" s="1271" t="s">
        <v>927</v>
      </c>
      <c r="C42" s="947" t="e">
        <f>ROUND(D5*C22*C23*C44*C28*F42,0)</f>
        <v>#DIV/0!</v>
      </c>
      <c r="D42" s="1282"/>
      <c r="E42" s="947" t="e">
        <f t="shared" si="4"/>
        <v>#DIV/0!</v>
      </c>
      <c r="F42" s="957">
        <f>SUMIF(修正!A59:A70,G2,修正!G59:G70)</f>
        <v>0</v>
      </c>
      <c r="G42" s="947" t="e">
        <f>ROUND(IF(E2="工业",C42*$M$42,C42*$M$41),0)</f>
        <v>#DIV/0!</v>
      </c>
      <c r="H42" s="947">
        <f t="shared" si="5"/>
        <v>0</v>
      </c>
      <c r="I42" s="947" t="e">
        <f t="shared" si="6"/>
        <v>#DIV/0!</v>
      </c>
      <c r="J42" s="1272"/>
      <c r="K42" s="1788"/>
      <c r="L42" s="1290" t="s">
        <v>1234</v>
      </c>
      <c r="M42" s="1291">
        <v>0.15</v>
      </c>
      <c r="N42" s="1788"/>
      <c r="O42" s="1788"/>
      <c r="P42" s="1788"/>
      <c r="Q42" s="1788"/>
      <c r="R42" s="1796"/>
      <c r="S42" s="1796"/>
      <c r="T42" s="1796"/>
      <c r="U42" s="1796"/>
      <c r="V42" s="1796"/>
      <c r="W42" s="1795"/>
      <c r="X42" s="1795"/>
      <c r="Y42" s="1795"/>
      <c r="Z42" s="1795"/>
      <c r="AA42" s="1795"/>
      <c r="AB42" s="1795"/>
      <c r="AC42" s="1796"/>
      <c r="AD42" s="1186"/>
      <c r="AE42" s="1186"/>
      <c r="AF42" s="1186"/>
      <c r="AG42" s="1186"/>
      <c r="AH42" s="1186"/>
      <c r="AI42" s="1186"/>
      <c r="AJ42" s="1186"/>
      <c r="AK42" s="1186"/>
      <c r="AL42" s="1186"/>
      <c r="AM42" s="1186"/>
    </row>
    <row r="43" spans="1:44" s="1185" customFormat="1">
      <c r="B43" s="1795"/>
      <c r="C43" s="1795"/>
      <c r="D43" s="1795"/>
      <c r="E43" s="1795"/>
      <c r="F43" s="1795"/>
      <c r="G43" s="1795"/>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6"/>
      <c r="AE43" s="1186"/>
      <c r="AF43" s="1186"/>
      <c r="AG43" s="1186"/>
      <c r="AH43" s="1186"/>
      <c r="AI43" s="1186"/>
      <c r="AJ43" s="1186"/>
      <c r="AK43" s="1186"/>
      <c r="AL43" s="1186"/>
      <c r="AM43" s="1186"/>
    </row>
    <row r="44" spans="1:44" s="1185" customFormat="1" ht="24">
      <c r="A44" s="1186"/>
      <c r="B44" s="2395" t="s">
        <v>2243</v>
      </c>
      <c r="C44" s="773" t="e">
        <f>ROUND(POWER(1+E44,H44-G44)*(POWER(1+E44,G44)-1)/(POWER(1+E44,H44)-1),4)</f>
        <v>#DIV/0!</v>
      </c>
      <c r="D44" s="348" t="s">
        <v>2241</v>
      </c>
      <c r="E44" s="2394">
        <f>G24</f>
        <v>0</v>
      </c>
      <c r="F44" s="348" t="s">
        <v>2242</v>
      </c>
      <c r="G44" s="366"/>
      <c r="H44" s="348">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6"/>
      <c r="AE44" s="1186"/>
      <c r="AF44" s="1186"/>
      <c r="AG44" s="1186"/>
      <c r="AH44" s="1186"/>
      <c r="AI44" s="1186"/>
      <c r="AJ44" s="1186"/>
      <c r="AK44" s="1186"/>
      <c r="AL44" s="1186"/>
      <c r="AM44" s="1186"/>
    </row>
    <row r="45" spans="1:44" s="1185" customFormat="1">
      <c r="A45" s="1186"/>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6"/>
      <c r="AF45" s="1186"/>
      <c r="AG45" s="1186"/>
      <c r="AH45" s="1186"/>
      <c r="AI45" s="1186"/>
      <c r="AJ45" s="1186"/>
      <c r="AK45" s="1186"/>
      <c r="AL45" s="1186"/>
      <c r="AM45" s="1186"/>
      <c r="AN45" s="1186"/>
    </row>
    <row r="46" spans="1:44" s="1185" customFormat="1">
      <c r="A46" s="1186"/>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6"/>
      <c r="AF46" s="1186"/>
      <c r="AG46" s="1186"/>
      <c r="AH46" s="1186"/>
      <c r="AI46" s="1186"/>
      <c r="AJ46" s="1186"/>
      <c r="AK46" s="1186"/>
      <c r="AL46" s="1186"/>
      <c r="AM46" s="1186"/>
      <c r="AN46" s="1186"/>
    </row>
    <row r="47" spans="1:44" s="3311" customFormat="1" ht="15" thickBot="1">
      <c r="A47" s="3307" t="s">
        <v>928</v>
      </c>
      <c r="B47" s="3308"/>
      <c r="C47" s="3309"/>
      <c r="D47" s="3310"/>
      <c r="E47" s="3310"/>
      <c r="F47" s="3310"/>
      <c r="G47" s="3166"/>
      <c r="H47" s="3310"/>
      <c r="I47" s="3166"/>
      <c r="J47" s="3166"/>
      <c r="K47" s="3166"/>
      <c r="L47" s="3166"/>
      <c r="M47" s="3166"/>
      <c r="O47" s="1797"/>
      <c r="P47" s="1797"/>
      <c r="Q47" s="1797"/>
      <c r="R47" s="1797"/>
      <c r="S47" s="1797"/>
      <c r="T47" s="1797"/>
      <c r="U47" s="1797"/>
      <c r="V47" s="1797"/>
      <c r="W47" s="1797"/>
      <c r="X47" s="1797"/>
      <c r="Y47" s="1797"/>
      <c r="Z47" s="1797"/>
      <c r="AA47" s="1797"/>
      <c r="AB47" s="1797"/>
      <c r="AC47" s="1797"/>
      <c r="AD47" s="1797"/>
    </row>
    <row r="48" spans="1:44" s="3311" customFormat="1" ht="14.4">
      <c r="A48" s="3312" t="s">
        <v>929</v>
      </c>
      <c r="B48" s="3374">
        <f>1+E50</f>
        <v>1</v>
      </c>
      <c r="C48" s="3313"/>
      <c r="D48" s="3314"/>
      <c r="E48" s="3315"/>
      <c r="F48" s="3307"/>
      <c r="G48" s="3310"/>
      <c r="H48" s="3310"/>
      <c r="I48" s="3166"/>
      <c r="J48" s="3166"/>
      <c r="K48" s="3166"/>
      <c r="L48" s="3166"/>
      <c r="M48" s="3166"/>
      <c r="O48" s="1797"/>
      <c r="P48" s="1797"/>
      <c r="Q48" s="1797"/>
      <c r="R48" s="1797"/>
      <c r="S48" s="1797"/>
      <c r="T48" s="1797"/>
      <c r="U48" s="1797"/>
      <c r="V48" s="1797"/>
      <c r="W48" s="1797"/>
      <c r="X48" s="1797"/>
      <c r="Y48" s="1797"/>
      <c r="Z48" s="1797"/>
      <c r="AA48" s="1797"/>
      <c r="AB48" s="1797"/>
      <c r="AC48" s="1797"/>
      <c r="AD48" s="1797"/>
    </row>
    <row r="49" spans="1:30" s="3311" customFormat="1" ht="24">
      <c r="A49" s="3316" t="s">
        <v>930</v>
      </c>
      <c r="B49" s="3317" t="s">
        <v>931</v>
      </c>
      <c r="C49" s="3318" t="s">
        <v>932</v>
      </c>
      <c r="D49" s="3319" t="s">
        <v>933</v>
      </c>
      <c r="E49" s="3320" t="s">
        <v>935</v>
      </c>
      <c r="F49" s="3194" t="s">
        <v>1609</v>
      </c>
      <c r="G49" s="3319" t="s">
        <v>936</v>
      </c>
      <c r="H49" s="3321" t="s">
        <v>1772</v>
      </c>
      <c r="I49" s="3319" t="s">
        <v>934</v>
      </c>
      <c r="J49" s="3322" t="s">
        <v>937</v>
      </c>
      <c r="K49" s="3322" t="s">
        <v>938</v>
      </c>
      <c r="L49" s="3322" t="s">
        <v>939</v>
      </c>
      <c r="M49" s="3322" t="s">
        <v>940</v>
      </c>
      <c r="N49" s="3322" t="s">
        <v>941</v>
      </c>
      <c r="P49" s="1797"/>
      <c r="Q49" s="1797"/>
      <c r="R49" s="1797"/>
      <c r="S49" s="1797"/>
      <c r="T49" s="1797"/>
      <c r="U49" s="1797"/>
      <c r="V49" s="1797"/>
      <c r="W49" s="1797"/>
      <c r="X49" s="1797"/>
      <c r="Y49" s="1797"/>
      <c r="Z49" s="1797"/>
      <c r="AA49" s="1797"/>
      <c r="AB49" s="1797"/>
      <c r="AC49" s="1797"/>
      <c r="AD49" s="1797"/>
    </row>
    <row r="50" spans="1:30" s="3311" customFormat="1" ht="36">
      <c r="A50" s="3316" t="s">
        <v>942</v>
      </c>
      <c r="B50" s="3323" t="str">
        <f>估价对象房地状况!C16</f>
        <v>估价对象位于XX商圈，周边商业氛围成熟，人流量大，商业繁华度好</v>
      </c>
      <c r="C50" s="3324"/>
      <c r="D50" s="3325">
        <f t="shared" ref="D50:D58" si="7">SUMIF($J$49:$N$49,C50,J50:N50)</f>
        <v>0</v>
      </c>
      <c r="E50" s="3326">
        <f>ROUND(SUM(D50:D58),4)</f>
        <v>0</v>
      </c>
      <c r="F50" s="3327" t="str">
        <f>IF(E2="商业",SUMIF(L1:L12,G2,N1:N12),"——")</f>
        <v>——</v>
      </c>
      <c r="G50" s="3328"/>
      <c r="H50" s="3329" t="str">
        <f t="shared" ref="H50:H58" si="8">IFERROR(ROUNDDOWN(($F$50*I50/2),4),"——")</f>
        <v>——</v>
      </c>
      <c r="I50" s="3304">
        <v>0.3</v>
      </c>
      <c r="J50" s="3330">
        <f t="shared" ref="J50:J58" si="9">K50+$G50</f>
        <v>0</v>
      </c>
      <c r="K50" s="3330">
        <f t="shared" ref="K50:K58" si="10">$L50+$G50</f>
        <v>0</v>
      </c>
      <c r="L50" s="3330">
        <v>0</v>
      </c>
      <c r="M50" s="3330">
        <f t="shared" ref="M50:N58" si="11">L50-$G50</f>
        <v>0</v>
      </c>
      <c r="N50" s="3330">
        <f t="shared" si="11"/>
        <v>0</v>
      </c>
      <c r="P50" s="1797"/>
      <c r="Q50" s="1797"/>
      <c r="R50" s="1797"/>
      <c r="S50" s="1797"/>
      <c r="T50" s="1797"/>
      <c r="U50" s="1797"/>
      <c r="V50" s="1797"/>
      <c r="W50" s="1797"/>
      <c r="X50" s="1797"/>
      <c r="Y50" s="1797"/>
      <c r="Z50" s="1797"/>
      <c r="AA50" s="1797"/>
      <c r="AB50" s="1797"/>
      <c r="AC50" s="1797"/>
      <c r="AD50" s="1797"/>
    </row>
    <row r="51" spans="1:30" s="3311" customFormat="1" ht="48">
      <c r="A51" s="3316" t="s">
        <v>943</v>
      </c>
      <c r="B51" s="3317" t="str">
        <f>估价对象房地状况!C18</f>
        <v>估价对象周边道路状况、公共交通通达情况、停车便捷程度，综合评价交通便捷度较好</v>
      </c>
      <c r="C51" s="3324"/>
      <c r="D51" s="3325">
        <f t="shared" si="7"/>
        <v>0</v>
      </c>
      <c r="E51" s="3331"/>
      <c r="F51" s="3327"/>
      <c r="G51" s="3328"/>
      <c r="H51" s="3329" t="str">
        <f t="shared" si="8"/>
        <v>——</v>
      </c>
      <c r="I51" s="3304">
        <v>0.22</v>
      </c>
      <c r="J51" s="3330">
        <f t="shared" si="9"/>
        <v>0</v>
      </c>
      <c r="K51" s="3330">
        <f t="shared" si="10"/>
        <v>0</v>
      </c>
      <c r="L51" s="3330">
        <v>0</v>
      </c>
      <c r="M51" s="3330">
        <f t="shared" si="11"/>
        <v>0</v>
      </c>
      <c r="N51" s="3330">
        <f t="shared" si="11"/>
        <v>0</v>
      </c>
      <c r="P51" s="1797"/>
      <c r="Q51" s="1797"/>
      <c r="R51" s="1797"/>
      <c r="S51" s="1797"/>
      <c r="T51" s="1797"/>
      <c r="U51" s="1797"/>
      <c r="V51" s="1797"/>
      <c r="W51" s="1797"/>
      <c r="X51" s="1797"/>
      <c r="Y51" s="1797"/>
      <c r="Z51" s="1797"/>
      <c r="AA51" s="1797"/>
      <c r="AB51" s="1797"/>
      <c r="AC51" s="1797"/>
      <c r="AD51" s="1797"/>
    </row>
    <row r="52" spans="1:30" s="3311" customFormat="1" ht="48">
      <c r="A52" s="3299" t="s">
        <v>3215</v>
      </c>
      <c r="B52" s="3317">
        <f>估价对象房地状况!C19</f>
        <v>0</v>
      </c>
      <c r="C52" s="3324"/>
      <c r="D52" s="3325">
        <f t="shared" si="7"/>
        <v>0</v>
      </c>
      <c r="E52" s="3331"/>
      <c r="F52" s="3327"/>
      <c r="G52" s="3328"/>
      <c r="H52" s="3329" t="str">
        <f t="shared" si="8"/>
        <v>——</v>
      </c>
      <c r="I52" s="3304">
        <v>0.12</v>
      </c>
      <c r="J52" s="3330">
        <f t="shared" si="9"/>
        <v>0</v>
      </c>
      <c r="K52" s="3330">
        <f t="shared" si="10"/>
        <v>0</v>
      </c>
      <c r="L52" s="3330">
        <v>0</v>
      </c>
      <c r="M52" s="3330">
        <f t="shared" si="11"/>
        <v>0</v>
      </c>
      <c r="N52" s="3330">
        <f t="shared" si="11"/>
        <v>0</v>
      </c>
      <c r="P52" s="1797"/>
      <c r="Q52" s="1797"/>
      <c r="R52" s="1797"/>
      <c r="S52" s="1797"/>
      <c r="T52" s="1797"/>
      <c r="U52" s="1797"/>
      <c r="V52" s="1797"/>
      <c r="W52" s="1797"/>
      <c r="X52" s="1797"/>
      <c r="Y52" s="1797"/>
      <c r="Z52" s="1797"/>
      <c r="AA52" s="1797"/>
      <c r="AB52" s="1797"/>
      <c r="AC52" s="1797"/>
      <c r="AD52" s="1797"/>
    </row>
    <row r="53" spans="1:30" s="3311" customFormat="1" ht="36">
      <c r="A53" s="3316" t="s">
        <v>945</v>
      </c>
      <c r="B53" s="3332" t="s">
        <v>2200</v>
      </c>
      <c r="C53" s="3324"/>
      <c r="D53" s="3325">
        <f t="shared" si="7"/>
        <v>0</v>
      </c>
      <c r="E53" s="3331"/>
      <c r="F53" s="3327"/>
      <c r="G53" s="3328"/>
      <c r="H53" s="3329" t="str">
        <f t="shared" si="8"/>
        <v>——</v>
      </c>
      <c r="I53" s="3304">
        <v>0.05</v>
      </c>
      <c r="J53" s="3330">
        <f t="shared" si="9"/>
        <v>0</v>
      </c>
      <c r="K53" s="3330">
        <f t="shared" si="10"/>
        <v>0</v>
      </c>
      <c r="L53" s="3330">
        <v>0</v>
      </c>
      <c r="M53" s="3330">
        <f t="shared" si="11"/>
        <v>0</v>
      </c>
      <c r="N53" s="3330">
        <f t="shared" si="11"/>
        <v>0</v>
      </c>
      <c r="P53" s="1797"/>
      <c r="Q53" s="1797"/>
      <c r="R53" s="1797"/>
      <c r="S53" s="1797"/>
      <c r="T53" s="1797"/>
      <c r="U53" s="1797"/>
      <c r="V53" s="1797"/>
      <c r="W53" s="1797"/>
      <c r="X53" s="1797"/>
      <c r="Y53" s="1797"/>
      <c r="Z53" s="1797"/>
      <c r="AA53" s="1797"/>
      <c r="AB53" s="1797"/>
      <c r="AC53" s="1797"/>
      <c r="AD53" s="1797"/>
    </row>
    <row r="54" spans="1:30" s="3311" customFormat="1" ht="24">
      <c r="A54" s="3316" t="s">
        <v>946</v>
      </c>
      <c r="B54" s="3317">
        <f>估价对象房地状况!C24</f>
        <v>0</v>
      </c>
      <c r="C54" s="3324"/>
      <c r="D54" s="3325">
        <f t="shared" si="7"/>
        <v>0</v>
      </c>
      <c r="E54" s="3331"/>
      <c r="F54" s="3327"/>
      <c r="G54" s="3328"/>
      <c r="H54" s="3329" t="str">
        <f t="shared" si="8"/>
        <v>——</v>
      </c>
      <c r="I54" s="3304">
        <v>0.08</v>
      </c>
      <c r="J54" s="3330">
        <f t="shared" si="9"/>
        <v>0</v>
      </c>
      <c r="K54" s="3330">
        <f t="shared" si="10"/>
        <v>0</v>
      </c>
      <c r="L54" s="3330">
        <v>0</v>
      </c>
      <c r="M54" s="3330">
        <f t="shared" si="11"/>
        <v>0</v>
      </c>
      <c r="N54" s="3330">
        <f t="shared" si="11"/>
        <v>0</v>
      </c>
      <c r="P54" s="1797"/>
      <c r="Q54" s="1797"/>
      <c r="R54" s="1797"/>
      <c r="S54" s="1797"/>
      <c r="T54" s="1797"/>
      <c r="U54" s="1797"/>
      <c r="V54" s="1797"/>
      <c r="W54" s="1797"/>
      <c r="X54" s="1797"/>
      <c r="Y54" s="1797"/>
      <c r="Z54" s="1797"/>
      <c r="AA54" s="1797"/>
      <c r="AB54" s="1797"/>
      <c r="AC54" s="1797"/>
      <c r="AD54" s="1797"/>
    </row>
    <row r="55" spans="1:30" s="3311" customFormat="1" ht="36">
      <c r="A55" s="3316" t="s">
        <v>947</v>
      </c>
      <c r="B55" s="3333" t="s">
        <v>2199</v>
      </c>
      <c r="C55" s="3324"/>
      <c r="D55" s="3325">
        <f t="shared" si="7"/>
        <v>0</v>
      </c>
      <c r="E55" s="3331"/>
      <c r="F55" s="3327"/>
      <c r="G55" s="3328"/>
      <c r="H55" s="3329" t="str">
        <f t="shared" si="8"/>
        <v>——</v>
      </c>
      <c r="I55" s="3304">
        <v>0.05</v>
      </c>
      <c r="J55" s="3330">
        <f t="shared" si="9"/>
        <v>0</v>
      </c>
      <c r="K55" s="3330">
        <f t="shared" si="10"/>
        <v>0</v>
      </c>
      <c r="L55" s="3330">
        <v>0</v>
      </c>
      <c r="M55" s="3330">
        <f t="shared" si="11"/>
        <v>0</v>
      </c>
      <c r="N55" s="3330">
        <f t="shared" si="11"/>
        <v>0</v>
      </c>
      <c r="P55" s="1797"/>
      <c r="Q55" s="1797"/>
      <c r="R55" s="1797"/>
      <c r="S55" s="1797"/>
      <c r="T55" s="1797"/>
      <c r="U55" s="1797"/>
      <c r="V55" s="1797"/>
      <c r="W55" s="1797"/>
      <c r="X55" s="1797"/>
      <c r="Y55" s="1797"/>
      <c r="Z55" s="1797"/>
      <c r="AA55" s="1797"/>
      <c r="AB55" s="1797"/>
      <c r="AC55" s="1797"/>
      <c r="AD55" s="1797"/>
    </row>
    <row r="56" spans="1:30" s="3311" customFormat="1" ht="24">
      <c r="A56" s="3334" t="s">
        <v>948</v>
      </c>
      <c r="B56" s="3335" t="str">
        <f>估价对象房地状况!C21</f>
        <v>估价对象所在区域公共配套设施齐备情况</v>
      </c>
      <c r="C56" s="3324"/>
      <c r="D56" s="3325">
        <f t="shared" si="7"/>
        <v>0</v>
      </c>
      <c r="E56" s="3331"/>
      <c r="F56" s="3327"/>
      <c r="G56" s="3328"/>
      <c r="H56" s="3329" t="str">
        <f t="shared" si="8"/>
        <v>——</v>
      </c>
      <c r="I56" s="3304">
        <v>0.05</v>
      </c>
      <c r="J56" s="3330">
        <f t="shared" si="9"/>
        <v>0</v>
      </c>
      <c r="K56" s="3330">
        <f t="shared" si="10"/>
        <v>0</v>
      </c>
      <c r="L56" s="3330">
        <v>0</v>
      </c>
      <c r="M56" s="3330">
        <f t="shared" si="11"/>
        <v>0</v>
      </c>
      <c r="N56" s="3330">
        <f t="shared" si="11"/>
        <v>0</v>
      </c>
      <c r="P56" s="1797"/>
      <c r="Q56" s="1797"/>
      <c r="R56" s="1797"/>
      <c r="S56" s="1797"/>
      <c r="T56" s="1797"/>
      <c r="U56" s="1797"/>
      <c r="V56" s="1797"/>
      <c r="W56" s="1797"/>
      <c r="X56" s="1797"/>
      <c r="Y56" s="1797"/>
      <c r="Z56" s="1797"/>
      <c r="AA56" s="1797"/>
      <c r="AB56" s="1797"/>
      <c r="AC56" s="1797"/>
      <c r="AD56" s="1797"/>
    </row>
    <row r="57" spans="1:30" s="3311" customFormat="1" ht="24">
      <c r="A57" s="3334" t="s">
        <v>949</v>
      </c>
      <c r="B57" s="3317" t="str">
        <f>估价对象房地状况!C22</f>
        <v>估价对象所在区域基础设施水平</v>
      </c>
      <c r="C57" s="3324"/>
      <c r="D57" s="3325">
        <f t="shared" si="7"/>
        <v>0</v>
      </c>
      <c r="E57" s="3331"/>
      <c r="F57" s="3327"/>
      <c r="G57" s="3328"/>
      <c r="H57" s="3329" t="str">
        <f t="shared" si="8"/>
        <v>——</v>
      </c>
      <c r="I57" s="3304">
        <v>0.08</v>
      </c>
      <c r="J57" s="3330">
        <f t="shared" si="9"/>
        <v>0</v>
      </c>
      <c r="K57" s="3330">
        <f t="shared" si="10"/>
        <v>0</v>
      </c>
      <c r="L57" s="3330">
        <v>0</v>
      </c>
      <c r="M57" s="3330">
        <f t="shared" si="11"/>
        <v>0</v>
      </c>
      <c r="N57" s="3330">
        <f t="shared" si="11"/>
        <v>0</v>
      </c>
      <c r="P57" s="1797"/>
      <c r="Q57" s="1797"/>
      <c r="R57" s="1797"/>
      <c r="S57" s="1797"/>
      <c r="T57" s="1797"/>
      <c r="U57" s="1797"/>
      <c r="V57" s="1797"/>
      <c r="W57" s="1797"/>
      <c r="X57" s="1797"/>
      <c r="Y57" s="1797"/>
      <c r="Z57" s="1797"/>
      <c r="AA57" s="1797"/>
      <c r="AB57" s="1797"/>
      <c r="AC57" s="1797"/>
      <c r="AD57" s="1797"/>
    </row>
    <row r="58" spans="1:30" s="3311" customFormat="1" ht="36.6" thickBot="1">
      <c r="A58" s="3336" t="s">
        <v>950</v>
      </c>
      <c r="B58" s="3337" t="str">
        <f>估价对象房地状况!C20</f>
        <v>区域自然环境：；人文环境；综合评价环境状况一般</v>
      </c>
      <c r="C58" s="3324"/>
      <c r="D58" s="3325">
        <f t="shared" si="7"/>
        <v>0</v>
      </c>
      <c r="E58" s="3338"/>
      <c r="F58" s="3327"/>
      <c r="G58" s="3328"/>
      <c r="H58" s="3329" t="str">
        <f t="shared" si="8"/>
        <v>——</v>
      </c>
      <c r="I58" s="3306">
        <v>0.05</v>
      </c>
      <c r="J58" s="3330">
        <f t="shared" si="9"/>
        <v>0</v>
      </c>
      <c r="K58" s="3330">
        <f t="shared" si="10"/>
        <v>0</v>
      </c>
      <c r="L58" s="3330">
        <v>0</v>
      </c>
      <c r="M58" s="3330">
        <f t="shared" si="11"/>
        <v>0</v>
      </c>
      <c r="N58" s="3330">
        <f t="shared" si="11"/>
        <v>0</v>
      </c>
      <c r="P58" s="1797"/>
      <c r="Q58" s="1797"/>
      <c r="R58" s="1797"/>
      <c r="S58" s="1797"/>
      <c r="T58" s="1797"/>
      <c r="U58" s="1797"/>
      <c r="V58" s="1797"/>
      <c r="W58" s="1797"/>
      <c r="X58" s="1797"/>
      <c r="Y58" s="1797"/>
      <c r="Z58" s="1797"/>
      <c r="AA58" s="1797"/>
      <c r="AB58" s="1797"/>
      <c r="AC58" s="1797"/>
      <c r="AD58" s="1797"/>
    </row>
    <row r="59" spans="1:30" s="3311" customFormat="1" ht="14.4">
      <c r="A59" s="3312" t="s">
        <v>951</v>
      </c>
      <c r="B59" s="3374">
        <f>1+E61</f>
        <v>1</v>
      </c>
      <c r="C59" s="3339"/>
      <c r="D59" s="3314"/>
      <c r="E59" s="3315"/>
      <c r="F59" s="3307"/>
      <c r="G59" s="3310"/>
      <c r="H59" s="3310"/>
      <c r="I59" s="3310"/>
      <c r="J59" s="3166"/>
      <c r="K59" s="3166"/>
      <c r="L59" s="3166"/>
      <c r="M59" s="3166"/>
      <c r="N59" s="3166"/>
      <c r="P59" s="1797"/>
      <c r="Q59" s="1797"/>
      <c r="R59" s="1797"/>
      <c r="S59" s="1797"/>
      <c r="T59" s="1797"/>
      <c r="U59" s="1797"/>
      <c r="V59" s="1797"/>
      <c r="W59" s="1797"/>
      <c r="X59" s="1797"/>
      <c r="Y59" s="1797"/>
      <c r="Z59" s="1797"/>
      <c r="AA59" s="1797"/>
      <c r="AB59" s="1797"/>
      <c r="AC59" s="1797"/>
      <c r="AD59" s="1797"/>
    </row>
    <row r="60" spans="1:30" s="3311" customFormat="1" ht="24">
      <c r="A60" s="3316" t="s">
        <v>930</v>
      </c>
      <c r="B60" s="3317"/>
      <c r="C60" s="3318" t="s">
        <v>932</v>
      </c>
      <c r="D60" s="3319" t="s">
        <v>933</v>
      </c>
      <c r="E60" s="3320" t="s">
        <v>935</v>
      </c>
      <c r="F60" s="3194" t="s">
        <v>1610</v>
      </c>
      <c r="G60" s="3319" t="s">
        <v>936</v>
      </c>
      <c r="H60" s="3321" t="s">
        <v>1772</v>
      </c>
      <c r="I60" s="3319" t="s">
        <v>934</v>
      </c>
      <c r="J60" s="3322" t="s">
        <v>937</v>
      </c>
      <c r="K60" s="3322" t="s">
        <v>938</v>
      </c>
      <c r="L60" s="3322" t="s">
        <v>939</v>
      </c>
      <c r="M60" s="3322" t="s">
        <v>940</v>
      </c>
      <c r="N60" s="3322" t="s">
        <v>941</v>
      </c>
      <c r="P60" s="1797"/>
      <c r="Q60" s="1797"/>
      <c r="R60" s="1797"/>
      <c r="S60" s="1797"/>
      <c r="T60" s="1797"/>
      <c r="U60" s="1797"/>
      <c r="V60" s="1797"/>
      <c r="W60" s="1797"/>
      <c r="X60" s="1797"/>
      <c r="Y60" s="1797"/>
      <c r="Z60" s="1797"/>
      <c r="AA60" s="1797"/>
      <c r="AB60" s="1797"/>
      <c r="AC60" s="1797"/>
      <c r="AD60" s="1797"/>
    </row>
    <row r="61" spans="1:30" s="3311" customFormat="1" ht="36">
      <c r="A61" s="3316" t="s">
        <v>952</v>
      </c>
      <c r="B61" s="3323" t="str">
        <f>估价对象房地状况!C17</f>
        <v>估价对象位于XX商圈，周边办公楼项目较多，入驻率高，办公集聚程度较好</v>
      </c>
      <c r="C61" s="3324"/>
      <c r="D61" s="3325">
        <f t="shared" ref="D61:D69" si="12">SUMIF($J$60:$N$60,C61,J61:N61)</f>
        <v>0</v>
      </c>
      <c r="E61" s="3326">
        <f>ROUND(SUM(D61:D69),4)</f>
        <v>0</v>
      </c>
      <c r="F61" s="3327" t="str">
        <f>IF(E2="办公",SUMIF(L1:L12,G2,N1:N12),"——")</f>
        <v>——</v>
      </c>
      <c r="G61" s="3328"/>
      <c r="H61" s="3329" t="str">
        <f>IFERROR(ROUNDDOWN($F$61*I61/2,4),"——")</f>
        <v>——</v>
      </c>
      <c r="I61" s="3304">
        <v>0.25</v>
      </c>
      <c r="J61" s="3330">
        <f t="shared" ref="J61:J69" si="13">K61+$G61</f>
        <v>0</v>
      </c>
      <c r="K61" s="3330">
        <f t="shared" ref="K61:K69" si="14">$L61+$G61</f>
        <v>0</v>
      </c>
      <c r="L61" s="3330">
        <v>0</v>
      </c>
      <c r="M61" s="3330">
        <f t="shared" ref="M61:N69" si="15">L61-$G61</f>
        <v>0</v>
      </c>
      <c r="N61" s="3330">
        <f t="shared" si="15"/>
        <v>0</v>
      </c>
      <c r="P61" s="1797"/>
      <c r="Q61" s="1797"/>
      <c r="R61" s="1797"/>
      <c r="S61" s="1797"/>
      <c r="T61" s="1797"/>
      <c r="U61" s="1797"/>
      <c r="V61" s="1797"/>
      <c r="W61" s="1797"/>
      <c r="X61" s="1797"/>
      <c r="Y61" s="1797"/>
      <c r="Z61" s="1797"/>
      <c r="AA61" s="1797"/>
      <c r="AB61" s="1797"/>
      <c r="AC61" s="1797"/>
      <c r="AD61" s="1797"/>
    </row>
    <row r="62" spans="1:30" s="3311" customFormat="1" ht="48">
      <c r="A62" s="3316" t="s">
        <v>943</v>
      </c>
      <c r="B62" s="3317" t="str">
        <f>估价对象房地状况!C18</f>
        <v>估价对象周边道路状况、公共交通通达情况、停车便捷程度，综合评价交通便捷度较好</v>
      </c>
      <c r="C62" s="3324"/>
      <c r="D62" s="3325">
        <f t="shared" si="12"/>
        <v>0</v>
      </c>
      <c r="E62" s="3331"/>
      <c r="F62" s="3327"/>
      <c r="G62" s="3328"/>
      <c r="H62" s="3329" t="str">
        <f t="shared" ref="H62:H69" si="16">IFERROR(ROUNDDOWN($F$61*I62/2,4),"——")</f>
        <v>——</v>
      </c>
      <c r="I62" s="3304">
        <v>0.26</v>
      </c>
      <c r="J62" s="3330">
        <f t="shared" si="13"/>
        <v>0</v>
      </c>
      <c r="K62" s="3330">
        <f t="shared" si="14"/>
        <v>0</v>
      </c>
      <c r="L62" s="3330">
        <v>0</v>
      </c>
      <c r="M62" s="3330">
        <f t="shared" si="15"/>
        <v>0</v>
      </c>
      <c r="N62" s="3330">
        <f t="shared" si="15"/>
        <v>0</v>
      </c>
      <c r="P62" s="1797"/>
      <c r="Q62" s="1797"/>
      <c r="R62" s="1797"/>
      <c r="S62" s="1797"/>
      <c r="T62" s="1797"/>
      <c r="U62" s="1797"/>
      <c r="V62" s="1797"/>
      <c r="W62" s="1797"/>
      <c r="X62" s="1797"/>
      <c r="Y62" s="1797"/>
      <c r="Z62" s="1797"/>
      <c r="AA62" s="1797"/>
      <c r="AB62" s="1797"/>
      <c r="AC62" s="1797"/>
      <c r="AD62" s="1797"/>
    </row>
    <row r="63" spans="1:30" s="3311" customFormat="1" ht="48">
      <c r="A63" s="3299" t="s">
        <v>3215</v>
      </c>
      <c r="B63" s="3317">
        <f>估价对象房地状况!C19</f>
        <v>0</v>
      </c>
      <c r="C63" s="3324"/>
      <c r="D63" s="3325">
        <f t="shared" si="12"/>
        <v>0</v>
      </c>
      <c r="E63" s="3331"/>
      <c r="F63" s="3327"/>
      <c r="G63" s="3328"/>
      <c r="H63" s="3329" t="str">
        <f t="shared" si="16"/>
        <v>——</v>
      </c>
      <c r="I63" s="3304">
        <v>0.11</v>
      </c>
      <c r="J63" s="3330">
        <f t="shared" si="13"/>
        <v>0</v>
      </c>
      <c r="K63" s="3330">
        <f t="shared" si="14"/>
        <v>0</v>
      </c>
      <c r="L63" s="3330">
        <v>0</v>
      </c>
      <c r="M63" s="3330">
        <f t="shared" si="15"/>
        <v>0</v>
      </c>
      <c r="N63" s="3330">
        <f t="shared" si="15"/>
        <v>0</v>
      </c>
      <c r="P63" s="1797"/>
      <c r="Q63" s="1797"/>
      <c r="R63" s="1797"/>
      <c r="S63" s="1797"/>
      <c r="T63" s="1797"/>
      <c r="U63" s="1797"/>
      <c r="V63" s="1797"/>
      <c r="W63" s="1797"/>
      <c r="X63" s="1797"/>
      <c r="Y63" s="1797"/>
      <c r="Z63" s="1797"/>
      <c r="AA63" s="1797"/>
      <c r="AB63" s="1797"/>
      <c r="AC63" s="1797"/>
      <c r="AD63" s="1797"/>
    </row>
    <row r="64" spans="1:30" s="3311" customFormat="1" ht="36">
      <c r="A64" s="3316" t="s">
        <v>945</v>
      </c>
      <c r="B64" s="3332" t="s">
        <v>2201</v>
      </c>
      <c r="C64" s="3324"/>
      <c r="D64" s="3325">
        <f t="shared" si="12"/>
        <v>0</v>
      </c>
      <c r="E64" s="3331"/>
      <c r="F64" s="3327"/>
      <c r="G64" s="3328"/>
      <c r="H64" s="3329" t="str">
        <f t="shared" si="16"/>
        <v>——</v>
      </c>
      <c r="I64" s="3304">
        <v>0.05</v>
      </c>
      <c r="J64" s="3330">
        <f t="shared" si="13"/>
        <v>0</v>
      </c>
      <c r="K64" s="3330">
        <f t="shared" si="14"/>
        <v>0</v>
      </c>
      <c r="L64" s="3330">
        <v>0</v>
      </c>
      <c r="M64" s="3330">
        <f t="shared" si="15"/>
        <v>0</v>
      </c>
      <c r="N64" s="3330">
        <f t="shared" si="15"/>
        <v>0</v>
      </c>
      <c r="P64" s="1797"/>
      <c r="Q64" s="1797"/>
      <c r="R64" s="1797"/>
      <c r="S64" s="1797"/>
      <c r="T64" s="1797"/>
      <c r="U64" s="1797"/>
      <c r="V64" s="1797"/>
      <c r="W64" s="1797"/>
      <c r="X64" s="1797"/>
      <c r="Y64" s="1797"/>
      <c r="Z64" s="1797"/>
      <c r="AA64" s="1797"/>
      <c r="AB64" s="1797"/>
      <c r="AC64" s="1797"/>
      <c r="AD64" s="1797"/>
    </row>
    <row r="65" spans="1:36" s="3311" customFormat="1" ht="24">
      <c r="A65" s="3316" t="s">
        <v>946</v>
      </c>
      <c r="B65" s="3317">
        <f>估价对象房地状况!C24</f>
        <v>0</v>
      </c>
      <c r="C65" s="3324"/>
      <c r="D65" s="3325">
        <f t="shared" si="12"/>
        <v>0</v>
      </c>
      <c r="E65" s="3331"/>
      <c r="F65" s="3327"/>
      <c r="G65" s="3328"/>
      <c r="H65" s="3329" t="str">
        <f t="shared" si="16"/>
        <v>——</v>
      </c>
      <c r="I65" s="3304">
        <v>0.05</v>
      </c>
      <c r="J65" s="3330">
        <f t="shared" si="13"/>
        <v>0</v>
      </c>
      <c r="K65" s="3330">
        <f t="shared" si="14"/>
        <v>0</v>
      </c>
      <c r="L65" s="3330">
        <v>0</v>
      </c>
      <c r="M65" s="3330">
        <f t="shared" si="15"/>
        <v>0</v>
      </c>
      <c r="N65" s="3330">
        <f t="shared" si="15"/>
        <v>0</v>
      </c>
      <c r="P65" s="1797"/>
      <c r="Q65" s="1797"/>
      <c r="R65" s="1797"/>
      <c r="S65" s="1797"/>
      <c r="T65" s="1797"/>
      <c r="U65" s="1797"/>
      <c r="V65" s="1797"/>
      <c r="W65" s="1797"/>
      <c r="X65" s="1797"/>
      <c r="Y65" s="1797"/>
      <c r="Z65" s="1797"/>
      <c r="AA65" s="1797"/>
      <c r="AB65" s="1797"/>
      <c r="AC65" s="1797"/>
      <c r="AD65" s="1797"/>
    </row>
    <row r="66" spans="1:36" s="3311" customFormat="1" ht="36">
      <c r="A66" s="3316" t="s">
        <v>947</v>
      </c>
      <c r="B66" s="3333" t="s">
        <v>2199</v>
      </c>
      <c r="C66" s="3324"/>
      <c r="D66" s="3325">
        <f t="shared" si="12"/>
        <v>0</v>
      </c>
      <c r="E66" s="3331"/>
      <c r="F66" s="3327"/>
      <c r="G66" s="3328"/>
      <c r="H66" s="3329" t="str">
        <f t="shared" si="16"/>
        <v>——</v>
      </c>
      <c r="I66" s="3304">
        <v>0.06</v>
      </c>
      <c r="J66" s="3330">
        <f t="shared" si="13"/>
        <v>0</v>
      </c>
      <c r="K66" s="3330">
        <f t="shared" si="14"/>
        <v>0</v>
      </c>
      <c r="L66" s="3330">
        <v>0</v>
      </c>
      <c r="M66" s="3330">
        <f t="shared" si="15"/>
        <v>0</v>
      </c>
      <c r="N66" s="3330">
        <f t="shared" si="15"/>
        <v>0</v>
      </c>
      <c r="P66" s="1797"/>
      <c r="Q66" s="1797"/>
      <c r="R66" s="1797"/>
      <c r="S66" s="1797"/>
      <c r="T66" s="1797"/>
      <c r="U66" s="1797"/>
      <c r="V66" s="1797"/>
      <c r="W66" s="1797"/>
      <c r="X66" s="1797"/>
      <c r="Y66" s="1797"/>
      <c r="Z66" s="1797"/>
      <c r="AA66" s="1797"/>
      <c r="AB66" s="1797"/>
      <c r="AC66" s="1797"/>
      <c r="AD66" s="1797"/>
    </row>
    <row r="67" spans="1:36" s="3311" customFormat="1" ht="24">
      <c r="A67" s="3316" t="s">
        <v>948</v>
      </c>
      <c r="B67" s="3335" t="str">
        <f>估价对象房地状况!C21</f>
        <v>估价对象所在区域公共配套设施齐备情况</v>
      </c>
      <c r="C67" s="3324"/>
      <c r="D67" s="3325">
        <f t="shared" si="12"/>
        <v>0</v>
      </c>
      <c r="E67" s="3331"/>
      <c r="F67" s="3327"/>
      <c r="G67" s="3328"/>
      <c r="H67" s="3329" t="str">
        <f t="shared" si="16"/>
        <v>——</v>
      </c>
      <c r="I67" s="3304">
        <v>0.06</v>
      </c>
      <c r="J67" s="3330">
        <f t="shared" si="13"/>
        <v>0</v>
      </c>
      <c r="K67" s="3330">
        <f t="shared" si="14"/>
        <v>0</v>
      </c>
      <c r="L67" s="3330">
        <v>0</v>
      </c>
      <c r="M67" s="3330">
        <f t="shared" si="15"/>
        <v>0</v>
      </c>
      <c r="N67" s="3330">
        <f t="shared" si="15"/>
        <v>0</v>
      </c>
      <c r="P67" s="1797"/>
      <c r="Q67" s="1797"/>
      <c r="R67" s="1797"/>
      <c r="S67" s="1797"/>
      <c r="T67" s="1797"/>
      <c r="U67" s="1797"/>
      <c r="V67" s="1797"/>
      <c r="W67" s="1797"/>
      <c r="X67" s="1797"/>
      <c r="Y67" s="1797"/>
      <c r="Z67" s="1797"/>
      <c r="AA67" s="1797"/>
      <c r="AB67" s="1797"/>
      <c r="AC67" s="1797"/>
      <c r="AD67" s="1797"/>
    </row>
    <row r="68" spans="1:36" s="3311" customFormat="1" ht="24">
      <c r="A68" s="3316" t="s">
        <v>949</v>
      </c>
      <c r="B68" s="3335" t="str">
        <f>估价对象房地状况!C22</f>
        <v>估价对象所在区域基础设施水平</v>
      </c>
      <c r="C68" s="3324"/>
      <c r="D68" s="3325">
        <f t="shared" si="12"/>
        <v>0</v>
      </c>
      <c r="E68" s="3331"/>
      <c r="F68" s="3327"/>
      <c r="G68" s="3328"/>
      <c r="H68" s="3329" t="str">
        <f t="shared" si="16"/>
        <v>——</v>
      </c>
      <c r="I68" s="3304">
        <v>0.09</v>
      </c>
      <c r="J68" s="3330">
        <f t="shared" si="13"/>
        <v>0</v>
      </c>
      <c r="K68" s="3330">
        <f t="shared" si="14"/>
        <v>0</v>
      </c>
      <c r="L68" s="3330">
        <v>0</v>
      </c>
      <c r="M68" s="3330">
        <f t="shared" si="15"/>
        <v>0</v>
      </c>
      <c r="N68" s="3330">
        <f t="shared" si="15"/>
        <v>0</v>
      </c>
      <c r="P68" s="1797"/>
      <c r="Q68" s="1797"/>
      <c r="R68" s="1797"/>
      <c r="S68" s="1797"/>
      <c r="T68" s="1797"/>
      <c r="U68" s="1797"/>
      <c r="V68" s="1797"/>
      <c r="W68" s="1797"/>
      <c r="X68" s="1797"/>
      <c r="Y68" s="1797"/>
      <c r="Z68" s="1797"/>
      <c r="AA68" s="1797"/>
      <c r="AB68" s="1797"/>
      <c r="AC68" s="1797"/>
      <c r="AD68" s="1797"/>
    </row>
    <row r="69" spans="1:36" s="3311" customFormat="1" ht="36.6" thickBot="1">
      <c r="A69" s="3336" t="s">
        <v>950</v>
      </c>
      <c r="B69" s="3340" t="str">
        <f>估价对象房地状况!C20</f>
        <v>区域自然环境：；人文环境；综合评价环境状况一般</v>
      </c>
      <c r="C69" s="3324"/>
      <c r="D69" s="3325">
        <f t="shared" si="12"/>
        <v>0</v>
      </c>
      <c r="E69" s="3338"/>
      <c r="F69" s="3327"/>
      <c r="G69" s="3328"/>
      <c r="H69" s="3329" t="str">
        <f t="shared" si="16"/>
        <v>——</v>
      </c>
      <c r="I69" s="3306">
        <v>7.0000000000000007E-2</v>
      </c>
      <c r="J69" s="3330">
        <f t="shared" si="13"/>
        <v>0</v>
      </c>
      <c r="K69" s="3330">
        <f t="shared" si="14"/>
        <v>0</v>
      </c>
      <c r="L69" s="3330">
        <v>0</v>
      </c>
      <c r="M69" s="3330">
        <f t="shared" si="15"/>
        <v>0</v>
      </c>
      <c r="N69" s="3330">
        <f t="shared" si="15"/>
        <v>0</v>
      </c>
      <c r="P69" s="1797"/>
      <c r="Q69" s="1797"/>
      <c r="R69" s="1797"/>
      <c r="S69" s="1797"/>
      <c r="T69" s="1797"/>
      <c r="U69" s="1797"/>
      <c r="V69" s="1797"/>
      <c r="W69" s="1797"/>
      <c r="X69" s="1797"/>
      <c r="Y69" s="1797"/>
      <c r="Z69" s="1797"/>
      <c r="AA69" s="1797"/>
      <c r="AB69" s="1797"/>
      <c r="AC69" s="1797"/>
      <c r="AD69" s="1797"/>
    </row>
    <row r="70" spans="1:36" s="3311" customFormat="1" ht="14.4">
      <c r="A70" s="3312" t="s">
        <v>953</v>
      </c>
      <c r="B70" s="3374">
        <f>1+E72</f>
        <v>1</v>
      </c>
      <c r="C70" s="3339"/>
      <c r="D70" s="3314"/>
      <c r="E70" s="3315"/>
      <c r="F70" s="3307"/>
      <c r="G70" s="3310"/>
      <c r="H70" s="3310"/>
      <c r="I70" s="3310"/>
      <c r="J70" s="3166"/>
      <c r="K70" s="3166"/>
      <c r="L70" s="3166"/>
      <c r="M70" s="3166"/>
      <c r="N70" s="3166"/>
      <c r="P70" s="1797"/>
      <c r="Q70" s="1797"/>
      <c r="R70" s="1797"/>
      <c r="S70" s="1797"/>
      <c r="T70" s="1797"/>
      <c r="U70" s="1797"/>
      <c r="V70" s="1797"/>
      <c r="W70" s="1797"/>
      <c r="X70" s="1797"/>
      <c r="Y70" s="1797"/>
      <c r="Z70" s="1797"/>
      <c r="AA70" s="1797"/>
      <c r="AB70" s="1797"/>
      <c r="AC70" s="1797"/>
      <c r="AD70" s="1797"/>
    </row>
    <row r="71" spans="1:36" s="3311" customFormat="1" ht="24">
      <c r="A71" s="3316" t="s">
        <v>930</v>
      </c>
      <c r="B71" s="3317"/>
      <c r="C71" s="3318" t="s">
        <v>932</v>
      </c>
      <c r="D71" s="3319" t="s">
        <v>933</v>
      </c>
      <c r="E71" s="3320" t="s">
        <v>935</v>
      </c>
      <c r="F71" s="3194" t="s">
        <v>1611</v>
      </c>
      <c r="G71" s="3319" t="s">
        <v>936</v>
      </c>
      <c r="H71" s="3321" t="s">
        <v>1772</v>
      </c>
      <c r="I71" s="3319" t="s">
        <v>934</v>
      </c>
      <c r="J71" s="3322" t="s">
        <v>937</v>
      </c>
      <c r="K71" s="3322" t="s">
        <v>938</v>
      </c>
      <c r="L71" s="3322" t="s">
        <v>939</v>
      </c>
      <c r="M71" s="3322" t="s">
        <v>940</v>
      </c>
      <c r="N71" s="3322" t="s">
        <v>941</v>
      </c>
      <c r="P71" s="1797"/>
      <c r="Q71" s="1797"/>
      <c r="R71" s="1797"/>
      <c r="S71" s="1797"/>
      <c r="T71" s="1797"/>
      <c r="U71" s="1797"/>
      <c r="V71" s="1797"/>
      <c r="W71" s="1797"/>
      <c r="X71" s="1797"/>
      <c r="Y71" s="1797"/>
      <c r="Z71" s="1797"/>
      <c r="AA71" s="1797"/>
      <c r="AB71" s="1797"/>
      <c r="AC71" s="1797"/>
      <c r="AD71" s="1797"/>
    </row>
    <row r="72" spans="1:36" s="3311" customFormat="1" ht="48">
      <c r="A72" s="3316" t="s">
        <v>954</v>
      </c>
      <c r="B72" s="3317" t="str">
        <f>估价对象房地状况!C15</f>
        <v>估价对象周边居住用地比例、居住小区规模和社区发展完善程度，综合评价居住社区成熟度一般</v>
      </c>
      <c r="C72" s="3341"/>
      <c r="D72" s="3325">
        <f t="shared" ref="D72:D80" si="17">SUMIF($J$71:$N$71,C72,J72:N72)</f>
        <v>0</v>
      </c>
      <c r="E72" s="3326">
        <f>ROUND(SUM(D72:D80),4)</f>
        <v>0</v>
      </c>
      <c r="F72" s="3327" t="str">
        <f>IF(E2="住宅",SUMIF(L1:L12,G2,N1:N12),"——")</f>
        <v>——</v>
      </c>
      <c r="G72" s="3342"/>
      <c r="H72" s="3343" t="str">
        <f t="shared" ref="H72:H80" si="18">IFERROR(ROUNDDOWN($F$72*I72/2,4),"——")</f>
        <v>——</v>
      </c>
      <c r="I72" s="3304">
        <v>0.2</v>
      </c>
      <c r="J72" s="3330">
        <f t="shared" ref="J72:J80" si="19">K72+$G72</f>
        <v>0</v>
      </c>
      <c r="K72" s="3330">
        <f t="shared" ref="K72:K80" si="20">$L72+$G72</f>
        <v>0</v>
      </c>
      <c r="L72" s="3330">
        <v>0</v>
      </c>
      <c r="M72" s="3330">
        <f t="shared" ref="M72:N80" si="21">L72-$G72</f>
        <v>0</v>
      </c>
      <c r="N72" s="3330">
        <f t="shared" si="21"/>
        <v>0</v>
      </c>
      <c r="P72" s="1797"/>
      <c r="Q72" s="1797"/>
      <c r="R72" s="1797"/>
      <c r="S72" s="1797"/>
      <c r="T72" s="1797"/>
      <c r="U72" s="1797"/>
      <c r="V72" s="1797"/>
      <c r="W72" s="1797"/>
      <c r="X72" s="1797"/>
      <c r="Y72" s="1797"/>
      <c r="Z72" s="1797"/>
      <c r="AA72" s="1797"/>
      <c r="AB72" s="1797"/>
      <c r="AC72" s="1797"/>
      <c r="AD72" s="1797"/>
    </row>
    <row r="73" spans="1:36" s="3311" customFormat="1" ht="48">
      <c r="A73" s="3316" t="s">
        <v>955</v>
      </c>
      <c r="B73" s="3317" t="str">
        <f>估价对象房地状况!C18</f>
        <v>估价对象周边道路状况、公共交通通达情况、停车便捷程度，综合评价交通便捷度较好</v>
      </c>
      <c r="C73" s="3341"/>
      <c r="D73" s="3325">
        <f t="shared" si="17"/>
        <v>0</v>
      </c>
      <c r="E73" s="3331"/>
      <c r="F73" s="3327"/>
      <c r="G73" s="3342"/>
      <c r="H73" s="3343" t="str">
        <f t="shared" si="18"/>
        <v>——</v>
      </c>
      <c r="I73" s="3304">
        <v>0.26</v>
      </c>
      <c r="J73" s="3330">
        <f t="shared" si="19"/>
        <v>0</v>
      </c>
      <c r="K73" s="3330">
        <f t="shared" si="20"/>
        <v>0</v>
      </c>
      <c r="L73" s="3330">
        <v>0</v>
      </c>
      <c r="M73" s="3330">
        <f t="shared" si="21"/>
        <v>0</v>
      </c>
      <c r="N73" s="3330">
        <f t="shared" si="21"/>
        <v>0</v>
      </c>
      <c r="P73" s="1797"/>
      <c r="Q73" s="1797"/>
      <c r="R73" s="1797"/>
      <c r="S73" s="1797"/>
      <c r="T73" s="1797"/>
      <c r="U73" s="1797"/>
      <c r="V73" s="1797"/>
      <c r="W73" s="1797"/>
      <c r="X73" s="1797"/>
      <c r="Y73" s="1797"/>
      <c r="Z73" s="1797"/>
      <c r="AA73" s="1797"/>
      <c r="AB73" s="1797"/>
      <c r="AC73" s="1797"/>
      <c r="AD73" s="1797"/>
    </row>
    <row r="74" spans="1:36" s="3311" customFormat="1" ht="48">
      <c r="A74" s="3299" t="s">
        <v>3215</v>
      </c>
      <c r="B74" s="3317">
        <f>估价对象房地状况!C19</f>
        <v>0</v>
      </c>
      <c r="C74" s="3341"/>
      <c r="D74" s="3325">
        <f t="shared" si="17"/>
        <v>0</v>
      </c>
      <c r="E74" s="3331"/>
      <c r="F74" s="3327"/>
      <c r="G74" s="3342"/>
      <c r="H74" s="3343" t="str">
        <f t="shared" si="18"/>
        <v>——</v>
      </c>
      <c r="I74" s="3304">
        <v>0.1</v>
      </c>
      <c r="J74" s="3330">
        <f t="shared" si="19"/>
        <v>0</v>
      </c>
      <c r="K74" s="3330">
        <f t="shared" si="20"/>
        <v>0</v>
      </c>
      <c r="L74" s="3330">
        <v>0</v>
      </c>
      <c r="M74" s="3330">
        <f t="shared" si="21"/>
        <v>0</v>
      </c>
      <c r="N74" s="3330">
        <f t="shared" si="21"/>
        <v>0</v>
      </c>
      <c r="P74" s="1797"/>
      <c r="Q74" s="1797"/>
      <c r="R74" s="1797"/>
      <c r="S74" s="1797"/>
      <c r="T74" s="1797"/>
      <c r="U74" s="1797"/>
      <c r="V74" s="1797"/>
      <c r="W74" s="1797"/>
      <c r="X74" s="1797"/>
      <c r="Y74" s="1797"/>
      <c r="Z74" s="1797"/>
      <c r="AA74" s="1797"/>
      <c r="AB74" s="1797"/>
      <c r="AC74" s="1797"/>
      <c r="AD74" s="1797"/>
    </row>
    <row r="75" spans="1:36" s="1273" customFormat="1" ht="13.8">
      <c r="A75" s="3316" t="s">
        <v>956</v>
      </c>
      <c r="B75" s="3317">
        <f>估价对象房地状况!C24</f>
        <v>0</v>
      </c>
      <c r="C75" s="3341"/>
      <c r="D75" s="3325">
        <f t="shared" si="17"/>
        <v>0</v>
      </c>
      <c r="E75" s="3331"/>
      <c r="F75" s="3327"/>
      <c r="G75" s="3342"/>
      <c r="H75" s="3343" t="str">
        <f t="shared" si="18"/>
        <v>——</v>
      </c>
      <c r="I75" s="3304">
        <v>0.05</v>
      </c>
      <c r="J75" s="3330">
        <f t="shared" si="19"/>
        <v>0</v>
      </c>
      <c r="K75" s="3330">
        <f t="shared" si="20"/>
        <v>0</v>
      </c>
      <c r="L75" s="3330">
        <v>0</v>
      </c>
      <c r="M75" s="3330">
        <f t="shared" si="21"/>
        <v>0</v>
      </c>
      <c r="N75" s="3330">
        <f t="shared" si="21"/>
        <v>0</v>
      </c>
      <c r="O75" s="3311"/>
      <c r="P75" s="1797"/>
      <c r="Q75" s="1797"/>
      <c r="R75" s="3344"/>
      <c r="S75" s="3344"/>
      <c r="T75" s="3344"/>
      <c r="U75" s="3344"/>
      <c r="V75" s="3344"/>
      <c r="W75" s="3344"/>
      <c r="X75" s="3344"/>
      <c r="Y75" s="3344"/>
      <c r="Z75" s="3344"/>
      <c r="AA75" s="3344"/>
      <c r="AB75" s="3344"/>
      <c r="AC75" s="3344"/>
      <c r="AD75" s="3344"/>
      <c r="AE75" s="3311"/>
      <c r="AF75" s="3311"/>
      <c r="AG75" s="3311"/>
      <c r="AH75" s="3311"/>
      <c r="AI75" s="3311"/>
      <c r="AJ75" s="3311"/>
    </row>
    <row r="76" spans="1:36" s="1273" customFormat="1" ht="24">
      <c r="A76" s="3316" t="s">
        <v>948</v>
      </c>
      <c r="B76" s="3335" t="str">
        <f>估价对象房地状况!C21</f>
        <v>估价对象所在区域公共配套设施齐备情况</v>
      </c>
      <c r="C76" s="3341"/>
      <c r="D76" s="3325">
        <f t="shared" si="17"/>
        <v>0</v>
      </c>
      <c r="E76" s="3331"/>
      <c r="F76" s="3327"/>
      <c r="G76" s="3342"/>
      <c r="H76" s="3343" t="str">
        <f t="shared" si="18"/>
        <v>——</v>
      </c>
      <c r="I76" s="3304">
        <v>0.08</v>
      </c>
      <c r="J76" s="3330">
        <f t="shared" si="19"/>
        <v>0</v>
      </c>
      <c r="K76" s="3330">
        <f t="shared" si="20"/>
        <v>0</v>
      </c>
      <c r="L76" s="3330">
        <v>0</v>
      </c>
      <c r="M76" s="3330">
        <f t="shared" si="21"/>
        <v>0</v>
      </c>
      <c r="N76" s="3330">
        <f t="shared" si="21"/>
        <v>0</v>
      </c>
      <c r="O76" s="3311"/>
      <c r="P76" s="1797"/>
      <c r="Q76" s="1797"/>
      <c r="AE76" s="3311"/>
      <c r="AF76" s="3311"/>
      <c r="AG76" s="3311"/>
      <c r="AH76" s="3311"/>
      <c r="AI76" s="3311"/>
      <c r="AJ76" s="3311"/>
    </row>
    <row r="77" spans="1:36" s="1273" customFormat="1" ht="24">
      <c r="A77" s="3316" t="s">
        <v>949</v>
      </c>
      <c r="B77" s="3335" t="str">
        <f>估价对象房地状况!C22</f>
        <v>估价对象所在区域基础设施水平</v>
      </c>
      <c r="C77" s="3341"/>
      <c r="D77" s="3325">
        <f t="shared" si="17"/>
        <v>0</v>
      </c>
      <c r="E77" s="3331"/>
      <c r="F77" s="3327"/>
      <c r="G77" s="3342"/>
      <c r="H77" s="3343" t="str">
        <f t="shared" si="18"/>
        <v>——</v>
      </c>
      <c r="I77" s="3304">
        <v>0.09</v>
      </c>
      <c r="J77" s="3330">
        <f t="shared" si="19"/>
        <v>0</v>
      </c>
      <c r="K77" s="3330">
        <f t="shared" si="20"/>
        <v>0</v>
      </c>
      <c r="L77" s="3330">
        <v>0</v>
      </c>
      <c r="M77" s="3330">
        <f t="shared" si="21"/>
        <v>0</v>
      </c>
      <c r="N77" s="3330">
        <f t="shared" si="21"/>
        <v>0</v>
      </c>
      <c r="O77" s="3311"/>
      <c r="P77" s="1797"/>
      <c r="Q77" s="1797"/>
      <c r="AE77" s="3311"/>
      <c r="AF77" s="3311"/>
      <c r="AG77" s="3311"/>
      <c r="AH77" s="3311"/>
      <c r="AI77" s="3311"/>
      <c r="AJ77" s="3311"/>
    </row>
    <row r="78" spans="1:36" s="1273" customFormat="1" ht="36">
      <c r="A78" s="3316" t="s">
        <v>947</v>
      </c>
      <c r="B78" s="3333" t="s">
        <v>2199</v>
      </c>
      <c r="C78" s="3341"/>
      <c r="D78" s="3325">
        <f t="shared" si="17"/>
        <v>0</v>
      </c>
      <c r="E78" s="3331"/>
      <c r="F78" s="3327"/>
      <c r="G78" s="3342"/>
      <c r="H78" s="3343" t="str">
        <f t="shared" si="18"/>
        <v>——</v>
      </c>
      <c r="I78" s="3304">
        <v>0.05</v>
      </c>
      <c r="J78" s="3330">
        <f t="shared" si="19"/>
        <v>0</v>
      </c>
      <c r="K78" s="3330">
        <f t="shared" si="20"/>
        <v>0</v>
      </c>
      <c r="L78" s="3330">
        <v>0</v>
      </c>
      <c r="M78" s="3330">
        <f t="shared" si="21"/>
        <v>0</v>
      </c>
      <c r="N78" s="3330">
        <f t="shared" si="21"/>
        <v>0</v>
      </c>
      <c r="O78" s="3311"/>
      <c r="P78" s="1797"/>
      <c r="Q78" s="1797"/>
      <c r="AE78" s="3311"/>
      <c r="AF78" s="3311"/>
      <c r="AG78" s="3311"/>
      <c r="AH78" s="3311"/>
      <c r="AI78" s="3311"/>
      <c r="AJ78" s="3311"/>
    </row>
    <row r="79" spans="1:36" s="1273" customFormat="1" ht="36">
      <c r="A79" s="3316" t="s">
        <v>950</v>
      </c>
      <c r="B79" s="3323" t="str">
        <f>估价对象房地状况!C20</f>
        <v>区域自然环境：；人文环境；综合评价环境状况一般</v>
      </c>
      <c r="C79" s="3341"/>
      <c r="D79" s="3325">
        <f t="shared" si="17"/>
        <v>0</v>
      </c>
      <c r="E79" s="3331"/>
      <c r="F79" s="3327"/>
      <c r="G79" s="3342"/>
      <c r="H79" s="3343" t="str">
        <f t="shared" si="18"/>
        <v>——</v>
      </c>
      <c r="I79" s="3304">
        <v>0.12</v>
      </c>
      <c r="J79" s="3330">
        <f t="shared" si="19"/>
        <v>0</v>
      </c>
      <c r="K79" s="3330">
        <f t="shared" si="20"/>
        <v>0</v>
      </c>
      <c r="L79" s="3330">
        <v>0</v>
      </c>
      <c r="M79" s="3330">
        <f t="shared" si="21"/>
        <v>0</v>
      </c>
      <c r="N79" s="3330">
        <f t="shared" si="21"/>
        <v>0</v>
      </c>
      <c r="P79" s="3344"/>
      <c r="Q79" s="3344"/>
      <c r="AE79" s="3311"/>
      <c r="AF79" s="3311"/>
      <c r="AG79" s="3311"/>
      <c r="AH79" s="3311"/>
      <c r="AI79" s="3311"/>
      <c r="AJ79" s="3311"/>
    </row>
    <row r="80" spans="1:36" s="1273" customFormat="1" ht="36.6" thickBot="1">
      <c r="A80" s="3336" t="s">
        <v>957</v>
      </c>
      <c r="B80" s="3345"/>
      <c r="C80" s="3341"/>
      <c r="D80" s="3325">
        <f t="shared" si="17"/>
        <v>0</v>
      </c>
      <c r="E80" s="3338"/>
      <c r="F80" s="3327"/>
      <c r="G80" s="3342"/>
      <c r="H80" s="3343" t="str">
        <f t="shared" si="18"/>
        <v>——</v>
      </c>
      <c r="I80" s="3306">
        <v>0.05</v>
      </c>
      <c r="J80" s="3330">
        <f t="shared" si="19"/>
        <v>0</v>
      </c>
      <c r="K80" s="3330">
        <f t="shared" si="20"/>
        <v>0</v>
      </c>
      <c r="L80" s="3330">
        <v>0</v>
      </c>
      <c r="M80" s="3330">
        <f t="shared" si="21"/>
        <v>0</v>
      </c>
      <c r="N80" s="3330">
        <f t="shared" si="21"/>
        <v>0</v>
      </c>
      <c r="AE80" s="3311"/>
      <c r="AF80" s="3311"/>
      <c r="AG80" s="3311"/>
      <c r="AH80" s="3311"/>
      <c r="AI80" s="3311"/>
      <c r="AJ80" s="3311"/>
    </row>
    <row r="81" spans="1:36" s="1273" customFormat="1" ht="14.4">
      <c r="A81" s="3312" t="s">
        <v>958</v>
      </c>
      <c r="B81" s="3374">
        <f>1+E83</f>
        <v>1</v>
      </c>
      <c r="C81" s="3339"/>
      <c r="D81" s="3314"/>
      <c r="E81" s="3315"/>
      <c r="F81" s="3307"/>
      <c r="G81" s="3310"/>
      <c r="H81" s="3310"/>
      <c r="I81" s="3310"/>
      <c r="J81" s="3166"/>
      <c r="K81" s="3166"/>
      <c r="L81" s="3166"/>
      <c r="M81" s="3166"/>
      <c r="N81" s="3166"/>
      <c r="AE81" s="3311"/>
      <c r="AF81" s="3311"/>
      <c r="AG81" s="3311"/>
      <c r="AH81" s="3311"/>
      <c r="AI81" s="3311"/>
      <c r="AJ81" s="3311"/>
    </row>
    <row r="82" spans="1:36" s="1273" customFormat="1" ht="24">
      <c r="A82" s="3316" t="s">
        <v>930</v>
      </c>
      <c r="B82" s="3317"/>
      <c r="C82" s="3318" t="s">
        <v>932</v>
      </c>
      <c r="D82" s="3319" t="s">
        <v>933</v>
      </c>
      <c r="E82" s="3320" t="s">
        <v>935</v>
      </c>
      <c r="F82" s="3194" t="s">
        <v>1612</v>
      </c>
      <c r="G82" s="3319" t="s">
        <v>936</v>
      </c>
      <c r="H82" s="3321" t="s">
        <v>1772</v>
      </c>
      <c r="I82" s="3319" t="s">
        <v>934</v>
      </c>
      <c r="J82" s="3322" t="s">
        <v>937</v>
      </c>
      <c r="K82" s="3322" t="s">
        <v>938</v>
      </c>
      <c r="L82" s="3322" t="s">
        <v>939</v>
      </c>
      <c r="M82" s="3322" t="s">
        <v>940</v>
      </c>
      <c r="N82" s="3322" t="s">
        <v>941</v>
      </c>
      <c r="AE82" s="3311"/>
      <c r="AF82" s="3311"/>
      <c r="AG82" s="3311"/>
      <c r="AH82" s="3311"/>
      <c r="AI82" s="3311"/>
      <c r="AJ82" s="3311"/>
    </row>
    <row r="83" spans="1:36" s="1273" customFormat="1" ht="36">
      <c r="A83" s="3316" t="s">
        <v>959</v>
      </c>
      <c r="B83" s="3317" t="str">
        <f>估价对象房地状况!G15</f>
        <v>估价对象位于XX开发区，园区建设成熟度XX，产业集聚程度XX</v>
      </c>
      <c r="C83" s="3324"/>
      <c r="D83" s="3325">
        <f t="shared" ref="D83:D90" si="22">SUMIF($J$82:$N$82,C83,J83:N83)</f>
        <v>0</v>
      </c>
      <c r="E83" s="3326">
        <f>ROUND(SUM(D83:D90),4)</f>
        <v>0</v>
      </c>
      <c r="F83" s="3327" t="str">
        <f>IF(E2="工业",SUMIF(L1:L12,G2,N1:N12),"——")</f>
        <v>——</v>
      </c>
      <c r="G83" s="3328"/>
      <c r="H83" s="3329" t="str">
        <f t="shared" ref="H83:H90" si="23">IFERROR(ROUNDDOWN($F$83*I83/2,4),"——")</f>
        <v>——</v>
      </c>
      <c r="I83" s="3304">
        <v>0.26</v>
      </c>
      <c r="J83" s="3330">
        <f t="shared" ref="J83:J90" si="24">K83+$G83</f>
        <v>0</v>
      </c>
      <c r="K83" s="3330">
        <f t="shared" ref="K83:K90" si="25">$L83+$G83</f>
        <v>0</v>
      </c>
      <c r="L83" s="3330">
        <v>0</v>
      </c>
      <c r="M83" s="3330">
        <f t="shared" ref="M83:N90" si="26">L83-$G83</f>
        <v>0</v>
      </c>
      <c r="N83" s="3330">
        <f t="shared" si="26"/>
        <v>0</v>
      </c>
      <c r="AE83" s="3311"/>
      <c r="AF83" s="3311"/>
      <c r="AG83" s="3311"/>
      <c r="AH83" s="3311"/>
      <c r="AI83" s="3311"/>
      <c r="AJ83" s="3311"/>
    </row>
    <row r="84" spans="1:36" s="1273" customFormat="1" ht="48">
      <c r="A84" s="3316" t="s">
        <v>955</v>
      </c>
      <c r="B84" s="3317" t="str">
        <f>估价对象房地状况!G16</f>
        <v>估价对象周边道路状况、公共交通通达情况、停车便捷程度，综合评价交通便捷度较好</v>
      </c>
      <c r="C84" s="3324"/>
      <c r="D84" s="3325">
        <f t="shared" si="22"/>
        <v>0</v>
      </c>
      <c r="E84" s="3331"/>
      <c r="F84" s="3327"/>
      <c r="G84" s="3328"/>
      <c r="H84" s="3329" t="str">
        <f t="shared" si="23"/>
        <v>——</v>
      </c>
      <c r="I84" s="3304">
        <v>0.3</v>
      </c>
      <c r="J84" s="3330">
        <f t="shared" si="24"/>
        <v>0</v>
      </c>
      <c r="K84" s="3330">
        <f t="shared" si="25"/>
        <v>0</v>
      </c>
      <c r="L84" s="3330">
        <v>0</v>
      </c>
      <c r="M84" s="3330">
        <f t="shared" si="26"/>
        <v>0</v>
      </c>
      <c r="N84" s="3330">
        <f t="shared" si="26"/>
        <v>0</v>
      </c>
      <c r="AE84" s="3311"/>
      <c r="AF84" s="3311"/>
      <c r="AG84" s="3311"/>
      <c r="AH84" s="3311"/>
      <c r="AI84" s="3311"/>
      <c r="AJ84" s="3311"/>
    </row>
    <row r="85" spans="1:36" s="1273" customFormat="1" ht="24">
      <c r="A85" s="3316" t="s">
        <v>944</v>
      </c>
      <c r="B85" s="3317">
        <f>估价对象房地状况!G17</f>
        <v>0</v>
      </c>
      <c r="C85" s="3324"/>
      <c r="D85" s="3325">
        <f t="shared" si="22"/>
        <v>0</v>
      </c>
      <c r="E85" s="3331"/>
      <c r="F85" s="3327"/>
      <c r="G85" s="3328"/>
      <c r="H85" s="3329" t="str">
        <f t="shared" si="23"/>
        <v>——</v>
      </c>
      <c r="I85" s="3304">
        <v>0.1</v>
      </c>
      <c r="J85" s="3330">
        <f t="shared" si="24"/>
        <v>0</v>
      </c>
      <c r="K85" s="3330">
        <f t="shared" si="25"/>
        <v>0</v>
      </c>
      <c r="L85" s="3330">
        <v>0</v>
      </c>
      <c r="M85" s="3330">
        <f t="shared" si="26"/>
        <v>0</v>
      </c>
      <c r="N85" s="3330">
        <f t="shared" si="26"/>
        <v>0</v>
      </c>
      <c r="AE85" s="3311"/>
      <c r="AF85" s="3311"/>
      <c r="AG85" s="3311"/>
      <c r="AH85" s="3311"/>
      <c r="AI85" s="3311"/>
      <c r="AJ85" s="3311"/>
    </row>
    <row r="86" spans="1:36" s="1273" customFormat="1" ht="13.8">
      <c r="A86" s="3316" t="s">
        <v>956</v>
      </c>
      <c r="B86" s="3317">
        <f>估价对象房地状况!G22</f>
        <v>0</v>
      </c>
      <c r="C86" s="3324"/>
      <c r="D86" s="3325">
        <f t="shared" si="22"/>
        <v>0</v>
      </c>
      <c r="E86" s="3331"/>
      <c r="F86" s="3327"/>
      <c r="G86" s="3328"/>
      <c r="H86" s="3329" t="str">
        <f t="shared" si="23"/>
        <v>——</v>
      </c>
      <c r="I86" s="3304">
        <v>0.05</v>
      </c>
      <c r="J86" s="3330">
        <f t="shared" si="24"/>
        <v>0</v>
      </c>
      <c r="K86" s="3330">
        <f t="shared" si="25"/>
        <v>0</v>
      </c>
      <c r="L86" s="3330">
        <v>0</v>
      </c>
      <c r="M86" s="3330">
        <f t="shared" si="26"/>
        <v>0</v>
      </c>
      <c r="N86" s="3330">
        <f t="shared" si="26"/>
        <v>0</v>
      </c>
      <c r="AE86" s="3311"/>
      <c r="AF86" s="3311"/>
      <c r="AG86" s="3311"/>
      <c r="AH86" s="3311"/>
      <c r="AI86" s="3311"/>
      <c r="AJ86" s="3311"/>
    </row>
    <row r="87" spans="1:36" s="1273" customFormat="1" ht="24">
      <c r="A87" s="3316" t="s">
        <v>948</v>
      </c>
      <c r="B87" s="3335" t="str">
        <f>估价对象房地状况!G19</f>
        <v>估价对象所在区域公共配套设施齐备情况</v>
      </c>
      <c r="C87" s="3324"/>
      <c r="D87" s="3325">
        <f t="shared" si="22"/>
        <v>0</v>
      </c>
      <c r="E87" s="3331"/>
      <c r="F87" s="3327"/>
      <c r="G87" s="3328"/>
      <c r="H87" s="3329" t="str">
        <f t="shared" si="23"/>
        <v>——</v>
      </c>
      <c r="I87" s="3304">
        <v>0.06</v>
      </c>
      <c r="J87" s="3330">
        <f t="shared" si="24"/>
        <v>0</v>
      </c>
      <c r="K87" s="3330">
        <f t="shared" si="25"/>
        <v>0</v>
      </c>
      <c r="L87" s="3330">
        <v>0</v>
      </c>
      <c r="M87" s="3330">
        <f t="shared" si="26"/>
        <v>0</v>
      </c>
      <c r="N87" s="3330">
        <f t="shared" si="26"/>
        <v>0</v>
      </c>
      <c r="AE87" s="3311"/>
      <c r="AF87" s="3311"/>
      <c r="AG87" s="3311"/>
      <c r="AH87" s="3311"/>
      <c r="AI87" s="3311"/>
      <c r="AJ87" s="3311"/>
    </row>
    <row r="88" spans="1:36" s="1273" customFormat="1" ht="24">
      <c r="A88" s="3316" t="s">
        <v>949</v>
      </c>
      <c r="B88" s="3335" t="str">
        <f>估价对象房地状况!G20</f>
        <v>估价对象所在区域基础设施水平</v>
      </c>
      <c r="C88" s="3324"/>
      <c r="D88" s="3325">
        <f t="shared" si="22"/>
        <v>0</v>
      </c>
      <c r="E88" s="3331"/>
      <c r="F88" s="3327"/>
      <c r="G88" s="3328"/>
      <c r="H88" s="3329" t="str">
        <f t="shared" si="23"/>
        <v>——</v>
      </c>
      <c r="I88" s="3304">
        <v>0.12</v>
      </c>
      <c r="J88" s="3330">
        <f t="shared" si="24"/>
        <v>0</v>
      </c>
      <c r="K88" s="3330">
        <f t="shared" si="25"/>
        <v>0</v>
      </c>
      <c r="L88" s="3330">
        <v>0</v>
      </c>
      <c r="M88" s="3330">
        <f t="shared" si="26"/>
        <v>0</v>
      </c>
      <c r="N88" s="3330">
        <f t="shared" si="26"/>
        <v>0</v>
      </c>
      <c r="AE88" s="3311"/>
      <c r="AF88" s="3311"/>
      <c r="AG88" s="3311"/>
      <c r="AH88" s="3311"/>
      <c r="AI88" s="3311"/>
      <c r="AJ88" s="3311"/>
    </row>
    <row r="89" spans="1:36" s="1273" customFormat="1" ht="36">
      <c r="A89" s="3316" t="s">
        <v>947</v>
      </c>
      <c r="B89" s="3333" t="s">
        <v>2199</v>
      </c>
      <c r="C89" s="3324"/>
      <c r="D89" s="3325">
        <f t="shared" si="22"/>
        <v>0</v>
      </c>
      <c r="E89" s="3331"/>
      <c r="F89" s="3327"/>
      <c r="G89" s="3328"/>
      <c r="H89" s="3329" t="str">
        <f t="shared" si="23"/>
        <v>——</v>
      </c>
      <c r="I89" s="3304">
        <v>0.06</v>
      </c>
      <c r="J89" s="3330">
        <f t="shared" si="24"/>
        <v>0</v>
      </c>
      <c r="K89" s="3330">
        <f t="shared" si="25"/>
        <v>0</v>
      </c>
      <c r="L89" s="3330">
        <v>0</v>
      </c>
      <c r="M89" s="3330">
        <f t="shared" si="26"/>
        <v>0</v>
      </c>
      <c r="N89" s="3330">
        <f t="shared" si="26"/>
        <v>0</v>
      </c>
      <c r="AE89" s="3311"/>
      <c r="AF89" s="3311"/>
      <c r="AG89" s="3311"/>
      <c r="AH89" s="3311"/>
      <c r="AI89" s="3311"/>
      <c r="AJ89" s="3311"/>
    </row>
    <row r="90" spans="1:36" s="1273" customFormat="1" ht="36.6" thickBot="1">
      <c r="A90" s="3336" t="s">
        <v>960</v>
      </c>
      <c r="B90" s="3346" t="str">
        <f>估价对象房地状况!G18</f>
        <v>该园区内是否有污染型企业，绿化情况，卫生条件，整体环境状况判断</v>
      </c>
      <c r="C90" s="3324"/>
      <c r="D90" s="3325">
        <f t="shared" si="22"/>
        <v>0</v>
      </c>
      <c r="E90" s="3338"/>
      <c r="F90" s="3327"/>
      <c r="G90" s="3328"/>
      <c r="H90" s="3329" t="str">
        <f t="shared" si="23"/>
        <v>——</v>
      </c>
      <c r="I90" s="3306">
        <v>0.05</v>
      </c>
      <c r="J90" s="3330">
        <f t="shared" si="24"/>
        <v>0</v>
      </c>
      <c r="K90" s="3330">
        <f t="shared" si="25"/>
        <v>0</v>
      </c>
      <c r="L90" s="3330">
        <v>0</v>
      </c>
      <c r="M90" s="3330">
        <f t="shared" si="26"/>
        <v>0</v>
      </c>
      <c r="N90" s="3330">
        <f t="shared" si="26"/>
        <v>0</v>
      </c>
      <c r="AE90" s="3311"/>
      <c r="AF90" s="3311"/>
      <c r="AG90" s="3311"/>
      <c r="AH90" s="3311"/>
      <c r="AI90" s="3311"/>
      <c r="AJ90" s="3311"/>
    </row>
    <row r="91" spans="1:36" s="1273" customFormat="1" ht="14.4">
      <c r="A91" s="3300" t="s">
        <v>3224</v>
      </c>
      <c r="B91" s="3374">
        <f>1+E93</f>
        <v>1</v>
      </c>
      <c r="C91" s="3348"/>
      <c r="D91" s="3348"/>
      <c r="E91" s="3349"/>
      <c r="F91" s="3327"/>
      <c r="G91" s="3350"/>
      <c r="H91" s="3351"/>
      <c r="I91" s="3352"/>
      <c r="J91" s="3353"/>
      <c r="K91" s="3353"/>
      <c r="L91" s="3353"/>
      <c r="M91" s="3353"/>
      <c r="N91" s="3353"/>
      <c r="AE91" s="3311"/>
      <c r="AF91" s="3311"/>
      <c r="AG91" s="3311"/>
      <c r="AH91" s="3311"/>
      <c r="AI91" s="3311"/>
      <c r="AJ91" s="3311"/>
    </row>
    <row r="92" spans="1:36" s="1273" customFormat="1" ht="24">
      <c r="A92" s="3301" t="s">
        <v>3225</v>
      </c>
      <c r="B92" s="3301"/>
      <c r="C92" s="3301" t="s">
        <v>3230</v>
      </c>
      <c r="D92" s="3301" t="s">
        <v>3217</v>
      </c>
      <c r="E92" s="346" t="s">
        <v>3218</v>
      </c>
      <c r="F92" s="3356" t="s">
        <v>1609</v>
      </c>
      <c r="G92" s="3319" t="s">
        <v>936</v>
      </c>
      <c r="H92" s="3321" t="s">
        <v>1772</v>
      </c>
      <c r="I92" s="3319" t="s">
        <v>934</v>
      </c>
      <c r="J92" s="3322" t="s">
        <v>937</v>
      </c>
      <c r="K92" s="3322" t="s">
        <v>938</v>
      </c>
      <c r="L92" s="3322" t="s">
        <v>939</v>
      </c>
      <c r="M92" s="3322" t="s">
        <v>940</v>
      </c>
      <c r="N92" s="3322" t="s">
        <v>941</v>
      </c>
      <c r="AE92" s="3311"/>
      <c r="AF92" s="3311"/>
      <c r="AG92" s="3311"/>
      <c r="AH92" s="3311"/>
      <c r="AI92" s="3311"/>
      <c r="AJ92" s="3311"/>
    </row>
    <row r="93" spans="1:36" s="1273" customFormat="1" ht="24">
      <c r="A93" s="3355" t="s">
        <v>3226</v>
      </c>
      <c r="B93" s="3303"/>
      <c r="C93" s="3324"/>
      <c r="D93" s="3325">
        <f>SUMIF($J$92:$N$92,C93,J93:N93)</f>
        <v>0</v>
      </c>
      <c r="E93" s="3357">
        <f>ROUND(SUM(D93:D101),4)</f>
        <v>0</v>
      </c>
      <c r="F93" s="3327" t="str">
        <f>IF(E2="公共服务",SUMIF(L1:L12,G2,N1:N12),"——")</f>
        <v>——</v>
      </c>
      <c r="G93" s="3342"/>
      <c r="H93" s="3329" t="str">
        <f>IFERROR(ROUNDDOWN($F$93*I93/2,4),"——")</f>
        <v>——</v>
      </c>
      <c r="I93" s="3304">
        <v>0.25</v>
      </c>
      <c r="J93" s="3354">
        <f>K93+$G93</f>
        <v>0</v>
      </c>
      <c r="K93" s="3354">
        <f t="shared" ref="K93:K101" si="27">$L93+$G93</f>
        <v>0</v>
      </c>
      <c r="L93" s="3354">
        <v>0</v>
      </c>
      <c r="M93" s="3354">
        <f t="shared" ref="M93:N93" si="28">L93-$G93</f>
        <v>0</v>
      </c>
      <c r="N93" s="3354">
        <f t="shared" si="28"/>
        <v>0</v>
      </c>
      <c r="AE93" s="3311"/>
      <c r="AF93" s="3311"/>
      <c r="AG93" s="3311"/>
      <c r="AH93" s="3311"/>
      <c r="AI93" s="3311"/>
      <c r="AJ93" s="3311"/>
    </row>
    <row r="94" spans="1:36" s="1273" customFormat="1" ht="48">
      <c r="A94" s="3301" t="s">
        <v>3227</v>
      </c>
      <c r="B94" s="3317" t="str">
        <f>估价对象房地状况!G16</f>
        <v>估价对象周边道路状况、公共交通通达情况、停车便捷程度，综合评价交通便捷度较好</v>
      </c>
      <c r="C94" s="3324"/>
      <c r="D94" s="3325">
        <f t="shared" ref="D94:D101" si="29">SUMIF($J$92:$N$92,C94,J94:N94)</f>
        <v>0</v>
      </c>
      <c r="E94" s="3349"/>
      <c r="F94" s="3327"/>
      <c r="G94" s="3342"/>
      <c r="H94" s="3329" t="str">
        <f t="shared" ref="H94:H101" si="30">IFERROR(ROUNDDOWN($F$93*I94/2,4),"——")</f>
        <v>——</v>
      </c>
      <c r="I94" s="3304">
        <v>0.26</v>
      </c>
      <c r="J94" s="3354">
        <f>K94+$G94</f>
        <v>0</v>
      </c>
      <c r="K94" s="3354">
        <f t="shared" si="27"/>
        <v>0</v>
      </c>
      <c r="L94" s="3354">
        <v>0</v>
      </c>
      <c r="M94" s="3354">
        <f t="shared" ref="M94:M101" si="31">L94-$G94</f>
        <v>0</v>
      </c>
      <c r="N94" s="3354">
        <f t="shared" ref="N94:N101" si="32">M94-$G94</f>
        <v>0</v>
      </c>
      <c r="AE94" s="3311"/>
      <c r="AF94" s="3311"/>
      <c r="AG94" s="3311"/>
      <c r="AH94" s="3311"/>
      <c r="AI94" s="3311"/>
      <c r="AJ94" s="3311"/>
    </row>
    <row r="95" spans="1:36" s="1273" customFormat="1" ht="48">
      <c r="A95" s="3355" t="s">
        <v>3215</v>
      </c>
      <c r="B95" s="3317">
        <f>估价对象房地状况!G17</f>
        <v>0</v>
      </c>
      <c r="C95" s="3324"/>
      <c r="D95" s="3325">
        <f t="shared" si="29"/>
        <v>0</v>
      </c>
      <c r="E95" s="3349"/>
      <c r="F95" s="3327"/>
      <c r="G95" s="3342"/>
      <c r="H95" s="3329" t="str">
        <f t="shared" si="30"/>
        <v>——</v>
      </c>
      <c r="I95" s="3304">
        <v>0.11</v>
      </c>
      <c r="J95" s="3354">
        <f t="shared" ref="J95:J101" si="33">K95+$G95</f>
        <v>0</v>
      </c>
      <c r="K95" s="3354">
        <f t="shared" si="27"/>
        <v>0</v>
      </c>
      <c r="L95" s="3354">
        <v>0</v>
      </c>
      <c r="M95" s="3354">
        <f t="shared" si="31"/>
        <v>0</v>
      </c>
      <c r="N95" s="3354">
        <f t="shared" si="32"/>
        <v>0</v>
      </c>
      <c r="AE95" s="3311"/>
      <c r="AF95" s="3311"/>
      <c r="AG95" s="3311"/>
      <c r="AH95" s="3311"/>
      <c r="AI95" s="3311"/>
      <c r="AJ95" s="3311"/>
    </row>
    <row r="96" spans="1:36" s="1273" customFormat="1" ht="37.200000000000003">
      <c r="A96" s="3301" t="s">
        <v>3219</v>
      </c>
      <c r="B96" s="3305" t="s">
        <v>3220</v>
      </c>
      <c r="C96" s="3324"/>
      <c r="D96" s="3325">
        <f t="shared" si="29"/>
        <v>0</v>
      </c>
      <c r="E96" s="3349"/>
      <c r="F96" s="3327"/>
      <c r="G96" s="3342"/>
      <c r="H96" s="3329" t="str">
        <f t="shared" si="30"/>
        <v>——</v>
      </c>
      <c r="I96" s="3304">
        <v>0.05</v>
      </c>
      <c r="J96" s="3354">
        <f t="shared" si="33"/>
        <v>0</v>
      </c>
      <c r="K96" s="3354">
        <f t="shared" si="27"/>
        <v>0</v>
      </c>
      <c r="L96" s="3354">
        <v>0</v>
      </c>
      <c r="M96" s="3354">
        <f>L96-$G96</f>
        <v>0</v>
      </c>
      <c r="N96" s="3354">
        <f t="shared" si="32"/>
        <v>0</v>
      </c>
      <c r="AE96" s="3311"/>
      <c r="AF96" s="3311"/>
      <c r="AG96" s="3311"/>
      <c r="AH96" s="3311"/>
      <c r="AI96" s="3311"/>
      <c r="AJ96" s="3311"/>
    </row>
    <row r="97" spans="1:36" s="1273" customFormat="1" ht="24">
      <c r="A97" s="3301" t="s">
        <v>3221</v>
      </c>
      <c r="B97" s="3317">
        <f>估价对象房地状况!G22</f>
        <v>0</v>
      </c>
      <c r="C97" s="3324"/>
      <c r="D97" s="3325">
        <f t="shared" si="29"/>
        <v>0</v>
      </c>
      <c r="E97" s="3349"/>
      <c r="F97" s="3327"/>
      <c r="G97" s="3342"/>
      <c r="H97" s="3329" t="str">
        <f t="shared" si="30"/>
        <v>——</v>
      </c>
      <c r="I97" s="3304">
        <v>0.05</v>
      </c>
      <c r="J97" s="3354">
        <f t="shared" si="33"/>
        <v>0</v>
      </c>
      <c r="K97" s="3354">
        <f t="shared" si="27"/>
        <v>0</v>
      </c>
      <c r="L97" s="3354">
        <v>0</v>
      </c>
      <c r="M97" s="3354">
        <f t="shared" si="31"/>
        <v>0</v>
      </c>
      <c r="N97" s="3354">
        <f t="shared" si="32"/>
        <v>0</v>
      </c>
      <c r="AE97" s="3311"/>
      <c r="AF97" s="3311"/>
      <c r="AG97" s="3311"/>
      <c r="AH97" s="3311"/>
      <c r="AI97" s="3311"/>
      <c r="AJ97" s="3311"/>
    </row>
    <row r="98" spans="1:36" s="1273" customFormat="1" ht="36">
      <c r="A98" s="3301" t="s">
        <v>3228</v>
      </c>
      <c r="B98" s="3332" t="s">
        <v>2199</v>
      </c>
      <c r="C98" s="3324"/>
      <c r="D98" s="3325">
        <f t="shared" si="29"/>
        <v>0</v>
      </c>
      <c r="E98" s="3349"/>
      <c r="F98" s="3327"/>
      <c r="G98" s="3342"/>
      <c r="H98" s="3329" t="str">
        <f t="shared" si="30"/>
        <v>——</v>
      </c>
      <c r="I98" s="3304">
        <v>0.06</v>
      </c>
      <c r="J98" s="3354">
        <f t="shared" si="33"/>
        <v>0</v>
      </c>
      <c r="K98" s="3354">
        <f t="shared" si="27"/>
        <v>0</v>
      </c>
      <c r="L98" s="3354">
        <v>0</v>
      </c>
      <c r="M98" s="3354">
        <f t="shared" si="31"/>
        <v>0</v>
      </c>
      <c r="N98" s="3354">
        <f t="shared" si="32"/>
        <v>0</v>
      </c>
      <c r="AE98" s="3311"/>
      <c r="AF98" s="3311"/>
      <c r="AG98" s="3311"/>
      <c r="AH98" s="3311"/>
      <c r="AI98" s="3311"/>
      <c r="AJ98" s="3311"/>
    </row>
    <row r="99" spans="1:36" s="1273" customFormat="1" ht="24">
      <c r="A99" s="3301" t="s">
        <v>3229</v>
      </c>
      <c r="B99" s="3317" t="str">
        <f>估价对象房地状况!C21</f>
        <v>估价对象所在区域公共配套设施齐备情况</v>
      </c>
      <c r="C99" s="3324"/>
      <c r="D99" s="3325">
        <f t="shared" si="29"/>
        <v>0</v>
      </c>
      <c r="E99" s="3349"/>
      <c r="F99" s="3327"/>
      <c r="G99" s="3342"/>
      <c r="H99" s="3329" t="str">
        <f t="shared" si="30"/>
        <v>——</v>
      </c>
      <c r="I99" s="3304">
        <v>0.06</v>
      </c>
      <c r="J99" s="3354">
        <f t="shared" si="33"/>
        <v>0</v>
      </c>
      <c r="K99" s="3354">
        <f t="shared" si="27"/>
        <v>0</v>
      </c>
      <c r="L99" s="3354">
        <v>0</v>
      </c>
      <c r="M99" s="3354">
        <f t="shared" si="31"/>
        <v>0</v>
      </c>
      <c r="N99" s="3354">
        <f t="shared" si="32"/>
        <v>0</v>
      </c>
      <c r="AE99" s="3311"/>
      <c r="AF99" s="3311"/>
      <c r="AG99" s="3311"/>
      <c r="AH99" s="3311"/>
      <c r="AI99" s="3311"/>
      <c r="AJ99" s="3311"/>
    </row>
    <row r="100" spans="1:36" s="1273" customFormat="1" ht="24">
      <c r="A100" s="3301" t="s">
        <v>3222</v>
      </c>
      <c r="B100" s="3317" t="str">
        <f>估价对象房地状况!C22</f>
        <v>估价对象所在区域基础设施水平</v>
      </c>
      <c r="C100" s="3324"/>
      <c r="D100" s="3325">
        <f t="shared" si="29"/>
        <v>0</v>
      </c>
      <c r="E100" s="3349"/>
      <c r="F100" s="3327"/>
      <c r="G100" s="3342"/>
      <c r="H100" s="3329" t="str">
        <f t="shared" si="30"/>
        <v>——</v>
      </c>
      <c r="I100" s="3304">
        <v>0.09</v>
      </c>
      <c r="J100" s="3354">
        <f t="shared" si="33"/>
        <v>0</v>
      </c>
      <c r="K100" s="3354">
        <f t="shared" si="27"/>
        <v>0</v>
      </c>
      <c r="L100" s="3354">
        <v>0</v>
      </c>
      <c r="M100" s="3354">
        <f t="shared" si="31"/>
        <v>0</v>
      </c>
      <c r="N100" s="3354">
        <f t="shared" si="32"/>
        <v>0</v>
      </c>
      <c r="AE100" s="3311"/>
      <c r="AF100" s="3311"/>
      <c r="AG100" s="3311"/>
      <c r="AH100" s="3311"/>
      <c r="AI100" s="3311"/>
      <c r="AJ100" s="3311"/>
    </row>
    <row r="101" spans="1:36" s="1273" customFormat="1" ht="36.6" thickBot="1">
      <c r="A101" s="3301" t="s">
        <v>3223</v>
      </c>
      <c r="B101" s="3323" t="str">
        <f>估价对象房地状况!C20</f>
        <v>区域自然环境：；人文环境；综合评价环境状况一般</v>
      </c>
      <c r="C101" s="3324"/>
      <c r="D101" s="3325">
        <f t="shared" si="29"/>
        <v>0</v>
      </c>
      <c r="E101" s="3349"/>
      <c r="F101" s="3327"/>
      <c r="G101" s="3342"/>
      <c r="H101" s="3329" t="str">
        <f t="shared" si="30"/>
        <v>——</v>
      </c>
      <c r="I101" s="3306">
        <v>7.0000000000000007E-2</v>
      </c>
      <c r="J101" s="3354">
        <f t="shared" si="33"/>
        <v>0</v>
      </c>
      <c r="K101" s="3354">
        <f t="shared" si="27"/>
        <v>0</v>
      </c>
      <c r="L101" s="3354">
        <v>0</v>
      </c>
      <c r="M101" s="3354">
        <f t="shared" si="31"/>
        <v>0</v>
      </c>
      <c r="N101" s="3354">
        <f t="shared" si="32"/>
        <v>0</v>
      </c>
      <c r="AE101" s="3311"/>
      <c r="AF101" s="3311"/>
      <c r="AG101" s="3311"/>
      <c r="AH101" s="3311"/>
      <c r="AI101" s="3311"/>
      <c r="AJ101" s="3311"/>
    </row>
    <row r="102" spans="1:36" s="1273" customFormat="1" ht="13.8">
      <c r="A102" s="3375"/>
      <c r="B102" s="3376"/>
      <c r="C102" s="3347"/>
      <c r="D102" s="3348"/>
      <c r="E102" s="3349"/>
      <c r="F102" s="3327"/>
      <c r="G102" s="3377"/>
      <c r="H102" s="3351"/>
      <c r="I102" s="3378"/>
      <c r="J102" s="3379"/>
      <c r="K102" s="3379"/>
      <c r="L102" s="3379"/>
      <c r="M102" s="3379"/>
      <c r="N102" s="3379"/>
      <c r="AE102" s="3311"/>
      <c r="AF102" s="3311"/>
      <c r="AG102" s="3311"/>
      <c r="AH102" s="3311"/>
      <c r="AI102" s="3311"/>
      <c r="AJ102" s="3311"/>
    </row>
    <row r="103" spans="1:36" s="1273" customFormat="1">
      <c r="K103" s="3311"/>
      <c r="AD103" s="3311"/>
      <c r="AE103" s="3311"/>
      <c r="AF103" s="3311"/>
      <c r="AG103" s="3311"/>
      <c r="AH103" s="3311"/>
      <c r="AI103" s="3311"/>
    </row>
    <row r="104" spans="1:36">
      <c r="A104" s="3666" t="s">
        <v>1172</v>
      </c>
      <c r="B104" s="3666"/>
      <c r="C104" s="3666"/>
      <c r="D104" s="3666"/>
      <c r="E104" s="3666"/>
      <c r="F104" s="3666"/>
      <c r="G104" s="3666"/>
      <c r="H104" s="3666"/>
      <c r="I104" s="3666"/>
      <c r="J104" s="3666"/>
      <c r="K104" s="1001"/>
      <c r="L104" s="1001"/>
      <c r="M104" s="1001"/>
      <c r="N104" s="1001"/>
    </row>
    <row r="105" spans="1:36">
      <c r="A105" s="3667" t="s">
        <v>1161</v>
      </c>
      <c r="B105" s="3667" t="s">
        <v>1173</v>
      </c>
      <c r="C105" s="989" t="s">
        <v>1174</v>
      </c>
      <c r="D105" s="990"/>
      <c r="E105" s="990"/>
      <c r="F105" s="990"/>
      <c r="G105" s="990"/>
      <c r="H105" s="990"/>
      <c r="I105" s="990"/>
      <c r="J105" s="991"/>
      <c r="K105" s="984"/>
      <c r="L105" s="984"/>
      <c r="M105" s="984"/>
      <c r="N105" s="984"/>
    </row>
    <row r="106" spans="1:36">
      <c r="A106" s="3667"/>
      <c r="B106" s="3667"/>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73"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74"/>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74"/>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74"/>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74"/>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74"/>
      <c r="B112" s="992" t="s">
        <v>3231</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75"/>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63" t="s">
        <v>1175</v>
      </c>
      <c r="B114" s="3663"/>
      <c r="C114" s="3663"/>
      <c r="D114" s="3663"/>
      <c r="E114" s="3663"/>
      <c r="F114" s="3663"/>
      <c r="G114" s="3663"/>
      <c r="H114" s="3663"/>
      <c r="I114" s="3663"/>
      <c r="J114" s="3663"/>
      <c r="K114" s="1967"/>
      <c r="L114" s="1967"/>
      <c r="M114" s="1967"/>
      <c r="N114" s="1967"/>
    </row>
    <row r="116" spans="1:14" ht="12.6" thickBot="1"/>
    <row r="117" spans="1:14" ht="25.8" thickBot="1">
      <c r="A117" s="927" t="s">
        <v>831</v>
      </c>
      <c r="B117" s="1968">
        <f>G3</f>
        <v>0</v>
      </c>
      <c r="C117" s="928" t="s">
        <v>832</v>
      </c>
      <c r="D117" s="929" t="e">
        <f>SUMPRODUCT((A118:A122=F116)*(B117:M117=H116)*B118:M122)</f>
        <v>#VALUE!</v>
      </c>
      <c r="E117" s="930" t="s">
        <v>833</v>
      </c>
      <c r="F117" s="931">
        <f>E2</f>
        <v>0</v>
      </c>
      <c r="G117" s="930" t="s">
        <v>834</v>
      </c>
      <c r="H117" s="931">
        <f>G2</f>
        <v>0</v>
      </c>
      <c r="I117" s="930"/>
      <c r="J117" s="922"/>
      <c r="K117" s="922"/>
      <c r="L117" s="922"/>
      <c r="M117" s="922"/>
    </row>
    <row r="118" spans="1:14" ht="13.2">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3.2">
      <c r="A119" s="3358" t="s">
        <v>3232</v>
      </c>
      <c r="B119" s="3302">
        <f>ROUND(0.9968-0.011*B117,4)</f>
        <v>0.99680000000000002</v>
      </c>
      <c r="C119" s="3302">
        <f>B119</f>
        <v>0.99680000000000002</v>
      </c>
      <c r="D119" s="3302">
        <f>ROUND(0.949-0.014*B117,4)</f>
        <v>0.94899999999999995</v>
      </c>
      <c r="E119" s="3302">
        <f>D119</f>
        <v>0.94899999999999995</v>
      </c>
      <c r="F119" s="3302">
        <f>E119</f>
        <v>0.94899999999999995</v>
      </c>
      <c r="G119" s="3302">
        <f>F119</f>
        <v>0.94899999999999995</v>
      </c>
      <c r="H119" s="3302">
        <f>G119</f>
        <v>0.94899999999999995</v>
      </c>
      <c r="I119" s="3302">
        <f>ROUND(0.8486-0.018*B117,4)</f>
        <v>0.84860000000000002</v>
      </c>
      <c r="J119" s="3302">
        <f t="shared" ref="J119:M123" si="35">I119</f>
        <v>0.84860000000000002</v>
      </c>
      <c r="K119" s="3302">
        <f t="shared" si="35"/>
        <v>0.84860000000000002</v>
      </c>
      <c r="L119" s="3302">
        <f t="shared" si="35"/>
        <v>0.84860000000000002</v>
      </c>
      <c r="M119" s="3361">
        <f t="shared" si="35"/>
        <v>0.84860000000000002</v>
      </c>
    </row>
    <row r="120" spans="1:14" ht="13.2">
      <c r="A120" s="3358" t="s">
        <v>3233</v>
      </c>
      <c r="B120" s="3302">
        <f>ROUND(0.993-0.0112*B117,4)</f>
        <v>0.99299999999999999</v>
      </c>
      <c r="C120" s="3302">
        <f>B120</f>
        <v>0.99299999999999999</v>
      </c>
      <c r="D120" s="3302">
        <f>ROUND(0.9415-0.0142*B117,4)</f>
        <v>0.9415</v>
      </c>
      <c r="E120" s="3302">
        <f t="shared" ref="E120:H121" si="36">D120</f>
        <v>0.9415</v>
      </c>
      <c r="F120" s="3302">
        <f t="shared" si="36"/>
        <v>0.9415</v>
      </c>
      <c r="G120" s="3302">
        <f t="shared" si="36"/>
        <v>0.9415</v>
      </c>
      <c r="H120" s="3302">
        <f t="shared" si="36"/>
        <v>0.9415</v>
      </c>
      <c r="I120" s="3302">
        <f>ROUND(0.838-0.0182*B117,4)</f>
        <v>0.83799999999999997</v>
      </c>
      <c r="J120" s="3302">
        <f t="shared" si="35"/>
        <v>0.83799999999999997</v>
      </c>
      <c r="K120" s="3302">
        <f t="shared" si="35"/>
        <v>0.83799999999999997</v>
      </c>
      <c r="L120" s="3302">
        <f t="shared" si="35"/>
        <v>0.83799999999999997</v>
      </c>
      <c r="M120" s="3361">
        <f t="shared" si="35"/>
        <v>0.83799999999999997</v>
      </c>
    </row>
    <row r="121" spans="1:14" ht="13.2">
      <c r="A121" s="3358" t="s">
        <v>3234</v>
      </c>
      <c r="B121" s="3302">
        <f>ROUND(0.9448-0.0115*B117,4)</f>
        <v>0.94479999999999997</v>
      </c>
      <c r="C121" s="3302">
        <f>B121</f>
        <v>0.94479999999999997</v>
      </c>
      <c r="D121" s="3302">
        <f>ROUND(0.937-0.0145*B117,4)</f>
        <v>0.93700000000000006</v>
      </c>
      <c r="E121" s="3302">
        <f t="shared" si="36"/>
        <v>0.93700000000000006</v>
      </c>
      <c r="F121" s="3302">
        <f t="shared" si="36"/>
        <v>0.93700000000000006</v>
      </c>
      <c r="G121" s="3302">
        <f t="shared" si="36"/>
        <v>0.93700000000000006</v>
      </c>
      <c r="H121" s="3302">
        <f t="shared" si="36"/>
        <v>0.93700000000000006</v>
      </c>
      <c r="I121" s="3302">
        <f>ROUND(0.7965-0.0185*B117,4)</f>
        <v>0.79649999999999999</v>
      </c>
      <c r="J121" s="3302">
        <f t="shared" si="35"/>
        <v>0.79649999999999999</v>
      </c>
      <c r="K121" s="3302">
        <f t="shared" si="35"/>
        <v>0.79649999999999999</v>
      </c>
      <c r="L121" s="3302">
        <f t="shared" si="35"/>
        <v>0.79649999999999999</v>
      </c>
      <c r="M121" s="3361">
        <f t="shared" si="35"/>
        <v>0.79649999999999999</v>
      </c>
    </row>
    <row r="122" spans="1:14" ht="13.8" thickBot="1">
      <c r="A122" s="3359" t="s">
        <v>3235</v>
      </c>
      <c r="B122" s="3362">
        <f>ROUND(0.7836-0.012*B117,4)</f>
        <v>0.78359999999999996</v>
      </c>
      <c r="C122" s="3362">
        <f>B122</f>
        <v>0.78359999999999996</v>
      </c>
      <c r="D122" s="3362">
        <f>ROUND(0.753-0.015*B117,4)</f>
        <v>0.753</v>
      </c>
      <c r="E122" s="3362">
        <f>D122</f>
        <v>0.753</v>
      </c>
      <c r="F122" s="3362">
        <f>E122</f>
        <v>0.753</v>
      </c>
      <c r="G122" s="3362">
        <f>ROUND(0.6612-0.018*B117,4)</f>
        <v>0.66120000000000001</v>
      </c>
      <c r="H122" s="3362">
        <f>G122</f>
        <v>0.66120000000000001</v>
      </c>
      <c r="I122" s="3362">
        <f>ROUND(0.5905-0.019*B117,4)</f>
        <v>0.59050000000000002</v>
      </c>
      <c r="J122" s="3362">
        <f t="shared" si="35"/>
        <v>0.59050000000000002</v>
      </c>
      <c r="K122" s="3362">
        <f t="shared" si="35"/>
        <v>0.59050000000000002</v>
      </c>
      <c r="L122" s="3362">
        <f t="shared" si="35"/>
        <v>0.59050000000000002</v>
      </c>
      <c r="M122" s="3363">
        <f t="shared" si="35"/>
        <v>0.59050000000000002</v>
      </c>
    </row>
    <row r="123" spans="1:14" ht="13.2">
      <c r="A123" s="3360" t="s">
        <v>3216</v>
      </c>
      <c r="B123" s="3302">
        <f>ROUND(0.9404-0.0106*B117,4)</f>
        <v>0.94040000000000001</v>
      </c>
      <c r="C123" s="3302">
        <f>B123</f>
        <v>0.94040000000000001</v>
      </c>
      <c r="D123" s="3302">
        <f>ROUND(0.8955-0.0135*B117,4)</f>
        <v>0.89549999999999996</v>
      </c>
      <c r="E123" s="3302">
        <f t="shared" ref="E123:H123" si="37">D123</f>
        <v>0.89549999999999996</v>
      </c>
      <c r="F123" s="3302">
        <f t="shared" si="37"/>
        <v>0.89549999999999996</v>
      </c>
      <c r="G123" s="3302">
        <f t="shared" si="37"/>
        <v>0.89549999999999996</v>
      </c>
      <c r="H123" s="3302">
        <f t="shared" si="37"/>
        <v>0.89549999999999996</v>
      </c>
      <c r="I123" s="3302">
        <f>ROUND(0.7632-0.0166*B117,4)</f>
        <v>0.76319999999999999</v>
      </c>
      <c r="J123" s="3302">
        <f t="shared" si="35"/>
        <v>0.76319999999999999</v>
      </c>
      <c r="K123" s="3302">
        <f t="shared" si="35"/>
        <v>0.76319999999999999</v>
      </c>
      <c r="L123" s="3302">
        <f t="shared" si="35"/>
        <v>0.76319999999999999</v>
      </c>
      <c r="M123" s="3361">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F21" xr:uid="{00000000-0002-0000-1500-000000000000}">
      <formula1>"与级别开发程度一致,与级别开发程度不一致"</formula1>
    </dataValidation>
    <dataValidation type="list" allowBlank="1" showInputMessage="1" showErrorMessage="1" sqref="B25" xr:uid="{00000000-0002-0000-1500-000001000000}">
      <formula1>"容积率修正,楼层修正"</formula1>
    </dataValidation>
    <dataValidation type="list" allowBlank="1" showInputMessage="1" showErrorMessage="1" sqref="C15:D15" xr:uid="{00000000-0002-0000-1500-000002000000}">
      <formula1>"有,无"</formula1>
    </dataValidation>
    <dataValidation type="list" allowBlank="1" showInputMessage="1" showErrorMessage="1" sqref="E15" xr:uid="{00000000-0002-0000-1500-000003000000}">
      <formula1>"500米范围内,500-1000米,1000米以外"</formula1>
    </dataValidation>
    <dataValidation type="list" allowBlank="1" showInputMessage="1" showErrorMessage="1" sqref="H23" xr:uid="{00000000-0002-0000-1500-000004000000}">
      <formula1>"地价指数,季度增幅（自定义）,按公示增长率计算"</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INDIRECT(E2)</formula1>
    </dataValidation>
    <dataValidation type="list" allowBlank="1" showInputMessage="1" showErrorMessage="1" sqref="C50:C58 C61:C69 C93:C102 C72:C80 C83:C90" xr:uid="{00000000-0002-0000-1500-000008000000}">
      <formula1>五等判定</formula1>
    </dataValidation>
    <dataValidation type="list" allowBlank="1" showInputMessage="1" showErrorMessage="1" sqref="H20:O20" xr:uid="{00000000-0002-0000-1500-000009000000}">
      <formula1>七通一平</formula1>
    </dataValidation>
    <dataValidation type="list" allowBlank="1" showInputMessage="1" showErrorMessage="1" sqref="J23" xr:uid="{00000000-0002-0000-1500-00000A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3"/>
  <sheetViews>
    <sheetView topLeftCell="A13" zoomScale="90" zoomScaleNormal="90" workbookViewId="0">
      <selection activeCell="C20" sqref="C20:C53"/>
    </sheetView>
  </sheetViews>
  <sheetFormatPr defaultColWidth="13.88671875" defaultRowHeight="14.4"/>
  <cols>
    <col min="1" max="1" width="13.88671875" style="958"/>
    <col min="2" max="9" width="13.88671875" style="974"/>
    <col min="10" max="16384" width="13.88671875" style="958"/>
  </cols>
  <sheetData>
    <row r="1" spans="1:13" ht="15" thickBot="1">
      <c r="A1" s="975" t="s">
        <v>2761</v>
      </c>
      <c r="B1" s="963" t="s">
        <v>990</v>
      </c>
      <c r="C1" s="963" t="s">
        <v>1031</v>
      </c>
      <c r="D1" s="963" t="s">
        <v>1145</v>
      </c>
      <c r="E1" s="963" t="s">
        <v>853</v>
      </c>
      <c r="F1" s="963" t="s">
        <v>1152</v>
      </c>
      <c r="G1" s="963" t="s">
        <v>1153</v>
      </c>
      <c r="H1" s="963" t="s">
        <v>1154</v>
      </c>
      <c r="I1" s="963" t="s">
        <v>1155</v>
      </c>
      <c r="J1" s="963" t="s">
        <v>1156</v>
      </c>
      <c r="K1" s="963" t="s">
        <v>1157</v>
      </c>
      <c r="L1" s="963" t="s">
        <v>2762</v>
      </c>
      <c r="M1" s="964" t="s">
        <v>2763</v>
      </c>
    </row>
    <row r="2" spans="1:13">
      <c r="A2" s="2984" t="s">
        <v>2738</v>
      </c>
      <c r="B2" s="2985">
        <v>3.5</v>
      </c>
      <c r="C2" s="2985">
        <v>3.5</v>
      </c>
      <c r="D2" s="2986">
        <v>2.5</v>
      </c>
      <c r="E2" s="2986">
        <v>2.5</v>
      </c>
      <c r="F2" s="2986">
        <v>2.5</v>
      </c>
      <c r="G2" s="2986">
        <v>2.5</v>
      </c>
      <c r="H2" s="2986">
        <v>2.5</v>
      </c>
      <c r="I2" s="2985">
        <v>2</v>
      </c>
      <c r="J2" s="2985">
        <v>2</v>
      </c>
      <c r="K2" s="2985">
        <v>2</v>
      </c>
      <c r="L2" s="2985">
        <v>2</v>
      </c>
      <c r="M2" s="2987">
        <v>2</v>
      </c>
    </row>
    <row r="3" spans="1:13">
      <c r="A3" s="2988" t="s">
        <v>1212</v>
      </c>
      <c r="B3" s="2989">
        <v>3.5</v>
      </c>
      <c r="C3" s="2989">
        <v>3.5</v>
      </c>
      <c r="D3" s="2990">
        <v>2.5</v>
      </c>
      <c r="E3" s="2990">
        <v>2.5</v>
      </c>
      <c r="F3" s="2990">
        <v>2.5</v>
      </c>
      <c r="G3" s="2990">
        <v>2.5</v>
      </c>
      <c r="H3" s="2990">
        <v>2.5</v>
      </c>
      <c r="I3" s="2989">
        <v>2</v>
      </c>
      <c r="J3" s="2989">
        <v>2</v>
      </c>
      <c r="K3" s="2989">
        <v>2</v>
      </c>
      <c r="L3" s="2989">
        <v>2</v>
      </c>
      <c r="M3" s="2991">
        <v>2</v>
      </c>
    </row>
    <row r="4" spans="1:13">
      <c r="A4" s="2988" t="s">
        <v>851</v>
      </c>
      <c r="B4" s="2990">
        <v>2.5</v>
      </c>
      <c r="C4" s="2990">
        <v>2.5</v>
      </c>
      <c r="D4" s="2990">
        <v>2.5</v>
      </c>
      <c r="E4" s="2990">
        <v>2.5</v>
      </c>
      <c r="F4" s="2990">
        <v>2.5</v>
      </c>
      <c r="G4" s="2990">
        <v>2.5</v>
      </c>
      <c r="H4" s="2990">
        <v>2.5</v>
      </c>
      <c r="I4" s="2989">
        <v>1.5</v>
      </c>
      <c r="J4" s="2989">
        <v>1.5</v>
      </c>
      <c r="K4" s="2989">
        <v>1.5</v>
      </c>
      <c r="L4" s="2989">
        <v>1.5</v>
      </c>
      <c r="M4" s="2991">
        <v>1.5</v>
      </c>
    </row>
    <row r="5" spans="1:13">
      <c r="A5" s="2992" t="s">
        <v>905</v>
      </c>
      <c r="B5" s="2989">
        <v>1.5</v>
      </c>
      <c r="C5" s="2989">
        <v>1.5</v>
      </c>
      <c r="D5" s="2989">
        <v>1.5</v>
      </c>
      <c r="E5" s="2989">
        <v>1.5</v>
      </c>
      <c r="F5" s="2989">
        <v>1.5</v>
      </c>
      <c r="G5" s="2989">
        <v>1.2</v>
      </c>
      <c r="H5" s="2989">
        <v>1.2</v>
      </c>
      <c r="I5" s="2989">
        <v>1</v>
      </c>
      <c r="J5" s="2989">
        <v>1</v>
      </c>
      <c r="K5" s="2989">
        <v>1</v>
      </c>
      <c r="L5" s="2989">
        <v>1</v>
      </c>
      <c r="M5" s="2991">
        <v>1</v>
      </c>
    </row>
    <row r="6" spans="1:13">
      <c r="A6" s="2993" t="s">
        <v>2764</v>
      </c>
      <c r="B6" s="2994">
        <v>2.5</v>
      </c>
      <c r="C6" s="2994">
        <v>2.5</v>
      </c>
      <c r="D6" s="2994">
        <v>2</v>
      </c>
      <c r="E6" s="2994">
        <v>2</v>
      </c>
      <c r="F6" s="2994">
        <v>2</v>
      </c>
      <c r="G6" s="2994">
        <v>2</v>
      </c>
      <c r="H6" s="2994">
        <v>2</v>
      </c>
      <c r="I6" s="2995">
        <v>1.5</v>
      </c>
      <c r="J6" s="2995">
        <v>1.5</v>
      </c>
      <c r="K6" s="2995">
        <v>1.5</v>
      </c>
      <c r="L6" s="2995">
        <v>1.5</v>
      </c>
      <c r="M6" s="2996">
        <v>1.5</v>
      </c>
    </row>
    <row r="7" spans="1:13" ht="15" thickBot="1">
      <c r="A7" s="2997" t="s">
        <v>2736</v>
      </c>
      <c r="B7" s="2998">
        <v>2.5</v>
      </c>
      <c r="C7" s="2998">
        <v>2.5</v>
      </c>
      <c r="D7" s="2998">
        <v>2</v>
      </c>
      <c r="E7" s="2998">
        <v>2</v>
      </c>
      <c r="F7" s="2998">
        <v>2</v>
      </c>
      <c r="G7" s="2998">
        <v>2</v>
      </c>
      <c r="H7" s="2998">
        <v>2</v>
      </c>
      <c r="I7" s="2999">
        <v>1.5</v>
      </c>
      <c r="J7" s="2999">
        <v>1.5</v>
      </c>
      <c r="K7" s="2999">
        <v>1.5</v>
      </c>
      <c r="L7" s="2999">
        <v>1.5</v>
      </c>
      <c r="M7" s="3000">
        <v>1.5</v>
      </c>
    </row>
    <row r="8" spans="1:13">
      <c r="A8" s="976" t="s">
        <v>2765</v>
      </c>
      <c r="B8" s="3001">
        <v>80</v>
      </c>
      <c r="C8" s="3001">
        <v>80</v>
      </c>
      <c r="D8" s="3001">
        <v>70</v>
      </c>
      <c r="E8" s="3001">
        <v>70</v>
      </c>
      <c r="F8" s="3001">
        <v>70</v>
      </c>
      <c r="G8" s="3001">
        <v>70</v>
      </c>
      <c r="H8" s="3001">
        <v>70</v>
      </c>
      <c r="I8" s="3001">
        <v>60</v>
      </c>
      <c r="J8" s="3001">
        <v>60</v>
      </c>
      <c r="K8" s="3001">
        <v>60</v>
      </c>
      <c r="L8" s="3001">
        <v>60</v>
      </c>
      <c r="M8" s="3002">
        <v>60</v>
      </c>
    </row>
    <row r="9" spans="1:13">
      <c r="A9" s="959" t="s">
        <v>2766</v>
      </c>
      <c r="B9" s="3003">
        <v>70</v>
      </c>
      <c r="C9" s="3003">
        <v>70</v>
      </c>
      <c r="D9" s="3003">
        <v>60</v>
      </c>
      <c r="E9" s="3003">
        <v>60</v>
      </c>
      <c r="F9" s="3003">
        <v>60</v>
      </c>
      <c r="G9" s="3003">
        <v>60</v>
      </c>
      <c r="H9" s="3003">
        <v>60</v>
      </c>
      <c r="I9" s="3003">
        <v>50</v>
      </c>
      <c r="J9" s="3003">
        <v>50</v>
      </c>
      <c r="K9" s="3003">
        <v>50</v>
      </c>
      <c r="L9" s="3003">
        <v>50</v>
      </c>
      <c r="M9" s="3004">
        <v>50</v>
      </c>
    </row>
    <row r="10" spans="1:13">
      <c r="A10" s="959" t="s">
        <v>2767</v>
      </c>
      <c r="B10" s="3003">
        <v>20</v>
      </c>
      <c r="C10" s="3003">
        <v>20</v>
      </c>
      <c r="D10" s="3003">
        <v>15</v>
      </c>
      <c r="E10" s="3003">
        <v>15</v>
      </c>
      <c r="F10" s="3003">
        <v>15</v>
      </c>
      <c r="G10" s="3003">
        <v>15</v>
      </c>
      <c r="H10" s="3003">
        <v>15</v>
      </c>
      <c r="I10" s="3003">
        <v>10</v>
      </c>
      <c r="J10" s="3003">
        <v>10</v>
      </c>
      <c r="K10" s="3003">
        <v>10</v>
      </c>
      <c r="L10" s="3003">
        <v>10</v>
      </c>
      <c r="M10" s="3004">
        <v>10</v>
      </c>
    </row>
    <row r="11" spans="1:13">
      <c r="A11" s="959" t="s">
        <v>2768</v>
      </c>
      <c r="B11" s="3003">
        <v>30</v>
      </c>
      <c r="C11" s="3003">
        <v>30</v>
      </c>
      <c r="D11" s="3003">
        <v>25</v>
      </c>
      <c r="E11" s="3003">
        <v>25</v>
      </c>
      <c r="F11" s="3003">
        <v>25</v>
      </c>
      <c r="G11" s="3003">
        <v>25</v>
      </c>
      <c r="H11" s="3003">
        <v>25</v>
      </c>
      <c r="I11" s="3003">
        <v>20</v>
      </c>
      <c r="J11" s="3003">
        <v>20</v>
      </c>
      <c r="K11" s="3003">
        <v>20</v>
      </c>
      <c r="L11" s="3003">
        <v>20</v>
      </c>
      <c r="M11" s="3004">
        <v>20</v>
      </c>
    </row>
    <row r="12" spans="1:13">
      <c r="A12" s="959" t="s">
        <v>2769</v>
      </c>
      <c r="B12" s="3003">
        <v>45</v>
      </c>
      <c r="C12" s="3003">
        <v>45</v>
      </c>
      <c r="D12" s="3003">
        <v>40</v>
      </c>
      <c r="E12" s="3003">
        <v>40</v>
      </c>
      <c r="F12" s="3003">
        <v>40</v>
      </c>
      <c r="G12" s="3003">
        <v>40</v>
      </c>
      <c r="H12" s="3003">
        <v>40</v>
      </c>
      <c r="I12" s="3003">
        <v>35</v>
      </c>
      <c r="J12" s="3003">
        <v>35</v>
      </c>
      <c r="K12" s="3003">
        <v>35</v>
      </c>
      <c r="L12" s="3003">
        <v>35</v>
      </c>
      <c r="M12" s="3004">
        <v>35</v>
      </c>
    </row>
    <row r="13" spans="1:13">
      <c r="A13" s="959" t="s">
        <v>2770</v>
      </c>
      <c r="B13" s="3003">
        <v>60</v>
      </c>
      <c r="C13" s="3003">
        <v>60</v>
      </c>
      <c r="D13" s="3003">
        <v>50</v>
      </c>
      <c r="E13" s="3003">
        <v>50</v>
      </c>
      <c r="F13" s="3003">
        <v>50</v>
      </c>
      <c r="G13" s="3003">
        <v>50</v>
      </c>
      <c r="H13" s="3003">
        <v>50</v>
      </c>
      <c r="I13" s="3003">
        <v>40</v>
      </c>
      <c r="J13" s="3003">
        <v>40</v>
      </c>
      <c r="K13" s="3003">
        <v>40</v>
      </c>
      <c r="L13" s="3003">
        <v>40</v>
      </c>
      <c r="M13" s="3004">
        <v>40</v>
      </c>
    </row>
    <row r="14" spans="1:13">
      <c r="A14" s="959" t="s">
        <v>2771</v>
      </c>
      <c r="B14" s="3003">
        <v>50</v>
      </c>
      <c r="C14" s="3003">
        <v>50</v>
      </c>
      <c r="D14" s="3003">
        <v>40</v>
      </c>
      <c r="E14" s="3003">
        <v>40</v>
      </c>
      <c r="F14" s="3003">
        <v>40</v>
      </c>
      <c r="G14" s="3003">
        <v>40</v>
      </c>
      <c r="H14" s="3003">
        <v>40</v>
      </c>
      <c r="I14" s="3003">
        <v>30</v>
      </c>
      <c r="J14" s="3003">
        <v>30</v>
      </c>
      <c r="K14" s="3003">
        <v>30</v>
      </c>
      <c r="L14" s="3003">
        <v>30</v>
      </c>
      <c r="M14" s="3004">
        <v>30</v>
      </c>
    </row>
    <row r="15" spans="1:13">
      <c r="A15" s="977" t="s">
        <v>2772</v>
      </c>
      <c r="B15" s="3005">
        <v>20</v>
      </c>
      <c r="C15" s="3005">
        <v>20</v>
      </c>
      <c r="D15" s="3005">
        <v>15</v>
      </c>
      <c r="E15" s="3005">
        <v>15</v>
      </c>
      <c r="F15" s="3005">
        <v>15</v>
      </c>
      <c r="G15" s="3005">
        <v>15</v>
      </c>
      <c r="H15" s="3005">
        <v>15</v>
      </c>
      <c r="I15" s="3005">
        <v>10</v>
      </c>
      <c r="J15" s="3005">
        <v>10</v>
      </c>
      <c r="K15" s="3005">
        <v>10</v>
      </c>
      <c r="L15" s="3005">
        <v>10</v>
      </c>
      <c r="M15" s="3006">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2" t="s">
        <v>2773</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9" t="s">
        <v>1160</v>
      </c>
      <c r="B18" s="979"/>
      <c r="C18" s="980"/>
      <c r="D18" s="980"/>
      <c r="E18" s="979"/>
      <c r="F18" s="980"/>
      <c r="G18" s="980"/>
    </row>
    <row r="19" spans="1:13" ht="15" thickBot="1">
      <c r="A19" s="3005" t="s">
        <v>2455</v>
      </c>
      <c r="B19" s="3007" t="s">
        <v>2456</v>
      </c>
      <c r="C19" s="3007" t="s">
        <v>2457</v>
      </c>
      <c r="D19" s="3404"/>
      <c r="E19" s="3005" t="s">
        <v>2458</v>
      </c>
      <c r="F19" s="982"/>
      <c r="G19" s="982"/>
    </row>
    <row r="20" spans="1:13">
      <c r="A20" s="3682" t="s">
        <v>2449</v>
      </c>
      <c r="B20" s="3687" t="s">
        <v>2459</v>
      </c>
      <c r="C20" s="3408" t="s">
        <v>2460</v>
      </c>
      <c r="D20" s="3408"/>
      <c r="E20" s="3011">
        <v>1</v>
      </c>
      <c r="F20" s="3012" t="s">
        <v>2461</v>
      </c>
      <c r="G20" s="984"/>
    </row>
    <row r="21" spans="1:13">
      <c r="A21" s="3683"/>
      <c r="B21" s="3678"/>
      <c r="C21" s="3024" t="s">
        <v>2462</v>
      </c>
      <c r="D21" s="3024"/>
      <c r="E21" s="3015">
        <v>1</v>
      </c>
      <c r="F21" s="3012" t="s">
        <v>2463</v>
      </c>
      <c r="G21" s="984"/>
    </row>
    <row r="22" spans="1:13">
      <c r="A22" s="3683"/>
      <c r="B22" s="3678"/>
      <c r="C22" s="3024" t="s">
        <v>2464</v>
      </c>
      <c r="D22" s="3024"/>
      <c r="E22" s="3015">
        <v>0.9</v>
      </c>
      <c r="F22" s="3012" t="s">
        <v>2465</v>
      </c>
      <c r="G22" s="984"/>
    </row>
    <row r="23" spans="1:13">
      <c r="A23" s="3683"/>
      <c r="B23" s="3678"/>
      <c r="C23" s="3024" t="s">
        <v>2466</v>
      </c>
      <c r="D23" s="3024"/>
      <c r="E23" s="3015">
        <v>0.9</v>
      </c>
      <c r="F23" s="3012" t="s">
        <v>2467</v>
      </c>
      <c r="G23" s="984"/>
    </row>
    <row r="24" spans="1:13">
      <c r="A24" s="3683"/>
      <c r="B24" s="3678"/>
      <c r="C24" s="3024" t="s">
        <v>2468</v>
      </c>
      <c r="D24" s="3024"/>
      <c r="E24" s="3015">
        <v>0.8</v>
      </c>
      <c r="F24" s="3012" t="s">
        <v>2469</v>
      </c>
      <c r="G24" s="984"/>
    </row>
    <row r="25" spans="1:13">
      <c r="A25" s="3683"/>
      <c r="B25" s="3678"/>
      <c r="C25" s="3024" t="s">
        <v>2470</v>
      </c>
      <c r="D25" s="3024"/>
      <c r="E25" s="3015">
        <v>0.8</v>
      </c>
      <c r="F25" s="3012"/>
      <c r="G25" s="984"/>
    </row>
    <row r="26" spans="1:13">
      <c r="A26" s="3683"/>
      <c r="B26" s="3678"/>
      <c r="C26" s="3024" t="s">
        <v>3319</v>
      </c>
      <c r="D26" s="3024"/>
      <c r="E26" s="3015">
        <v>0.43</v>
      </c>
      <c r="F26" s="3012"/>
      <c r="G26" s="984"/>
    </row>
    <row r="27" spans="1:13" ht="15" thickBot="1">
      <c r="A27" s="3684"/>
      <c r="B27" s="3688"/>
      <c r="C27" s="3409" t="s">
        <v>3321</v>
      </c>
      <c r="D27" s="3409"/>
      <c r="E27" s="3018">
        <f>E26*0.9</f>
        <v>0.38700000000000001</v>
      </c>
      <c r="F27" s="3012" t="s">
        <v>2471</v>
      </c>
      <c r="G27" s="984"/>
    </row>
    <row r="28" spans="1:13" ht="15" thickBot="1">
      <c r="A28" s="3403" t="s">
        <v>2450</v>
      </c>
      <c r="B28" s="3402" t="s">
        <v>2459</v>
      </c>
      <c r="C28" s="3405" t="s">
        <v>2472</v>
      </c>
      <c r="D28" s="3406"/>
      <c r="E28" s="3407">
        <v>1</v>
      </c>
      <c r="F28" s="3012" t="s">
        <v>2473</v>
      </c>
      <c r="G28" s="984"/>
    </row>
    <row r="29" spans="1:13">
      <c r="A29" s="3689" t="s">
        <v>2454</v>
      </c>
      <c r="B29" s="3685" t="s">
        <v>2454</v>
      </c>
      <c r="C29" s="3009" t="s">
        <v>2474</v>
      </c>
      <c r="D29" s="3010"/>
      <c r="E29" s="3011">
        <v>1</v>
      </c>
      <c r="F29" s="3012" t="s">
        <v>2475</v>
      </c>
      <c r="G29" s="984"/>
    </row>
    <row r="30" spans="1:13">
      <c r="A30" s="3690"/>
      <c r="B30" s="3681"/>
      <c r="C30" s="3013" t="s">
        <v>2476</v>
      </c>
      <c r="D30" s="3014"/>
      <c r="E30" s="3015">
        <v>1</v>
      </c>
      <c r="F30" s="3012" t="s">
        <v>2477</v>
      </c>
      <c r="G30" s="984"/>
    </row>
    <row r="31" spans="1:13">
      <c r="A31" s="3690"/>
      <c r="B31" s="3681"/>
      <c r="C31" s="3013" t="s">
        <v>2478</v>
      </c>
      <c r="D31" s="3014"/>
      <c r="E31" s="3015">
        <v>0.8</v>
      </c>
      <c r="F31" s="3012" t="s">
        <v>2479</v>
      </c>
      <c r="G31" s="984"/>
    </row>
    <row r="32" spans="1:13">
      <c r="A32" s="3690"/>
      <c r="B32" s="3681"/>
      <c r="C32" s="3013" t="s">
        <v>2480</v>
      </c>
      <c r="D32" s="3014"/>
      <c r="E32" s="3015">
        <v>0.8</v>
      </c>
      <c r="F32" s="3012" t="s">
        <v>2481</v>
      </c>
      <c r="G32" s="984"/>
    </row>
    <row r="33" spans="1:7">
      <c r="A33" s="3690"/>
      <c r="B33" s="3681"/>
      <c r="C33" s="3013" t="s">
        <v>2482</v>
      </c>
      <c r="D33" s="3014"/>
      <c r="E33" s="3015">
        <v>0.8</v>
      </c>
      <c r="F33" s="3012" t="s">
        <v>2483</v>
      </c>
      <c r="G33" s="984"/>
    </row>
    <row r="34" spans="1:7">
      <c r="A34" s="3690"/>
      <c r="B34" s="3681"/>
      <c r="C34" s="3013" t="s">
        <v>2484</v>
      </c>
      <c r="D34" s="3014"/>
      <c r="E34" s="3015">
        <v>0.7</v>
      </c>
      <c r="F34" s="3012" t="s">
        <v>2485</v>
      </c>
      <c r="G34" s="984"/>
    </row>
    <row r="35" spans="1:7">
      <c r="A35" s="3690"/>
      <c r="B35" s="3681"/>
      <c r="C35" s="3013" t="s">
        <v>2486</v>
      </c>
      <c r="D35" s="3014"/>
      <c r="E35" s="3015">
        <v>0.8</v>
      </c>
      <c r="F35" s="3012" t="s">
        <v>2487</v>
      </c>
      <c r="G35" s="984"/>
    </row>
    <row r="36" spans="1:7">
      <c r="A36" s="3690"/>
      <c r="B36" s="3681"/>
      <c r="C36" s="3013" t="s">
        <v>2488</v>
      </c>
      <c r="D36" s="3014"/>
      <c r="E36" s="3015">
        <v>0.6</v>
      </c>
      <c r="F36" s="3012" t="s">
        <v>2489</v>
      </c>
      <c r="G36" s="984"/>
    </row>
    <row r="37" spans="1:7">
      <c r="A37" s="3690"/>
      <c r="B37" s="3681"/>
      <c r="C37" s="3013" t="s">
        <v>2490</v>
      </c>
      <c r="D37" s="3014"/>
      <c r="E37" s="3015">
        <v>0.2</v>
      </c>
      <c r="F37" s="3012" t="s">
        <v>2491</v>
      </c>
      <c r="G37" s="984"/>
    </row>
    <row r="38" spans="1:7">
      <c r="A38" s="3690"/>
      <c r="B38" s="3681"/>
      <c r="C38" s="3013" t="s">
        <v>2492</v>
      </c>
      <c r="D38" s="3014"/>
      <c r="E38" s="3015">
        <v>0.2</v>
      </c>
      <c r="F38" s="3012" t="s">
        <v>2493</v>
      </c>
      <c r="G38" s="984"/>
    </row>
    <row r="39" spans="1:7">
      <c r="A39" s="3690"/>
      <c r="B39" s="3679" t="s">
        <v>2494</v>
      </c>
      <c r="C39" s="3013" t="s">
        <v>2495</v>
      </c>
      <c r="D39" s="3014"/>
      <c r="E39" s="3015">
        <v>0.6</v>
      </c>
      <c r="F39" s="3012" t="s">
        <v>2496</v>
      </c>
      <c r="G39" s="984"/>
    </row>
    <row r="40" spans="1:7">
      <c r="A40" s="3690"/>
      <c r="B40" s="3681"/>
      <c r="C40" s="3013" t="s">
        <v>2497</v>
      </c>
      <c r="D40" s="3014"/>
      <c r="E40" s="3015">
        <v>0.6</v>
      </c>
      <c r="F40" s="3012" t="s">
        <v>2498</v>
      </c>
      <c r="G40" s="984"/>
    </row>
    <row r="41" spans="1:7" ht="15" thickBot="1">
      <c r="A41" s="3691"/>
      <c r="B41" s="3686"/>
      <c r="C41" s="3016" t="s">
        <v>2499</v>
      </c>
      <c r="D41" s="3017"/>
      <c r="E41" s="3018">
        <v>0.6</v>
      </c>
      <c r="F41" s="3012" t="s">
        <v>2500</v>
      </c>
      <c r="G41" s="984"/>
    </row>
    <row r="42" spans="1:7" ht="15" thickBot="1">
      <c r="A42" s="3019" t="s">
        <v>2451</v>
      </c>
      <c r="B42" s="3020" t="s">
        <v>2451</v>
      </c>
      <c r="C42" s="3021" t="s">
        <v>2501</v>
      </c>
      <c r="D42" s="3022"/>
      <c r="E42" s="3023">
        <v>1</v>
      </c>
      <c r="F42" s="3012" t="s">
        <v>2502</v>
      </c>
      <c r="G42" s="984"/>
    </row>
    <row r="43" spans="1:7">
      <c r="A43" s="3682" t="s">
        <v>2452</v>
      </c>
      <c r="B43" s="3685" t="s">
        <v>2503</v>
      </c>
      <c r="C43" s="3009" t="s">
        <v>2504</v>
      </c>
      <c r="D43" s="3010"/>
      <c r="E43" s="3011">
        <v>1</v>
      </c>
      <c r="F43" s="3012" t="s">
        <v>2505</v>
      </c>
      <c r="G43" s="984"/>
    </row>
    <row r="44" spans="1:7">
      <c r="A44" s="3683"/>
      <c r="B44" s="3681"/>
      <c r="C44" s="3013" t="s">
        <v>2506</v>
      </c>
      <c r="D44" s="3014"/>
      <c r="E44" s="3015">
        <v>1</v>
      </c>
      <c r="F44" s="3012" t="s">
        <v>2507</v>
      </c>
      <c r="G44" s="984"/>
    </row>
    <row r="45" spans="1:7">
      <c r="A45" s="3683"/>
      <c r="B45" s="3680"/>
      <c r="C45" s="3013" t="s">
        <v>2508</v>
      </c>
      <c r="D45" s="3014"/>
      <c r="E45" s="3015">
        <v>1.5</v>
      </c>
      <c r="F45" s="3012" t="s">
        <v>2509</v>
      </c>
      <c r="G45" s="984"/>
    </row>
    <row r="46" spans="1:7">
      <c r="A46" s="3683"/>
      <c r="B46" s="3024" t="s">
        <v>2454</v>
      </c>
      <c r="C46" s="3013" t="s">
        <v>2453</v>
      </c>
      <c r="D46" s="3014"/>
      <c r="E46" s="3015">
        <v>2</v>
      </c>
      <c r="F46" s="3012" t="s">
        <v>2510</v>
      </c>
      <c r="G46" s="984"/>
    </row>
    <row r="47" spans="1:7">
      <c r="A47" s="3683"/>
      <c r="B47" s="3679" t="s">
        <v>2511</v>
      </c>
      <c r="C47" s="3013" t="s">
        <v>2512</v>
      </c>
      <c r="D47" s="3014"/>
      <c r="E47" s="3015">
        <v>1</v>
      </c>
      <c r="F47" s="3012" t="s">
        <v>2513</v>
      </c>
      <c r="G47" s="984"/>
    </row>
    <row r="48" spans="1:7">
      <c r="A48" s="3683"/>
      <c r="B48" s="3681"/>
      <c r="C48" s="3013" t="s">
        <v>2514</v>
      </c>
      <c r="D48" s="3014"/>
      <c r="E48" s="3015">
        <v>1</v>
      </c>
      <c r="F48" s="3012" t="s">
        <v>2515</v>
      </c>
      <c r="G48" s="984"/>
    </row>
    <row r="49" spans="1:9">
      <c r="A49" s="3683"/>
      <c r="B49" s="3681"/>
      <c r="C49" s="3013" t="s">
        <v>2516</v>
      </c>
      <c r="D49" s="3014"/>
      <c r="E49" s="3015">
        <v>1</v>
      </c>
      <c r="F49" s="3012" t="s">
        <v>2517</v>
      </c>
      <c r="G49" s="984"/>
    </row>
    <row r="50" spans="1:9">
      <c r="A50" s="3683"/>
      <c r="B50" s="3681"/>
      <c r="C50" s="3013" t="s">
        <v>2518</v>
      </c>
      <c r="D50" s="3014"/>
      <c r="E50" s="3015">
        <v>1</v>
      </c>
      <c r="F50" s="3012" t="s">
        <v>2519</v>
      </c>
      <c r="G50" s="984"/>
    </row>
    <row r="51" spans="1:9">
      <c r="A51" s="3683"/>
      <c r="B51" s="3681"/>
      <c r="C51" s="3013" t="s">
        <v>2520</v>
      </c>
      <c r="D51" s="3014"/>
      <c r="E51" s="3015">
        <v>1</v>
      </c>
      <c r="F51" s="3012" t="s">
        <v>2521</v>
      </c>
      <c r="G51" s="984"/>
    </row>
    <row r="52" spans="1:9">
      <c r="A52" s="3683"/>
      <c r="B52" s="3681"/>
      <c r="C52" s="3013" t="s">
        <v>2522</v>
      </c>
      <c r="D52" s="3014"/>
      <c r="E52" s="3015">
        <v>1</v>
      </c>
      <c r="F52" s="3012" t="s">
        <v>2523</v>
      </c>
      <c r="G52" s="984"/>
    </row>
    <row r="53" spans="1:9" ht="15" thickBot="1">
      <c r="A53" s="3684"/>
      <c r="B53" s="3686"/>
      <c r="C53" s="3016" t="s">
        <v>2524</v>
      </c>
      <c r="D53" s="3017"/>
      <c r="E53" s="3018">
        <v>1</v>
      </c>
      <c r="F53" s="3012" t="s">
        <v>2525</v>
      </c>
      <c r="G53" s="984"/>
    </row>
    <row r="54" spans="1:9">
      <c r="A54" s="1326"/>
      <c r="B54" s="1326"/>
      <c r="C54" s="1326"/>
      <c r="D54" s="1326"/>
      <c r="E54" s="1326"/>
      <c r="F54" s="983"/>
      <c r="G54" s="983"/>
    </row>
    <row r="56" spans="1:9">
      <c r="A56" s="985"/>
      <c r="B56" s="960" t="s">
        <v>1162</v>
      </c>
      <c r="C56" s="960" t="s">
        <v>1162</v>
      </c>
      <c r="D56" s="960" t="s">
        <v>1162</v>
      </c>
      <c r="E56" s="999" t="s">
        <v>1162</v>
      </c>
      <c r="F56" s="999" t="s">
        <v>1163</v>
      </c>
      <c r="G56" s="999" t="s">
        <v>1162</v>
      </c>
      <c r="I56" s="958"/>
    </row>
    <row r="57" spans="1:9">
      <c r="A57" s="986"/>
      <c r="B57" s="999" t="s">
        <v>929</v>
      </c>
      <c r="C57" s="999" t="s">
        <v>929</v>
      </c>
      <c r="D57" s="999" t="s">
        <v>929</v>
      </c>
      <c r="E57" s="960" t="s">
        <v>951</v>
      </c>
      <c r="F57" s="960" t="s">
        <v>1158</v>
      </c>
      <c r="G57" s="960" t="s">
        <v>1164</v>
      </c>
      <c r="I57" s="958"/>
    </row>
    <row r="58" spans="1:9">
      <c r="A58" s="987"/>
      <c r="B58" s="960">
        <v>1</v>
      </c>
      <c r="C58" s="960">
        <v>2</v>
      </c>
      <c r="D58" s="960">
        <v>3</v>
      </c>
      <c r="E58" s="981" t="s">
        <v>2774</v>
      </c>
      <c r="F58" s="981" t="s">
        <v>2774</v>
      </c>
      <c r="G58" s="981" t="s">
        <v>2774</v>
      </c>
      <c r="I58" s="958"/>
    </row>
    <row r="59" spans="1:9">
      <c r="A59" s="998" t="s">
        <v>836</v>
      </c>
      <c r="B59" s="3003">
        <v>0.7</v>
      </c>
      <c r="C59" s="3003">
        <v>0.4</v>
      </c>
      <c r="D59" s="3003">
        <v>0.3</v>
      </c>
      <c r="E59" s="3008">
        <v>0.3</v>
      </c>
      <c r="F59" s="3003">
        <v>0.3</v>
      </c>
      <c r="G59" s="3003">
        <v>0.2</v>
      </c>
      <c r="I59" s="958"/>
    </row>
    <row r="60" spans="1:9">
      <c r="A60" s="998" t="s">
        <v>837</v>
      </c>
      <c r="B60" s="3003">
        <v>0.7</v>
      </c>
      <c r="C60" s="3003">
        <v>0.4</v>
      </c>
      <c r="D60" s="3003">
        <v>0.3</v>
      </c>
      <c r="E60" s="3003">
        <v>0.3</v>
      </c>
      <c r="F60" s="3003">
        <v>0.3</v>
      </c>
      <c r="G60" s="3003">
        <v>0.2</v>
      </c>
      <c r="I60" s="958"/>
    </row>
    <row r="61" spans="1:9">
      <c r="A61" s="998" t="s">
        <v>838</v>
      </c>
      <c r="B61" s="3003">
        <v>0.6</v>
      </c>
      <c r="C61" s="3003">
        <v>0.3</v>
      </c>
      <c r="D61" s="3003">
        <v>0.25</v>
      </c>
      <c r="E61" s="3003">
        <v>0.25</v>
      </c>
      <c r="F61" s="3003">
        <v>0.25</v>
      </c>
      <c r="G61" s="3003">
        <v>0.15</v>
      </c>
      <c r="I61" s="958"/>
    </row>
    <row r="62" spans="1:9">
      <c r="A62" s="998" t="s">
        <v>839</v>
      </c>
      <c r="B62" s="3003">
        <v>0.6</v>
      </c>
      <c r="C62" s="3003">
        <v>0.3</v>
      </c>
      <c r="D62" s="3003">
        <v>0.25</v>
      </c>
      <c r="E62" s="3003">
        <v>0.25</v>
      </c>
      <c r="F62" s="3003">
        <v>0.25</v>
      </c>
      <c r="G62" s="3003">
        <v>0.15</v>
      </c>
      <c r="I62" s="958"/>
    </row>
    <row r="63" spans="1:9" s="974" customFormat="1">
      <c r="A63" s="998" t="s">
        <v>840</v>
      </c>
      <c r="B63" s="3003">
        <v>0.6</v>
      </c>
      <c r="C63" s="3003">
        <v>0.3</v>
      </c>
      <c r="D63" s="3003">
        <v>0.25</v>
      </c>
      <c r="E63" s="3003">
        <v>0.25</v>
      </c>
      <c r="F63" s="3003">
        <v>0.25</v>
      </c>
      <c r="G63" s="3003">
        <v>0.15</v>
      </c>
    </row>
    <row r="64" spans="1:9" s="974" customFormat="1">
      <c r="A64" s="998" t="s">
        <v>841</v>
      </c>
      <c r="B64" s="3003">
        <v>0.6</v>
      </c>
      <c r="C64" s="3003">
        <v>0.3</v>
      </c>
      <c r="D64" s="3003">
        <v>0.25</v>
      </c>
      <c r="E64" s="3003">
        <v>0.25</v>
      </c>
      <c r="F64" s="3003">
        <v>0.25</v>
      </c>
      <c r="G64" s="3003">
        <v>0.15</v>
      </c>
    </row>
    <row r="65" spans="1:8" s="974" customFormat="1">
      <c r="A65" s="998" t="s">
        <v>842</v>
      </c>
      <c r="B65" s="3003">
        <v>0.6</v>
      </c>
      <c r="C65" s="3003">
        <v>0.3</v>
      </c>
      <c r="D65" s="3003">
        <v>0.25</v>
      </c>
      <c r="E65" s="3003">
        <v>0.25</v>
      </c>
      <c r="F65" s="3003">
        <v>0.25</v>
      </c>
      <c r="G65" s="3003">
        <v>0.15</v>
      </c>
    </row>
    <row r="66" spans="1:8" s="974" customFormat="1">
      <c r="A66" s="998" t="s">
        <v>843</v>
      </c>
      <c r="B66" s="3003">
        <v>0.5</v>
      </c>
      <c r="C66" s="3003">
        <v>0.2</v>
      </c>
      <c r="D66" s="3003">
        <v>0.2</v>
      </c>
      <c r="E66" s="3003">
        <v>0.2</v>
      </c>
      <c r="F66" s="3003">
        <v>0.2</v>
      </c>
      <c r="G66" s="3003">
        <v>0.1</v>
      </c>
    </row>
    <row r="67" spans="1:8" s="974" customFormat="1">
      <c r="A67" s="998" t="s">
        <v>844</v>
      </c>
      <c r="B67" s="3003">
        <v>0.5</v>
      </c>
      <c r="C67" s="3003">
        <v>0.2</v>
      </c>
      <c r="D67" s="3003">
        <v>0.2</v>
      </c>
      <c r="E67" s="3003">
        <v>0.2</v>
      </c>
      <c r="F67" s="3003">
        <v>0.2</v>
      </c>
      <c r="G67" s="3003">
        <v>0.1</v>
      </c>
    </row>
    <row r="68" spans="1:8" s="974" customFormat="1">
      <c r="A68" s="998" t="s">
        <v>845</v>
      </c>
      <c r="B68" s="3003">
        <v>0.5</v>
      </c>
      <c r="C68" s="3003">
        <v>0.2</v>
      </c>
      <c r="D68" s="3003">
        <v>0.2</v>
      </c>
      <c r="E68" s="3003">
        <v>0.2</v>
      </c>
      <c r="F68" s="3003">
        <v>0.2</v>
      </c>
      <c r="G68" s="3003">
        <v>0.1</v>
      </c>
    </row>
    <row r="69" spans="1:8" s="974" customFormat="1">
      <c r="A69" s="998" t="s">
        <v>846</v>
      </c>
      <c r="B69" s="3003">
        <v>0.5</v>
      </c>
      <c r="C69" s="3003">
        <v>0.2</v>
      </c>
      <c r="D69" s="3003">
        <v>0.2</v>
      </c>
      <c r="E69" s="3003">
        <v>0.2</v>
      </c>
      <c r="F69" s="3003">
        <v>0.2</v>
      </c>
      <c r="G69" s="3003">
        <v>0.1</v>
      </c>
    </row>
    <row r="70" spans="1:8" s="974" customFormat="1">
      <c r="A70" s="998" t="s">
        <v>847</v>
      </c>
      <c r="B70" s="3003">
        <v>0.5</v>
      </c>
      <c r="C70" s="3003">
        <v>0.2</v>
      </c>
      <c r="D70" s="3003">
        <v>0.2</v>
      </c>
      <c r="E70" s="3003">
        <v>0.2</v>
      </c>
      <c r="F70" s="3003">
        <v>0.2</v>
      </c>
      <c r="G70" s="3003">
        <v>0.1</v>
      </c>
    </row>
    <row r="72" spans="1:8" s="974" customFormat="1">
      <c r="A72" s="984"/>
      <c r="B72" s="979"/>
      <c r="C72" s="979"/>
      <c r="D72" s="979" t="s">
        <v>1165</v>
      </c>
      <c r="E72" s="979"/>
      <c r="F72" s="979"/>
    </row>
    <row r="73" spans="1:8" s="974" customFormat="1">
      <c r="A73" s="1000" t="s">
        <v>1166</v>
      </c>
      <c r="B73" s="1000" t="s">
        <v>1167</v>
      </c>
      <c r="C73" s="1000" t="s">
        <v>1168</v>
      </c>
      <c r="D73" s="1000" t="s">
        <v>1169</v>
      </c>
      <c r="E73" s="1000" t="s">
        <v>1170</v>
      </c>
      <c r="F73" s="1000" t="s">
        <v>1171</v>
      </c>
    </row>
    <row r="74" spans="1:8" s="974" customFormat="1">
      <c r="A74" s="1000"/>
      <c r="B74" s="1000"/>
      <c r="C74" s="1000" t="s">
        <v>2526</v>
      </c>
      <c r="D74" s="1000"/>
      <c r="E74" s="988" t="s">
        <v>1159</v>
      </c>
      <c r="F74" s="1000" t="s">
        <v>1159</v>
      </c>
    </row>
    <row r="75" spans="1:8" s="974" customFormat="1" ht="24">
      <c r="A75" s="3024">
        <v>1</v>
      </c>
      <c r="B75" s="3679" t="s">
        <v>2527</v>
      </c>
      <c r="C75" s="3003" t="s">
        <v>2528</v>
      </c>
      <c r="D75" s="3003" t="s">
        <v>2529</v>
      </c>
      <c r="E75" s="3025">
        <v>0.2</v>
      </c>
      <c r="F75" s="3024">
        <v>25</v>
      </c>
      <c r="H75" s="974">
        <f>SUMIF(C73:C141,基准地价!C8,E73:E141)</f>
        <v>0</v>
      </c>
    </row>
    <row r="76" spans="1:8" s="974" customFormat="1" ht="36">
      <c r="A76" s="3024">
        <v>2</v>
      </c>
      <c r="B76" s="3681"/>
      <c r="C76" s="3003" t="s">
        <v>2530</v>
      </c>
      <c r="D76" s="3003" t="s">
        <v>2531</v>
      </c>
      <c r="E76" s="3025">
        <v>0.2</v>
      </c>
      <c r="F76" s="3024">
        <v>25</v>
      </c>
    </row>
    <row r="77" spans="1:8" s="974" customFormat="1" ht="24">
      <c r="A77" s="3024">
        <v>3</v>
      </c>
      <c r="B77" s="3681"/>
      <c r="C77" s="3003" t="s">
        <v>2532</v>
      </c>
      <c r="D77" s="3003" t="s">
        <v>2533</v>
      </c>
      <c r="E77" s="3025">
        <v>0.2</v>
      </c>
      <c r="F77" s="3024">
        <v>25</v>
      </c>
    </row>
    <row r="78" spans="1:8" s="974" customFormat="1" ht="24">
      <c r="A78" s="3024">
        <v>4</v>
      </c>
      <c r="B78" s="3681"/>
      <c r="C78" s="3003" t="s">
        <v>2534</v>
      </c>
      <c r="D78" s="3003" t="s">
        <v>2535</v>
      </c>
      <c r="E78" s="3025">
        <v>0.15</v>
      </c>
      <c r="F78" s="3024">
        <v>20</v>
      </c>
    </row>
    <row r="79" spans="1:8" s="974" customFormat="1" ht="24">
      <c r="A79" s="3024">
        <v>5</v>
      </c>
      <c r="B79" s="3681"/>
      <c r="C79" s="3003" t="s">
        <v>2536</v>
      </c>
      <c r="D79" s="3003" t="s">
        <v>2537</v>
      </c>
      <c r="E79" s="3025">
        <v>0.15</v>
      </c>
      <c r="F79" s="3024">
        <v>20</v>
      </c>
    </row>
    <row r="80" spans="1:8" s="974" customFormat="1" ht="24">
      <c r="A80" s="3024">
        <v>6</v>
      </c>
      <c r="B80" s="3681"/>
      <c r="C80" s="3003" t="s">
        <v>2538</v>
      </c>
      <c r="D80" s="3003" t="s">
        <v>2539</v>
      </c>
      <c r="E80" s="3025">
        <v>0.15</v>
      </c>
      <c r="F80" s="3024">
        <v>20</v>
      </c>
    </row>
    <row r="81" spans="1:6" s="974" customFormat="1" ht="36">
      <c r="A81" s="3024">
        <v>7</v>
      </c>
      <c r="B81" s="3681"/>
      <c r="C81" s="3003" t="s">
        <v>2540</v>
      </c>
      <c r="D81" s="3003" t="s">
        <v>2541</v>
      </c>
      <c r="E81" s="3025">
        <v>0.15</v>
      </c>
      <c r="F81" s="3024">
        <v>20</v>
      </c>
    </row>
    <row r="82" spans="1:6" s="974" customFormat="1" ht="24">
      <c r="A82" s="3024">
        <v>8</v>
      </c>
      <c r="B82" s="3681"/>
      <c r="C82" s="3003" t="s">
        <v>2542</v>
      </c>
      <c r="D82" s="3003" t="s">
        <v>2543</v>
      </c>
      <c r="E82" s="3025">
        <v>0.1</v>
      </c>
      <c r="F82" s="3024">
        <v>15</v>
      </c>
    </row>
    <row r="83" spans="1:6" s="974" customFormat="1" ht="24">
      <c r="A83" s="3024">
        <v>9</v>
      </c>
      <c r="B83" s="3681"/>
      <c r="C83" s="3003" t="s">
        <v>2544</v>
      </c>
      <c r="D83" s="3003" t="s">
        <v>2545</v>
      </c>
      <c r="E83" s="3025">
        <v>0.1</v>
      </c>
      <c r="F83" s="3024">
        <v>15</v>
      </c>
    </row>
    <row r="84" spans="1:6" s="974" customFormat="1" ht="24">
      <c r="A84" s="3024">
        <v>10</v>
      </c>
      <c r="B84" s="3681"/>
      <c r="C84" s="3003" t="s">
        <v>2546</v>
      </c>
      <c r="D84" s="3003" t="s">
        <v>2547</v>
      </c>
      <c r="E84" s="3025">
        <v>0.1</v>
      </c>
      <c r="F84" s="3024">
        <v>15</v>
      </c>
    </row>
    <row r="85" spans="1:6" s="974" customFormat="1" ht="36">
      <c r="A85" s="3024">
        <v>11</v>
      </c>
      <c r="B85" s="3681"/>
      <c r="C85" s="3003" t="s">
        <v>2548</v>
      </c>
      <c r="D85" s="3003" t="s">
        <v>2549</v>
      </c>
      <c r="E85" s="3025">
        <v>0.1</v>
      </c>
      <c r="F85" s="3024">
        <v>15</v>
      </c>
    </row>
    <row r="86" spans="1:6" s="974" customFormat="1" ht="36">
      <c r="A86" s="3024">
        <v>12</v>
      </c>
      <c r="B86" s="3681"/>
      <c r="C86" s="3003" t="s">
        <v>2550</v>
      </c>
      <c r="D86" s="3003" t="s">
        <v>2551</v>
      </c>
      <c r="E86" s="3025">
        <v>0.1</v>
      </c>
      <c r="F86" s="3024">
        <v>15</v>
      </c>
    </row>
    <row r="87" spans="1:6" s="974" customFormat="1" ht="24">
      <c r="A87" s="3024">
        <v>13</v>
      </c>
      <c r="B87" s="3681"/>
      <c r="C87" s="3003" t="s">
        <v>2552</v>
      </c>
      <c r="D87" s="3003" t="s">
        <v>2553</v>
      </c>
      <c r="E87" s="3025">
        <v>0.1</v>
      </c>
      <c r="F87" s="3024">
        <v>15</v>
      </c>
    </row>
    <row r="88" spans="1:6" s="974" customFormat="1" ht="24">
      <c r="A88" s="3024">
        <v>14</v>
      </c>
      <c r="B88" s="3681"/>
      <c r="C88" s="3003" t="s">
        <v>2554</v>
      </c>
      <c r="D88" s="3003" t="s">
        <v>2555</v>
      </c>
      <c r="E88" s="3025">
        <v>0.1</v>
      </c>
      <c r="F88" s="3024">
        <v>15</v>
      </c>
    </row>
    <row r="89" spans="1:6" s="974" customFormat="1" ht="24">
      <c r="A89" s="3024">
        <v>15</v>
      </c>
      <c r="B89" s="3681"/>
      <c r="C89" s="3003" t="s">
        <v>2556</v>
      </c>
      <c r="D89" s="3003" t="s">
        <v>2557</v>
      </c>
      <c r="E89" s="3025">
        <v>0.1</v>
      </c>
      <c r="F89" s="3024">
        <v>15</v>
      </c>
    </row>
    <row r="90" spans="1:6" s="974" customFormat="1" ht="24">
      <c r="A90" s="3024">
        <v>16</v>
      </c>
      <c r="B90" s="3681"/>
      <c r="C90" s="3003" t="s">
        <v>2558</v>
      </c>
      <c r="D90" s="3003" t="s">
        <v>2559</v>
      </c>
      <c r="E90" s="3025">
        <v>0.1</v>
      </c>
      <c r="F90" s="3024">
        <v>15</v>
      </c>
    </row>
    <row r="91" spans="1:6" s="974" customFormat="1" ht="36">
      <c r="A91" s="3024">
        <v>17</v>
      </c>
      <c r="B91" s="3680"/>
      <c r="C91" s="3003" t="s">
        <v>2560</v>
      </c>
      <c r="D91" s="3003" t="s">
        <v>2561</v>
      </c>
      <c r="E91" s="3025">
        <v>0.1</v>
      </c>
      <c r="F91" s="3024">
        <v>15</v>
      </c>
    </row>
    <row r="92" spans="1:6" s="974" customFormat="1" ht="24">
      <c r="A92" s="3024">
        <v>18</v>
      </c>
      <c r="B92" s="3679" t="s">
        <v>2562</v>
      </c>
      <c r="C92" s="3003" t="s">
        <v>2563</v>
      </c>
      <c r="D92" s="3003" t="s">
        <v>2564</v>
      </c>
      <c r="E92" s="3025">
        <v>0.2</v>
      </c>
      <c r="F92" s="3024">
        <v>25</v>
      </c>
    </row>
    <row r="93" spans="1:6" s="974" customFormat="1" ht="36">
      <c r="A93" s="3024">
        <v>19</v>
      </c>
      <c r="B93" s="3681"/>
      <c r="C93" s="3003" t="s">
        <v>2565</v>
      </c>
      <c r="D93" s="3003" t="s">
        <v>2566</v>
      </c>
      <c r="E93" s="3025">
        <v>0.2</v>
      </c>
      <c r="F93" s="3024">
        <v>25</v>
      </c>
    </row>
    <row r="94" spans="1:6" s="974" customFormat="1" ht="24">
      <c r="A94" s="3024">
        <v>20</v>
      </c>
      <c r="B94" s="3681"/>
      <c r="C94" s="3003" t="s">
        <v>2567</v>
      </c>
      <c r="D94" s="3003" t="s">
        <v>2568</v>
      </c>
      <c r="E94" s="3025">
        <v>0.15</v>
      </c>
      <c r="F94" s="3024">
        <v>20</v>
      </c>
    </row>
    <row r="95" spans="1:6" s="974" customFormat="1" ht="24">
      <c r="A95" s="3024">
        <v>21</v>
      </c>
      <c r="B95" s="3681"/>
      <c r="C95" s="3003" t="s">
        <v>2569</v>
      </c>
      <c r="D95" s="3003" t="s">
        <v>2570</v>
      </c>
      <c r="E95" s="3025">
        <v>0.15</v>
      </c>
      <c r="F95" s="3024">
        <v>20</v>
      </c>
    </row>
    <row r="96" spans="1:6" s="974" customFormat="1" ht="24">
      <c r="A96" s="3024">
        <v>22</v>
      </c>
      <c r="B96" s="3681"/>
      <c r="C96" s="3003" t="s">
        <v>2571</v>
      </c>
      <c r="D96" s="3003" t="s">
        <v>2572</v>
      </c>
      <c r="E96" s="3025">
        <v>0.15</v>
      </c>
      <c r="F96" s="3024">
        <v>20</v>
      </c>
    </row>
    <row r="97" spans="1:6" s="974" customFormat="1" ht="48">
      <c r="A97" s="3024">
        <v>23</v>
      </c>
      <c r="B97" s="3681"/>
      <c r="C97" s="3003" t="s">
        <v>2573</v>
      </c>
      <c r="D97" s="3003" t="s">
        <v>2574</v>
      </c>
      <c r="E97" s="3025">
        <v>0.15</v>
      </c>
      <c r="F97" s="3024">
        <v>20</v>
      </c>
    </row>
    <row r="98" spans="1:6" s="974" customFormat="1" ht="24">
      <c r="A98" s="3024">
        <v>24</v>
      </c>
      <c r="B98" s="3681"/>
      <c r="C98" s="3003" t="s">
        <v>2575</v>
      </c>
      <c r="D98" s="3003" t="s">
        <v>2576</v>
      </c>
      <c r="E98" s="3025">
        <v>0.1</v>
      </c>
      <c r="F98" s="3024">
        <v>15</v>
      </c>
    </row>
    <row r="99" spans="1:6" s="974" customFormat="1" ht="24">
      <c r="A99" s="3024">
        <v>25</v>
      </c>
      <c r="B99" s="3681"/>
      <c r="C99" s="3003" t="s">
        <v>2577</v>
      </c>
      <c r="D99" s="3003" t="s">
        <v>2578</v>
      </c>
      <c r="E99" s="3025">
        <v>0.1</v>
      </c>
      <c r="F99" s="3024">
        <v>15</v>
      </c>
    </row>
    <row r="100" spans="1:6" s="974" customFormat="1" ht="36">
      <c r="A100" s="3024">
        <v>26</v>
      </c>
      <c r="B100" s="3681"/>
      <c r="C100" s="3003" t="s">
        <v>2579</v>
      </c>
      <c r="D100" s="3003" t="s">
        <v>2580</v>
      </c>
      <c r="E100" s="3025">
        <v>0.1</v>
      </c>
      <c r="F100" s="3024">
        <v>15</v>
      </c>
    </row>
    <row r="101" spans="1:6" s="974" customFormat="1" ht="24">
      <c r="A101" s="3024">
        <v>27</v>
      </c>
      <c r="B101" s="3681"/>
      <c r="C101" s="3003" t="s">
        <v>2581</v>
      </c>
      <c r="D101" s="3003" t="s">
        <v>2582</v>
      </c>
      <c r="E101" s="3025">
        <v>0.1</v>
      </c>
      <c r="F101" s="3024">
        <v>15</v>
      </c>
    </row>
    <row r="102" spans="1:6" s="974" customFormat="1" ht="24">
      <c r="A102" s="3024">
        <v>28</v>
      </c>
      <c r="B102" s="3681"/>
      <c r="C102" s="3003" t="s">
        <v>2583</v>
      </c>
      <c r="D102" s="3003" t="s">
        <v>2584</v>
      </c>
      <c r="E102" s="3025">
        <v>0.1</v>
      </c>
      <c r="F102" s="3024">
        <v>15</v>
      </c>
    </row>
    <row r="103" spans="1:6" s="974" customFormat="1" ht="24">
      <c r="A103" s="3024">
        <v>29</v>
      </c>
      <c r="B103" s="3681"/>
      <c r="C103" s="3003" t="s">
        <v>2585</v>
      </c>
      <c r="D103" s="3003" t="s">
        <v>2586</v>
      </c>
      <c r="E103" s="3025">
        <v>0.1</v>
      </c>
      <c r="F103" s="3024">
        <v>15</v>
      </c>
    </row>
    <row r="104" spans="1:6" s="974" customFormat="1" ht="24">
      <c r="A104" s="3024">
        <v>30</v>
      </c>
      <c r="B104" s="3681"/>
      <c r="C104" s="3003" t="s">
        <v>2587</v>
      </c>
      <c r="D104" s="3003" t="s">
        <v>2588</v>
      </c>
      <c r="E104" s="3025">
        <v>0.1</v>
      </c>
      <c r="F104" s="3024">
        <v>15</v>
      </c>
    </row>
    <row r="105" spans="1:6" s="974" customFormat="1" ht="24">
      <c r="A105" s="3024">
        <v>31</v>
      </c>
      <c r="B105" s="3681"/>
      <c r="C105" s="3003" t="s">
        <v>2589</v>
      </c>
      <c r="D105" s="3003" t="s">
        <v>2590</v>
      </c>
      <c r="E105" s="3025">
        <v>0.1</v>
      </c>
      <c r="F105" s="3024">
        <v>15</v>
      </c>
    </row>
    <row r="106" spans="1:6" s="974" customFormat="1" ht="36">
      <c r="A106" s="3024">
        <v>32</v>
      </c>
      <c r="B106" s="3681"/>
      <c r="C106" s="3003" t="s">
        <v>2591</v>
      </c>
      <c r="D106" s="3003" t="s">
        <v>2592</v>
      </c>
      <c r="E106" s="3025">
        <v>0.1</v>
      </c>
      <c r="F106" s="3024">
        <v>15</v>
      </c>
    </row>
    <row r="107" spans="1:6" s="974" customFormat="1" ht="36">
      <c r="A107" s="3024">
        <v>33</v>
      </c>
      <c r="B107" s="3681"/>
      <c r="C107" s="3003" t="s">
        <v>2593</v>
      </c>
      <c r="D107" s="3003" t="s">
        <v>2594</v>
      </c>
      <c r="E107" s="3025">
        <v>0.1</v>
      </c>
      <c r="F107" s="3024">
        <v>15</v>
      </c>
    </row>
    <row r="108" spans="1:6" s="974" customFormat="1" ht="24">
      <c r="A108" s="3024">
        <v>34</v>
      </c>
      <c r="B108" s="3680"/>
      <c r="C108" s="3003" t="s">
        <v>2595</v>
      </c>
      <c r="D108" s="3003" t="s">
        <v>2596</v>
      </c>
      <c r="E108" s="3025">
        <v>0.1</v>
      </c>
      <c r="F108" s="3024">
        <v>15</v>
      </c>
    </row>
    <row r="109" spans="1:6" s="974" customFormat="1" ht="36">
      <c r="A109" s="3024">
        <v>35</v>
      </c>
      <c r="B109" s="3679" t="s">
        <v>2597</v>
      </c>
      <c r="C109" s="3024" t="s">
        <v>2598</v>
      </c>
      <c r="D109" s="3003" t="s">
        <v>2599</v>
      </c>
      <c r="E109" s="3025">
        <v>0.15</v>
      </c>
      <c r="F109" s="3024">
        <v>20</v>
      </c>
    </row>
    <row r="110" spans="1:6" s="974" customFormat="1" ht="24">
      <c r="A110" s="3024">
        <v>36</v>
      </c>
      <c r="B110" s="3681"/>
      <c r="C110" s="3024" t="s">
        <v>2600</v>
      </c>
      <c r="D110" s="3003" t="s">
        <v>2601</v>
      </c>
      <c r="E110" s="3025">
        <v>0.15</v>
      </c>
      <c r="F110" s="3024">
        <v>20</v>
      </c>
    </row>
    <row r="111" spans="1:6" s="974" customFormat="1" ht="24">
      <c r="A111" s="3024">
        <v>37</v>
      </c>
      <c r="B111" s="3681"/>
      <c r="C111" s="3024" t="s">
        <v>2602</v>
      </c>
      <c r="D111" s="3003" t="s">
        <v>2603</v>
      </c>
      <c r="E111" s="3025">
        <v>0.15</v>
      </c>
      <c r="F111" s="3024">
        <v>20</v>
      </c>
    </row>
    <row r="112" spans="1:6" s="974" customFormat="1" ht="24">
      <c r="A112" s="3024">
        <v>38</v>
      </c>
      <c r="B112" s="3681"/>
      <c r="C112" s="3024" t="s">
        <v>2604</v>
      </c>
      <c r="D112" s="3003" t="s">
        <v>2605</v>
      </c>
      <c r="E112" s="3025">
        <v>0.1</v>
      </c>
      <c r="F112" s="3024">
        <v>15</v>
      </c>
    </row>
    <row r="113" spans="1:6" s="974" customFormat="1" ht="24">
      <c r="A113" s="3024">
        <v>39</v>
      </c>
      <c r="B113" s="3681"/>
      <c r="C113" s="3024" t="s">
        <v>2606</v>
      </c>
      <c r="D113" s="3003" t="s">
        <v>2607</v>
      </c>
      <c r="E113" s="3025">
        <v>0.1</v>
      </c>
      <c r="F113" s="3024">
        <v>15</v>
      </c>
    </row>
    <row r="114" spans="1:6" s="974" customFormat="1" ht="24">
      <c r="A114" s="3024">
        <v>40</v>
      </c>
      <c r="B114" s="3680"/>
      <c r="C114" s="3024" t="s">
        <v>2608</v>
      </c>
      <c r="D114" s="3003" t="s">
        <v>2609</v>
      </c>
      <c r="E114" s="3025">
        <v>0.1</v>
      </c>
      <c r="F114" s="3024">
        <v>15</v>
      </c>
    </row>
    <row r="115" spans="1:6" s="974" customFormat="1" ht="24">
      <c r="A115" s="3024">
        <v>41</v>
      </c>
      <c r="B115" s="3678" t="s">
        <v>2610</v>
      </c>
      <c r="C115" s="3024" t="s">
        <v>2611</v>
      </c>
      <c r="D115" s="3003" t="s">
        <v>2612</v>
      </c>
      <c r="E115" s="3025">
        <v>0.1</v>
      </c>
      <c r="F115" s="3024">
        <v>15</v>
      </c>
    </row>
    <row r="116" spans="1:6" s="974" customFormat="1" ht="24">
      <c r="A116" s="3024">
        <v>42</v>
      </c>
      <c r="B116" s="3678"/>
      <c r="C116" s="3024" t="s">
        <v>2613</v>
      </c>
      <c r="D116" s="3003" t="s">
        <v>2614</v>
      </c>
      <c r="E116" s="3025">
        <v>0.1</v>
      </c>
      <c r="F116" s="3024">
        <v>15</v>
      </c>
    </row>
    <row r="117" spans="1:6" s="974" customFormat="1" ht="24">
      <c r="A117" s="3024">
        <v>43</v>
      </c>
      <c r="B117" s="3678"/>
      <c r="C117" s="3024" t="s">
        <v>2615</v>
      </c>
      <c r="D117" s="3003" t="s">
        <v>2616</v>
      </c>
      <c r="E117" s="3025">
        <v>0.1</v>
      </c>
      <c r="F117" s="3024">
        <v>15</v>
      </c>
    </row>
    <row r="118" spans="1:6" s="974" customFormat="1" ht="24">
      <c r="A118" s="3024">
        <v>44</v>
      </c>
      <c r="B118" s="3679" t="s">
        <v>2617</v>
      </c>
      <c r="C118" s="3024" t="s">
        <v>2618</v>
      </c>
      <c r="D118" s="3003" t="s">
        <v>2619</v>
      </c>
      <c r="E118" s="3025">
        <v>0.1</v>
      </c>
      <c r="F118" s="3024">
        <v>15</v>
      </c>
    </row>
    <row r="119" spans="1:6" s="974" customFormat="1" ht="24">
      <c r="A119" s="3024">
        <v>45</v>
      </c>
      <c r="B119" s="3680"/>
      <c r="C119" s="3003" t="s">
        <v>2620</v>
      </c>
      <c r="D119" s="3003" t="s">
        <v>2621</v>
      </c>
      <c r="E119" s="3025">
        <v>0.1</v>
      </c>
      <c r="F119" s="3024">
        <v>15</v>
      </c>
    </row>
    <row r="120" spans="1:6" s="974" customFormat="1" ht="24">
      <c r="A120" s="3024">
        <v>46</v>
      </c>
      <c r="B120" s="3679" t="s">
        <v>2622</v>
      </c>
      <c r="C120" s="3024" t="s">
        <v>2623</v>
      </c>
      <c r="D120" s="3003" t="s">
        <v>2624</v>
      </c>
      <c r="E120" s="3025">
        <v>0.1</v>
      </c>
      <c r="F120" s="3024">
        <v>15</v>
      </c>
    </row>
    <row r="121" spans="1:6" s="974" customFormat="1" ht="24">
      <c r="A121" s="3024">
        <v>47</v>
      </c>
      <c r="B121" s="3680"/>
      <c r="C121" s="3024" t="s">
        <v>2625</v>
      </c>
      <c r="D121" s="3003" t="s">
        <v>2626</v>
      </c>
      <c r="E121" s="3025">
        <v>0.1</v>
      </c>
      <c r="F121" s="3024">
        <v>15</v>
      </c>
    </row>
    <row r="122" spans="1:6" s="974" customFormat="1" ht="24">
      <c r="A122" s="3024">
        <v>48</v>
      </c>
      <c r="B122" s="3679" t="s">
        <v>2627</v>
      </c>
      <c r="C122" s="3024" t="s">
        <v>2628</v>
      </c>
      <c r="D122" s="3003" t="s">
        <v>2629</v>
      </c>
      <c r="E122" s="3025">
        <v>0.1</v>
      </c>
      <c r="F122" s="3024">
        <v>15</v>
      </c>
    </row>
    <row r="123" spans="1:6" s="974" customFormat="1" ht="24">
      <c r="A123" s="3024">
        <v>49</v>
      </c>
      <c r="B123" s="3680"/>
      <c r="C123" s="3024" t="s">
        <v>2630</v>
      </c>
      <c r="D123" s="3003" t="s">
        <v>2631</v>
      </c>
      <c r="E123" s="3025">
        <v>0.1</v>
      </c>
      <c r="F123" s="3024">
        <v>15</v>
      </c>
    </row>
    <row r="124" spans="1:6" s="974" customFormat="1" ht="24">
      <c r="A124" s="3024">
        <v>50</v>
      </c>
      <c r="B124" s="3678" t="s">
        <v>2632</v>
      </c>
      <c r="C124" s="3024" t="s">
        <v>2633</v>
      </c>
      <c r="D124" s="3003" t="s">
        <v>2634</v>
      </c>
      <c r="E124" s="3025">
        <v>0.1</v>
      </c>
      <c r="F124" s="3024">
        <v>15</v>
      </c>
    </row>
    <row r="125" spans="1:6" s="974" customFormat="1" ht="24">
      <c r="A125" s="3024">
        <v>51</v>
      </c>
      <c r="B125" s="3678"/>
      <c r="C125" s="3024" t="s">
        <v>2635</v>
      </c>
      <c r="D125" s="3003" t="s">
        <v>2636</v>
      </c>
      <c r="E125" s="3025">
        <v>0.1</v>
      </c>
      <c r="F125" s="3024">
        <v>15</v>
      </c>
    </row>
    <row r="126" spans="1:6" s="974" customFormat="1" ht="24">
      <c r="A126" s="3024">
        <v>52</v>
      </c>
      <c r="B126" s="3678" t="s">
        <v>2637</v>
      </c>
      <c r="C126" s="3024" t="s">
        <v>2638</v>
      </c>
      <c r="D126" s="3003" t="s">
        <v>2639</v>
      </c>
      <c r="E126" s="3025">
        <v>0.1</v>
      </c>
      <c r="F126" s="3024">
        <v>15</v>
      </c>
    </row>
    <row r="127" spans="1:6" s="974" customFormat="1" ht="24">
      <c r="A127" s="3024">
        <v>53</v>
      </c>
      <c r="B127" s="3678"/>
      <c r="C127" s="3024" t="s">
        <v>2640</v>
      </c>
      <c r="D127" s="3003" t="s">
        <v>2641</v>
      </c>
      <c r="E127" s="3025">
        <v>0.1</v>
      </c>
      <c r="F127" s="3024">
        <v>15</v>
      </c>
    </row>
    <row r="128" spans="1:6" ht="24">
      <c r="A128" s="3024">
        <v>54</v>
      </c>
      <c r="B128" s="3024" t="s">
        <v>2642</v>
      </c>
      <c r="C128" s="3024" t="s">
        <v>2643</v>
      </c>
      <c r="D128" s="3003" t="s">
        <v>2644</v>
      </c>
      <c r="E128" s="3025">
        <v>0.1</v>
      </c>
      <c r="F128" s="3024">
        <v>15</v>
      </c>
    </row>
    <row r="129" spans="1:14" ht="24">
      <c r="A129" s="3024">
        <v>55</v>
      </c>
      <c r="B129" s="3678" t="s">
        <v>2645</v>
      </c>
      <c r="C129" s="3024" t="s">
        <v>2646</v>
      </c>
      <c r="D129" s="3003" t="s">
        <v>2647</v>
      </c>
      <c r="E129" s="3025">
        <v>0.1</v>
      </c>
      <c r="F129" s="3024">
        <v>15</v>
      </c>
    </row>
    <row r="130" spans="1:14" ht="24">
      <c r="A130" s="3024">
        <v>56</v>
      </c>
      <c r="B130" s="3678"/>
      <c r="C130" s="3024" t="s">
        <v>2648</v>
      </c>
      <c r="D130" s="3003" t="s">
        <v>2649</v>
      </c>
      <c r="E130" s="3025">
        <v>0.1</v>
      </c>
      <c r="F130" s="3024">
        <v>15</v>
      </c>
    </row>
    <row r="131" spans="1:14" ht="24">
      <c r="A131" s="3024">
        <v>57</v>
      </c>
      <c r="B131" s="3678"/>
      <c r="C131" s="3024" t="s">
        <v>2650</v>
      </c>
      <c r="D131" s="3003" t="s">
        <v>2651</v>
      </c>
      <c r="E131" s="3025">
        <v>0.1</v>
      </c>
      <c r="F131" s="3024">
        <v>15</v>
      </c>
    </row>
    <row r="132" spans="1:14" ht="24">
      <c r="A132" s="3024">
        <v>58</v>
      </c>
      <c r="B132" s="3678" t="s">
        <v>2652</v>
      </c>
      <c r="C132" s="3024" t="s">
        <v>2653</v>
      </c>
      <c r="D132" s="3003" t="s">
        <v>2654</v>
      </c>
      <c r="E132" s="3025">
        <v>0.1</v>
      </c>
      <c r="F132" s="3024">
        <v>15</v>
      </c>
    </row>
    <row r="133" spans="1:14" ht="24">
      <c r="A133" s="3024">
        <v>59</v>
      </c>
      <c r="B133" s="3678"/>
      <c r="C133" s="3024" t="s">
        <v>2655</v>
      </c>
      <c r="D133" s="3003" t="s">
        <v>2656</v>
      </c>
      <c r="E133" s="3025">
        <v>0.1</v>
      </c>
      <c r="F133" s="3024">
        <v>15</v>
      </c>
    </row>
    <row r="134" spans="1:14" ht="24">
      <c r="A134" s="3024">
        <v>60</v>
      </c>
      <c r="B134" s="3679" t="s">
        <v>2657</v>
      </c>
      <c r="C134" s="3024" t="s">
        <v>2658</v>
      </c>
      <c r="D134" s="3003" t="s">
        <v>2659</v>
      </c>
      <c r="E134" s="3025">
        <v>0.1</v>
      </c>
      <c r="F134" s="3024">
        <v>15</v>
      </c>
    </row>
    <row r="135" spans="1:14" ht="24">
      <c r="A135" s="3024">
        <v>61</v>
      </c>
      <c r="B135" s="3680"/>
      <c r="C135" s="3024" t="s">
        <v>2660</v>
      </c>
      <c r="D135" s="3003" t="s">
        <v>2661</v>
      </c>
      <c r="E135" s="3025">
        <v>0.1</v>
      </c>
      <c r="F135" s="3024">
        <v>15</v>
      </c>
    </row>
    <row r="136" spans="1:14" ht="24">
      <c r="A136" s="3024">
        <v>62</v>
      </c>
      <c r="B136" s="3024" t="s">
        <v>2662</v>
      </c>
      <c r="C136" s="3024" t="s">
        <v>2663</v>
      </c>
      <c r="D136" s="3003" t="s">
        <v>2664</v>
      </c>
      <c r="E136" s="3025">
        <v>0.1</v>
      </c>
      <c r="F136" s="3024">
        <v>15</v>
      </c>
    </row>
    <row r="137" spans="1:14" ht="24">
      <c r="A137" s="3024">
        <v>63</v>
      </c>
      <c r="B137" s="3678" t="s">
        <v>2665</v>
      </c>
      <c r="C137" s="3024" t="s">
        <v>2666</v>
      </c>
      <c r="D137" s="3003" t="s">
        <v>2667</v>
      </c>
      <c r="E137" s="3025">
        <v>0.1</v>
      </c>
      <c r="F137" s="3024">
        <v>15</v>
      </c>
    </row>
    <row r="138" spans="1:14" ht="24">
      <c r="A138" s="3024">
        <v>64</v>
      </c>
      <c r="B138" s="3678"/>
      <c r="C138" s="3024" t="s">
        <v>2668</v>
      </c>
      <c r="D138" s="3003" t="s">
        <v>2669</v>
      </c>
      <c r="E138" s="3025">
        <v>0.1</v>
      </c>
      <c r="F138" s="3024">
        <v>15</v>
      </c>
    </row>
    <row r="139" spans="1:14" ht="24">
      <c r="A139" s="3024">
        <v>65</v>
      </c>
      <c r="B139" s="3024" t="s">
        <v>2670</v>
      </c>
      <c r="C139" s="3024" t="s">
        <v>2671</v>
      </c>
      <c r="D139" s="3003" t="s">
        <v>2672</v>
      </c>
      <c r="E139" s="3025">
        <v>0.1</v>
      </c>
      <c r="F139" s="3024">
        <v>15</v>
      </c>
    </row>
    <row r="140" spans="1:14">
      <c r="A140" s="1000"/>
      <c r="B140" s="1000"/>
      <c r="C140" s="1000"/>
      <c r="D140" s="960"/>
      <c r="E140" s="988"/>
      <c r="F140" s="1000"/>
    </row>
    <row r="141" spans="1:14">
      <c r="A141" s="1000"/>
      <c r="B141" s="1000"/>
      <c r="C141" s="1000"/>
      <c r="D141" s="1000"/>
      <c r="E141" s="988"/>
      <c r="F141" s="1000"/>
    </row>
    <row r="143" spans="1:14">
      <c r="A143" s="980"/>
      <c r="B143" s="980"/>
      <c r="C143" s="980"/>
      <c r="D143" s="980"/>
      <c r="E143" s="980"/>
      <c r="F143" s="980"/>
      <c r="G143" s="980"/>
      <c r="H143" s="980"/>
      <c r="I143" s="980"/>
      <c r="J143" s="980"/>
      <c r="K143" s="1001"/>
      <c r="L143" s="1001"/>
      <c r="M143" s="1001"/>
      <c r="N143" s="1001"/>
    </row>
  </sheetData>
  <sheetProtection password="CEE9" sheet="1" objects="1" scenarios="1" formatCells="0" formatColumns="0" formatRows="0"/>
  <mergeCells count="21">
    <mergeCell ref="A20:A27"/>
    <mergeCell ref="B20:B27"/>
    <mergeCell ref="A29:A41"/>
    <mergeCell ref="B29:B38"/>
    <mergeCell ref="B39:B41"/>
    <mergeCell ref="A43:A53"/>
    <mergeCell ref="B43:B45"/>
    <mergeCell ref="B47:B53"/>
    <mergeCell ref="B75:B91"/>
    <mergeCell ref="B92:B108"/>
    <mergeCell ref="B109:B114"/>
    <mergeCell ref="B115:B117"/>
    <mergeCell ref="B118:B119"/>
    <mergeCell ref="B120:B121"/>
    <mergeCell ref="B122:B123"/>
    <mergeCell ref="B137:B138"/>
    <mergeCell ref="B124:B125"/>
    <mergeCell ref="B126:B127"/>
    <mergeCell ref="B129:B131"/>
    <mergeCell ref="B132:B133"/>
    <mergeCell ref="B134:B135"/>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4.4"/>
  <cols>
    <col min="1" max="1" width="12.6640625" style="3166" customWidth="1"/>
    <col min="2" max="2" width="15" style="3166" customWidth="1"/>
    <col min="3" max="6" width="10.21875" style="3166" customWidth="1"/>
    <col min="7" max="7" width="9" style="3166"/>
    <col min="8" max="8" width="9" style="961"/>
    <col min="9" max="9" width="9" style="958"/>
    <col min="10" max="10" width="17.33203125" style="3191" customWidth="1"/>
    <col min="11" max="21" width="17.33203125" style="3166" customWidth="1"/>
    <col min="22" max="16384" width="9" style="958"/>
  </cols>
  <sheetData>
    <row r="1" spans="1:21">
      <c r="A1" s="3692" t="s">
        <v>2811</v>
      </c>
      <c r="B1" s="3692"/>
      <c r="C1" s="3692"/>
      <c r="D1" s="3692"/>
      <c r="E1" s="3692"/>
      <c r="F1" s="3692"/>
      <c r="G1" s="3693"/>
      <c r="I1" s="962"/>
      <c r="J1" s="3188" t="s">
        <v>961</v>
      </c>
      <c r="K1" s="3189" t="s">
        <v>962</v>
      </c>
      <c r="L1" s="3189" t="s">
        <v>963</v>
      </c>
      <c r="M1" s="3189" t="s">
        <v>964</v>
      </c>
      <c r="N1" s="3189" t="s">
        <v>965</v>
      </c>
      <c r="O1" s="3189" t="s">
        <v>966</v>
      </c>
      <c r="P1" s="3189" t="s">
        <v>967</v>
      </c>
      <c r="Q1" s="3189" t="s">
        <v>968</v>
      </c>
      <c r="R1" s="3189" t="s">
        <v>969</v>
      </c>
      <c r="S1" s="3189" t="s">
        <v>970</v>
      </c>
      <c r="T1" s="3189" t="s">
        <v>971</v>
      </c>
      <c r="U1" s="3190" t="s">
        <v>972</v>
      </c>
    </row>
    <row r="2" spans="1:21" ht="15" thickBot="1">
      <c r="A2" s="3152" t="s">
        <v>2812</v>
      </c>
      <c r="B2" s="3152"/>
      <c r="C2" s="3152"/>
      <c r="D2" s="3152"/>
      <c r="E2" s="3152"/>
      <c r="F2" s="3152"/>
      <c r="G2" s="3147" t="s">
        <v>2813</v>
      </c>
      <c r="J2" s="3176" t="s">
        <v>2819</v>
      </c>
      <c r="K2" s="3156" t="s">
        <v>2821</v>
      </c>
      <c r="L2" s="3156" t="s">
        <v>2823</v>
      </c>
      <c r="M2" s="3156" t="s">
        <v>2829</v>
      </c>
      <c r="N2" s="3156" t="s">
        <v>2839</v>
      </c>
      <c r="O2" s="3156" t="s">
        <v>2854</v>
      </c>
      <c r="P2" s="3156" t="s">
        <v>2891</v>
      </c>
      <c r="Q2" s="3156" t="s">
        <v>2922</v>
      </c>
      <c r="R2" s="3156" t="s">
        <v>2950</v>
      </c>
      <c r="S2" s="3156" t="s">
        <v>2985</v>
      </c>
      <c r="T2" s="3156" t="s">
        <v>3005</v>
      </c>
      <c r="U2" s="3156" t="s">
        <v>3017</v>
      </c>
    </row>
    <row r="3" spans="1:21" s="962" customFormat="1" ht="19.5" customHeight="1">
      <c r="A3" s="3694" t="s">
        <v>2814</v>
      </c>
      <c r="B3" s="3148"/>
      <c r="C3" s="3149" t="s">
        <v>2792</v>
      </c>
      <c r="D3" s="3149" t="s">
        <v>2815</v>
      </c>
      <c r="E3" s="3149" t="s">
        <v>2794</v>
      </c>
      <c r="F3" s="3149" t="s">
        <v>2816</v>
      </c>
      <c r="G3" s="3149" t="s">
        <v>2737</v>
      </c>
      <c r="H3" s="965"/>
      <c r="J3" s="3176" t="s">
        <v>2820</v>
      </c>
      <c r="K3" s="3156" t="s">
        <v>973</v>
      </c>
      <c r="L3" s="3156" t="s">
        <v>974</v>
      </c>
      <c r="M3" s="3156" t="s">
        <v>975</v>
      </c>
      <c r="N3" s="3156" t="s">
        <v>976</v>
      </c>
      <c r="O3" s="3156" t="s">
        <v>977</v>
      </c>
      <c r="P3" s="3156" t="s">
        <v>978</v>
      </c>
      <c r="Q3" s="3156" t="s">
        <v>979</v>
      </c>
      <c r="R3" s="3156" t="s">
        <v>980</v>
      </c>
      <c r="S3" s="3156" t="s">
        <v>981</v>
      </c>
      <c r="T3" s="3156" t="s">
        <v>3006</v>
      </c>
      <c r="U3" s="3156" t="s">
        <v>3018</v>
      </c>
    </row>
    <row r="4" spans="1:21" s="962" customFormat="1" ht="19.5" customHeight="1" thickBot="1">
      <c r="A4" s="3695"/>
      <c r="B4" s="3150" t="s">
        <v>2817</v>
      </c>
      <c r="C4" s="3150" t="s">
        <v>2818</v>
      </c>
      <c r="D4" s="3150" t="s">
        <v>2818</v>
      </c>
      <c r="E4" s="3150" t="s">
        <v>2818</v>
      </c>
      <c r="F4" s="3151" t="s">
        <v>2818</v>
      </c>
      <c r="G4" s="3151" t="s">
        <v>2818</v>
      </c>
      <c r="H4" s="965"/>
      <c r="J4" s="3176" t="s">
        <v>982</v>
      </c>
      <c r="K4" s="3156" t="s">
        <v>983</v>
      </c>
      <c r="L4" s="3156" t="s">
        <v>984</v>
      </c>
      <c r="M4" s="3156" t="s">
        <v>985</v>
      </c>
      <c r="N4" s="3156" t="s">
        <v>986</v>
      </c>
      <c r="O4" s="3156" t="s">
        <v>987</v>
      </c>
      <c r="P4" s="3156" t="s">
        <v>988</v>
      </c>
      <c r="Q4" s="3156" t="s">
        <v>989</v>
      </c>
      <c r="R4" s="3156" t="s">
        <v>2951</v>
      </c>
      <c r="S4" s="3156" t="s">
        <v>2986</v>
      </c>
      <c r="T4" s="3156" t="s">
        <v>3007</v>
      </c>
      <c r="U4" s="3156" t="s">
        <v>3019</v>
      </c>
    </row>
    <row r="5" spans="1:21" ht="14.25" customHeight="1">
      <c r="A5" s="3153" t="s">
        <v>990</v>
      </c>
      <c r="B5" s="3154" t="s">
        <v>2819</v>
      </c>
      <c r="C5" s="3154">
        <v>34550</v>
      </c>
      <c r="D5" s="3154">
        <v>34470</v>
      </c>
      <c r="E5" s="3154">
        <v>34330</v>
      </c>
      <c r="F5" s="3155">
        <v>13400</v>
      </c>
      <c r="G5" s="3155">
        <v>25450</v>
      </c>
      <c r="H5" s="966" t="s">
        <v>961</v>
      </c>
      <c r="I5" s="967">
        <f>SUMPRODUCT((B5:B9=基准地价!I2)*(C3:G3=基准地价!E2)*(C5:G9))</f>
        <v>0</v>
      </c>
      <c r="J5" s="3176" t="s">
        <v>991</v>
      </c>
      <c r="K5" s="3156" t="s">
        <v>992</v>
      </c>
      <c r="L5" s="3156" t="s">
        <v>993</v>
      </c>
      <c r="M5" s="3156" t="s">
        <v>994</v>
      </c>
      <c r="N5" s="3156" t="s">
        <v>995</v>
      </c>
      <c r="O5" s="3156" t="s">
        <v>996</v>
      </c>
      <c r="P5" s="3156" t="s">
        <v>997</v>
      </c>
      <c r="Q5" s="3156" t="s">
        <v>998</v>
      </c>
      <c r="R5" s="3156" t="s">
        <v>2952</v>
      </c>
      <c r="S5" s="3156" t="s">
        <v>2987</v>
      </c>
      <c r="T5" s="3156" t="s">
        <v>999</v>
      </c>
      <c r="U5" s="3156" t="s">
        <v>3020</v>
      </c>
    </row>
    <row r="6" spans="1:21" ht="14.25" customHeight="1">
      <c r="A6" s="3156" t="s">
        <v>990</v>
      </c>
      <c r="B6" s="3156" t="s">
        <v>2820</v>
      </c>
      <c r="C6" s="3156">
        <v>36990</v>
      </c>
      <c r="D6" s="3156">
        <v>36850</v>
      </c>
      <c r="E6" s="3156">
        <v>36700</v>
      </c>
      <c r="F6" s="3157">
        <v>14590</v>
      </c>
      <c r="G6" s="3157">
        <v>27450</v>
      </c>
      <c r="H6" s="968" t="s">
        <v>1000</v>
      </c>
      <c r="I6" s="969">
        <f>SUMPRODUCT((B10:B29=基准地价!I2)*(C3:G3=基准地价!E2)*(C10:G29))</f>
        <v>0</v>
      </c>
      <c r="J6" s="3176" t="s">
        <v>1001</v>
      </c>
      <c r="K6" s="3156" t="s">
        <v>1002</v>
      </c>
      <c r="L6" s="3156" t="s">
        <v>1003</v>
      </c>
      <c r="M6" s="3156" t="s">
        <v>1004</v>
      </c>
      <c r="N6" s="3156" t="s">
        <v>1005</v>
      </c>
      <c r="O6" s="3156" t="s">
        <v>1006</v>
      </c>
      <c r="P6" s="3156" t="s">
        <v>1007</v>
      </c>
      <c r="Q6" s="3156" t="s">
        <v>2923</v>
      </c>
      <c r="R6" s="3156" t="s">
        <v>2953</v>
      </c>
      <c r="S6" s="3156" t="s">
        <v>1008</v>
      </c>
      <c r="T6" s="3156" t="s">
        <v>3008</v>
      </c>
      <c r="U6" s="3156" t="s">
        <v>3021</v>
      </c>
    </row>
    <row r="7" spans="1:21" ht="14.25" customHeight="1">
      <c r="A7" s="3156" t="s">
        <v>990</v>
      </c>
      <c r="B7" s="1215" t="s">
        <v>982</v>
      </c>
      <c r="C7" s="3156">
        <v>34850</v>
      </c>
      <c r="D7" s="3156">
        <v>34690</v>
      </c>
      <c r="E7" s="3156">
        <v>34550</v>
      </c>
      <c r="F7" s="3157">
        <v>14360</v>
      </c>
      <c r="G7" s="3157">
        <v>25620</v>
      </c>
      <c r="H7" s="968" t="s">
        <v>838</v>
      </c>
      <c r="I7" s="969">
        <f>SUMPRODUCT((B30:B54=基准地价!I2)*(C3:G3=基准地价!E2)*(C30:G54))</f>
        <v>0</v>
      </c>
      <c r="K7" s="3156" t="s">
        <v>1009</v>
      </c>
      <c r="L7" s="3156" t="s">
        <v>1010</v>
      </c>
      <c r="M7" s="3156" t="s">
        <v>1011</v>
      </c>
      <c r="N7" s="3156" t="s">
        <v>1012</v>
      </c>
      <c r="O7" s="3156" t="s">
        <v>1013</v>
      </c>
      <c r="P7" s="3156" t="s">
        <v>1014</v>
      </c>
      <c r="Q7" s="3156" t="s">
        <v>2924</v>
      </c>
      <c r="R7" s="3156" t="s">
        <v>2954</v>
      </c>
      <c r="S7" s="3156" t="s">
        <v>2988</v>
      </c>
      <c r="T7" s="3156" t="s">
        <v>3009</v>
      </c>
      <c r="U7" s="1215" t="s">
        <v>3022</v>
      </c>
    </row>
    <row r="8" spans="1:21" ht="14.25" customHeight="1">
      <c r="A8" s="3156" t="s">
        <v>990</v>
      </c>
      <c r="B8" s="3156" t="s">
        <v>991</v>
      </c>
      <c r="C8" s="3156">
        <v>32630</v>
      </c>
      <c r="D8" s="3156">
        <v>32510</v>
      </c>
      <c r="E8" s="3156">
        <v>32420</v>
      </c>
      <c r="F8" s="3157">
        <v>13300</v>
      </c>
      <c r="G8" s="3157">
        <v>24010</v>
      </c>
      <c r="H8" s="968" t="s">
        <v>839</v>
      </c>
      <c r="I8" s="969">
        <f>SUMPRODUCT((B55:B86=基准地价!I2)*(C3:G3=基准地价!E2)*(C55:G86))</f>
        <v>0</v>
      </c>
      <c r="K8" s="3156" t="s">
        <v>1015</v>
      </c>
      <c r="L8" s="3156" t="s">
        <v>1016</v>
      </c>
      <c r="M8" s="3156" t="s">
        <v>1017</v>
      </c>
      <c r="N8" s="3156" t="s">
        <v>1018</v>
      </c>
      <c r="O8" s="3156" t="s">
        <v>1019</v>
      </c>
      <c r="P8" s="3156" t="s">
        <v>1020</v>
      </c>
      <c r="Q8" s="3156" t="s">
        <v>2925</v>
      </c>
      <c r="R8" s="3156" t="s">
        <v>1021</v>
      </c>
      <c r="S8" s="3156" t="s">
        <v>2989</v>
      </c>
      <c r="T8" s="3156" t="s">
        <v>3010</v>
      </c>
      <c r="U8" s="3156" t="s">
        <v>3023</v>
      </c>
    </row>
    <row r="9" spans="1:21" ht="14.25" customHeight="1" thickBot="1">
      <c r="A9" s="3170" t="s">
        <v>990</v>
      </c>
      <c r="B9" s="3158" t="s">
        <v>1001</v>
      </c>
      <c r="C9" s="3159">
        <v>36370</v>
      </c>
      <c r="D9" s="3159">
        <v>36210</v>
      </c>
      <c r="E9" s="3159">
        <v>36050</v>
      </c>
      <c r="F9" s="3160"/>
      <c r="G9" s="3161">
        <v>26740</v>
      </c>
      <c r="H9" s="968" t="s">
        <v>840</v>
      </c>
      <c r="I9" s="969">
        <f>SUMPRODUCT((B87:B126=基准地价!I2)*(C3:G3=基准地价!E2)*(C87:G126))</f>
        <v>0</v>
      </c>
      <c r="K9" s="3156" t="s">
        <v>1022</v>
      </c>
      <c r="L9" s="3156" t="s">
        <v>1023</v>
      </c>
      <c r="M9" s="3156" t="s">
        <v>1024</v>
      </c>
      <c r="N9" s="3156" t="s">
        <v>1025</v>
      </c>
      <c r="O9" s="3156" t="s">
        <v>1026</v>
      </c>
      <c r="P9" s="3156" t="s">
        <v>1027</v>
      </c>
      <c r="Q9" s="3156" t="s">
        <v>2926</v>
      </c>
      <c r="R9" s="3156" t="s">
        <v>1029</v>
      </c>
      <c r="S9" s="3156" t="s">
        <v>1030</v>
      </c>
      <c r="T9" s="3156" t="s">
        <v>1047</v>
      </c>
    </row>
    <row r="10" spans="1:21" ht="14.25" customHeight="1">
      <c r="A10" s="3153" t="s">
        <v>1031</v>
      </c>
      <c r="B10" s="3154" t="s">
        <v>2821</v>
      </c>
      <c r="C10" s="3154">
        <v>32350</v>
      </c>
      <c r="D10" s="3154">
        <v>31430</v>
      </c>
      <c r="E10" s="3154">
        <v>31320</v>
      </c>
      <c r="F10" s="3155">
        <v>10850</v>
      </c>
      <c r="G10" s="3155">
        <v>22860</v>
      </c>
      <c r="H10" s="968" t="s">
        <v>841</v>
      </c>
      <c r="I10" s="969">
        <f>SUMPRODUCT((B127:B189=基准地价!I2)*(C3:G3=基准地价!E2)*(C127:G189))</f>
        <v>0</v>
      </c>
      <c r="K10" s="3156" t="s">
        <v>1032</v>
      </c>
      <c r="L10" s="3156" t="s">
        <v>1033</v>
      </c>
      <c r="M10" s="3156" t="s">
        <v>1034</v>
      </c>
      <c r="N10" s="3156" t="s">
        <v>1035</v>
      </c>
      <c r="O10" s="3156" t="s">
        <v>1036</v>
      </c>
      <c r="P10" s="3156" t="s">
        <v>1037</v>
      </c>
      <c r="Q10" s="3156" t="s">
        <v>1028</v>
      </c>
      <c r="R10" s="3156" t="s">
        <v>1039</v>
      </c>
      <c r="S10" s="3156" t="s">
        <v>1040</v>
      </c>
      <c r="T10" s="3156" t="s">
        <v>3011</v>
      </c>
    </row>
    <row r="11" spans="1:21" ht="14.25" customHeight="1">
      <c r="A11" s="3156" t="s">
        <v>1031</v>
      </c>
      <c r="B11" s="1215" t="s">
        <v>973</v>
      </c>
      <c r="C11" s="3156">
        <v>31590</v>
      </c>
      <c r="D11" s="3156">
        <v>29490</v>
      </c>
      <c r="E11" s="3156">
        <v>28700</v>
      </c>
      <c r="F11" s="3162">
        <v>10410</v>
      </c>
      <c r="G11" s="3162">
        <v>21460</v>
      </c>
      <c r="H11" s="968" t="s">
        <v>842</v>
      </c>
      <c r="I11" s="969">
        <f>SUMPRODUCT((B190:B233=基准地价!I2)*(C3:G3=基准地价!E2)*(C190:G233))</f>
        <v>0</v>
      </c>
      <c r="K11" s="3156" t="s">
        <v>1041</v>
      </c>
      <c r="L11" s="3156" t="s">
        <v>1042</v>
      </c>
      <c r="M11" s="3156" t="s">
        <v>1043</v>
      </c>
      <c r="N11" s="3156" t="s">
        <v>1044</v>
      </c>
      <c r="O11" s="3156" t="s">
        <v>1045</v>
      </c>
      <c r="P11" s="3156" t="s">
        <v>2892</v>
      </c>
      <c r="Q11" s="3156" t="s">
        <v>1038</v>
      </c>
      <c r="R11" s="3156" t="s">
        <v>1046</v>
      </c>
      <c r="S11" s="3156" t="s">
        <v>2990</v>
      </c>
      <c r="T11" s="3156" t="s">
        <v>3012</v>
      </c>
    </row>
    <row r="12" spans="1:21" ht="14.25" customHeight="1">
      <c r="A12" s="3156" t="s">
        <v>1031</v>
      </c>
      <c r="B12" s="1215" t="s">
        <v>983</v>
      </c>
      <c r="C12" s="3156">
        <v>29640</v>
      </c>
      <c r="D12" s="3156">
        <v>27550</v>
      </c>
      <c r="E12" s="3156">
        <v>28010</v>
      </c>
      <c r="F12" s="3162">
        <v>8730</v>
      </c>
      <c r="G12" s="3162">
        <v>20050</v>
      </c>
      <c r="H12" s="968" t="s">
        <v>843</v>
      </c>
      <c r="I12" s="969">
        <f>SUMPRODUCT((B234:B276=基准地价!I2)*(C3:G3=基准地价!E2)*(C234:G276))</f>
        <v>0</v>
      </c>
      <c r="K12" s="3156" t="s">
        <v>1048</v>
      </c>
      <c r="L12" s="3156" t="s">
        <v>1049</v>
      </c>
      <c r="M12" s="3156" t="s">
        <v>1050</v>
      </c>
      <c r="N12" s="3156" t="s">
        <v>1051</v>
      </c>
      <c r="O12" s="3156" t="s">
        <v>1052</v>
      </c>
      <c r="P12" s="3156" t="s">
        <v>2893</v>
      </c>
      <c r="Q12" s="3156" t="s">
        <v>2927</v>
      </c>
      <c r="R12" s="3156" t="s">
        <v>2955</v>
      </c>
      <c r="S12" s="3156" t="s">
        <v>2991</v>
      </c>
      <c r="T12" s="3156" t="s">
        <v>3013</v>
      </c>
    </row>
    <row r="13" spans="1:21" ht="14.25" customHeight="1">
      <c r="A13" s="3156" t="s">
        <v>1031</v>
      </c>
      <c r="B13" s="1215" t="s">
        <v>992</v>
      </c>
      <c r="C13" s="3156">
        <v>29680</v>
      </c>
      <c r="D13" s="3156">
        <v>27660</v>
      </c>
      <c r="E13" s="3156">
        <v>28210</v>
      </c>
      <c r="F13" s="3162">
        <v>9590</v>
      </c>
      <c r="G13" s="3162">
        <v>20120</v>
      </c>
      <c r="H13" s="968" t="s">
        <v>844</v>
      </c>
      <c r="I13" s="969">
        <f>SUMPRODUCT((B277:B326=基准地价!I2)*(C3:G3=基准地价!E2)*(C277:G326))</f>
        <v>0</v>
      </c>
      <c r="K13" s="3156" t="s">
        <v>1055</v>
      </c>
      <c r="L13" s="3156" t="s">
        <v>1056</v>
      </c>
      <c r="M13" s="3156" t="s">
        <v>1057</v>
      </c>
      <c r="N13" s="3156" t="s">
        <v>1058</v>
      </c>
      <c r="O13" s="3156" t="s">
        <v>1059</v>
      </c>
      <c r="P13" s="3156" t="s">
        <v>2894</v>
      </c>
      <c r="Q13" s="3156" t="s">
        <v>1053</v>
      </c>
      <c r="R13" s="3156" t="s">
        <v>1067</v>
      </c>
      <c r="S13" s="3156" t="s">
        <v>1068</v>
      </c>
      <c r="T13" s="3156" t="s">
        <v>1061</v>
      </c>
    </row>
    <row r="14" spans="1:21" ht="14.25" customHeight="1">
      <c r="A14" s="3156" t="s">
        <v>1031</v>
      </c>
      <c r="B14" s="1215" t="s">
        <v>1002</v>
      </c>
      <c r="C14" s="3156">
        <v>30520</v>
      </c>
      <c r="D14" s="3156">
        <v>29510</v>
      </c>
      <c r="E14" s="3156">
        <v>29400</v>
      </c>
      <c r="F14" s="3162">
        <v>9630</v>
      </c>
      <c r="G14" s="3162">
        <v>21480</v>
      </c>
      <c r="H14" s="968" t="s">
        <v>845</v>
      </c>
      <c r="I14" s="969">
        <f>SUMPRODUCT((B327:B357=基准地价!I2)*(C3:G3=基准地价!E2)*(C327:G357))</f>
        <v>0</v>
      </c>
      <c r="K14" s="3156" t="s">
        <v>1062</v>
      </c>
      <c r="L14" s="3156" t="s">
        <v>1063</v>
      </c>
      <c r="M14" s="3156" t="s">
        <v>1064</v>
      </c>
      <c r="N14" s="3156" t="s">
        <v>1065</v>
      </c>
      <c r="O14" s="3156" t="s">
        <v>1066</v>
      </c>
      <c r="P14" s="3156" t="s">
        <v>1088</v>
      </c>
      <c r="Q14" s="3156" t="s">
        <v>1060</v>
      </c>
      <c r="R14" s="3156" t="s">
        <v>2956</v>
      </c>
      <c r="S14" s="3156" t="s">
        <v>1076</v>
      </c>
      <c r="T14" s="3156" t="s">
        <v>1069</v>
      </c>
    </row>
    <row r="15" spans="1:21" ht="14.25" customHeight="1">
      <c r="A15" s="3156" t="s">
        <v>1031</v>
      </c>
      <c r="B15" s="1215" t="s">
        <v>1009</v>
      </c>
      <c r="C15" s="3156">
        <v>29090</v>
      </c>
      <c r="D15" s="3156">
        <v>27590</v>
      </c>
      <c r="E15" s="3156">
        <v>28120</v>
      </c>
      <c r="F15" s="3162">
        <v>9110</v>
      </c>
      <c r="G15" s="3162">
        <v>20070</v>
      </c>
      <c r="H15" s="968" t="s">
        <v>846</v>
      </c>
      <c r="I15" s="969">
        <f>SUMPRODUCT((B358:B377=基准地价!I2)*(C3:G3=基准地价!E2)*(C358:G377))</f>
        <v>0</v>
      </c>
      <c r="K15" s="3156" t="s">
        <v>1070</v>
      </c>
      <c r="L15" s="3156" t="s">
        <v>1071</v>
      </c>
      <c r="M15" s="3156" t="s">
        <v>1072</v>
      </c>
      <c r="N15" s="3156" t="s">
        <v>1073</v>
      </c>
      <c r="O15" s="3156" t="s">
        <v>1074</v>
      </c>
      <c r="P15" s="3156" t="s">
        <v>2895</v>
      </c>
      <c r="Q15" s="3156" t="s">
        <v>2928</v>
      </c>
      <c r="R15" s="3156" t="s">
        <v>1090</v>
      </c>
      <c r="S15" s="3156" t="s">
        <v>2992</v>
      </c>
      <c r="T15" s="3156" t="s">
        <v>1077</v>
      </c>
    </row>
    <row r="16" spans="1:21" ht="14.25" customHeight="1" thickBot="1">
      <c r="A16" s="3156" t="s">
        <v>1031</v>
      </c>
      <c r="B16" s="1215" t="s">
        <v>1015</v>
      </c>
      <c r="C16" s="3156">
        <v>26790</v>
      </c>
      <c r="D16" s="3156">
        <v>30370</v>
      </c>
      <c r="E16" s="3156">
        <v>30240</v>
      </c>
      <c r="F16" s="3162">
        <v>11590</v>
      </c>
      <c r="G16" s="3162">
        <v>22090</v>
      </c>
      <c r="H16" s="970" t="s">
        <v>847</v>
      </c>
      <c r="I16" s="971">
        <f>SUMPRODUCT((B378:B384=基准地价!I2)*(C3:G3=基准地价!E2)*(C378:G384))</f>
        <v>0</v>
      </c>
      <c r="K16" s="3156" t="s">
        <v>1078</v>
      </c>
      <c r="L16" s="3156" t="s">
        <v>1079</v>
      </c>
      <c r="M16" s="3156" t="s">
        <v>1080</v>
      </c>
      <c r="N16" s="3156" t="s">
        <v>1081</v>
      </c>
      <c r="O16" s="3156" t="s">
        <v>1082</v>
      </c>
      <c r="P16" s="3156" t="s">
        <v>2896</v>
      </c>
      <c r="Q16" s="3156" t="s">
        <v>1075</v>
      </c>
      <c r="R16" s="3156" t="s">
        <v>1098</v>
      </c>
      <c r="S16" s="3156" t="s">
        <v>1054</v>
      </c>
      <c r="T16" s="3156" t="s">
        <v>3014</v>
      </c>
    </row>
    <row r="17" spans="1:20" ht="14.25" customHeight="1">
      <c r="A17" s="3156" t="s">
        <v>1031</v>
      </c>
      <c r="B17" s="1215" t="s">
        <v>1022</v>
      </c>
      <c r="C17" s="3156">
        <v>29180</v>
      </c>
      <c r="D17" s="3156">
        <v>27620</v>
      </c>
      <c r="E17" s="3156">
        <v>28180</v>
      </c>
      <c r="F17" s="3162">
        <v>10790</v>
      </c>
      <c r="G17" s="3163">
        <v>20090</v>
      </c>
      <c r="I17" s="972"/>
      <c r="K17" s="3156" t="s">
        <v>1083</v>
      </c>
      <c r="L17" s="3156" t="s">
        <v>1084</v>
      </c>
      <c r="M17" s="3156" t="s">
        <v>1085</v>
      </c>
      <c r="N17" s="3156" t="s">
        <v>1086</v>
      </c>
      <c r="O17" s="3156" t="s">
        <v>1087</v>
      </c>
      <c r="P17" s="3156" t="s">
        <v>2897</v>
      </c>
      <c r="Q17" s="3156" t="s">
        <v>2929</v>
      </c>
      <c r="R17" s="3156" t="s">
        <v>1104</v>
      </c>
      <c r="S17" s="3156" t="s">
        <v>2993</v>
      </c>
      <c r="T17" s="3156" t="s">
        <v>1106</v>
      </c>
    </row>
    <row r="18" spans="1:20" ht="14.25" customHeight="1">
      <c r="A18" s="3156" t="s">
        <v>1031</v>
      </c>
      <c r="B18" s="1215" t="s">
        <v>1032</v>
      </c>
      <c r="C18" s="3156">
        <v>26840</v>
      </c>
      <c r="D18" s="3156">
        <v>28930</v>
      </c>
      <c r="E18" s="3156">
        <v>28820</v>
      </c>
      <c r="F18" s="3162"/>
      <c r="G18" s="3163">
        <v>21050</v>
      </c>
      <c r="I18" s="972"/>
      <c r="K18" s="3156" t="s">
        <v>1092</v>
      </c>
      <c r="L18" s="3156" t="s">
        <v>1093</v>
      </c>
      <c r="M18" s="3156" t="s">
        <v>1094</v>
      </c>
      <c r="N18" s="3156" t="s">
        <v>1095</v>
      </c>
      <c r="O18" s="3156" t="s">
        <v>1096</v>
      </c>
      <c r="P18" s="3156" t="s">
        <v>2898</v>
      </c>
      <c r="Q18" s="3156" t="s">
        <v>1089</v>
      </c>
      <c r="R18" s="3156" t="s">
        <v>2957</v>
      </c>
      <c r="S18" s="3156" t="s">
        <v>1105</v>
      </c>
      <c r="T18" s="3156" t="s">
        <v>1114</v>
      </c>
    </row>
    <row r="19" spans="1:20" ht="14.25" customHeight="1">
      <c r="A19" s="3156" t="s">
        <v>1031</v>
      </c>
      <c r="B19" s="1215" t="s">
        <v>1041</v>
      </c>
      <c r="C19" s="3156">
        <v>27750</v>
      </c>
      <c r="D19" s="3156">
        <v>26680</v>
      </c>
      <c r="E19" s="3156">
        <v>26590</v>
      </c>
      <c r="F19" s="3162"/>
      <c r="G19" s="3163">
        <v>19420</v>
      </c>
      <c r="I19" s="972"/>
      <c r="K19" s="3156" t="s">
        <v>1099</v>
      </c>
      <c r="L19" s="3156" t="s">
        <v>1100</v>
      </c>
      <c r="M19" s="3156" t="s">
        <v>1101</v>
      </c>
      <c r="N19" s="3156" t="s">
        <v>1102</v>
      </c>
      <c r="O19" s="3156" t="s">
        <v>1103</v>
      </c>
      <c r="P19" s="3156" t="s">
        <v>2899</v>
      </c>
      <c r="Q19" s="3156" t="s">
        <v>1097</v>
      </c>
      <c r="R19" s="3156" t="s">
        <v>2958</v>
      </c>
      <c r="S19" s="3156" t="s">
        <v>1113</v>
      </c>
      <c r="T19" s="3156" t="s">
        <v>3015</v>
      </c>
    </row>
    <row r="20" spans="1:20" ht="14.25" customHeight="1">
      <c r="A20" s="3156" t="s">
        <v>1031</v>
      </c>
      <c r="B20" s="1215" t="s">
        <v>1048</v>
      </c>
      <c r="C20" s="3156">
        <v>27050</v>
      </c>
      <c r="D20" s="3156">
        <v>29010</v>
      </c>
      <c r="E20" s="3156">
        <v>28910</v>
      </c>
      <c r="F20" s="3162"/>
      <c r="G20" s="3163">
        <v>21110</v>
      </c>
      <c r="K20" s="3156" t="s">
        <v>1107</v>
      </c>
      <c r="L20" s="3156" t="s">
        <v>1108</v>
      </c>
      <c r="M20" s="3156" t="s">
        <v>1109</v>
      </c>
      <c r="N20" s="3156" t="s">
        <v>1110</v>
      </c>
      <c r="O20" s="3156" t="s">
        <v>1111</v>
      </c>
      <c r="P20" s="3156" t="s">
        <v>2900</v>
      </c>
      <c r="Q20" s="3156" t="s">
        <v>2930</v>
      </c>
      <c r="R20" s="3156" t="s">
        <v>1139</v>
      </c>
      <c r="S20" s="3156" t="s">
        <v>2994</v>
      </c>
      <c r="T20" s="3156" t="s">
        <v>1126</v>
      </c>
    </row>
    <row r="21" spans="1:20" ht="14.25" customHeight="1">
      <c r="A21" s="3156" t="s">
        <v>1031</v>
      </c>
      <c r="B21" s="1215" t="s">
        <v>1055</v>
      </c>
      <c r="C21" s="3156">
        <v>32370</v>
      </c>
      <c r="D21" s="3156">
        <v>26730</v>
      </c>
      <c r="E21" s="3156">
        <v>26640</v>
      </c>
      <c r="F21" s="3162"/>
      <c r="G21" s="3163">
        <v>19440</v>
      </c>
      <c r="K21" s="3165" t="s">
        <v>2822</v>
      </c>
      <c r="L21" s="3156" t="s">
        <v>1115</v>
      </c>
      <c r="M21" s="3156" t="s">
        <v>1116</v>
      </c>
      <c r="N21" s="3156" t="s">
        <v>1117</v>
      </c>
      <c r="O21" s="3156" t="s">
        <v>1118</v>
      </c>
      <c r="P21" s="3156" t="s">
        <v>1112</v>
      </c>
      <c r="Q21" s="3156" t="s">
        <v>1132</v>
      </c>
      <c r="R21" s="3156" t="s">
        <v>1142</v>
      </c>
      <c r="S21" s="3156" t="s">
        <v>2995</v>
      </c>
      <c r="T21" s="3156" t="s">
        <v>3016</v>
      </c>
    </row>
    <row r="22" spans="1:20" ht="14.25" customHeight="1">
      <c r="A22" s="3156" t="s">
        <v>1031</v>
      </c>
      <c r="B22" s="1215" t="s">
        <v>1062</v>
      </c>
      <c r="C22" s="3156">
        <v>29830</v>
      </c>
      <c r="D22" s="3156">
        <v>27600</v>
      </c>
      <c r="E22" s="3156">
        <v>28150</v>
      </c>
      <c r="F22" s="3162"/>
      <c r="G22" s="3163">
        <v>20080</v>
      </c>
      <c r="L22" s="3165" t="s">
        <v>2824</v>
      </c>
      <c r="M22" s="3156" t="s">
        <v>1120</v>
      </c>
      <c r="N22" s="3156" t="s">
        <v>1121</v>
      </c>
      <c r="O22" s="3156" t="s">
        <v>1122</v>
      </c>
      <c r="P22" s="3156" t="s">
        <v>2901</v>
      </c>
      <c r="Q22" s="3156" t="s">
        <v>1135</v>
      </c>
      <c r="R22" s="3156" t="s">
        <v>1144</v>
      </c>
      <c r="S22" s="3156" t="s">
        <v>1091</v>
      </c>
      <c r="T22" s="1215"/>
    </row>
    <row r="23" spans="1:20" ht="14.25" customHeight="1">
      <c r="A23" s="3156" t="s">
        <v>1031</v>
      </c>
      <c r="B23" s="1215" t="s">
        <v>1070</v>
      </c>
      <c r="C23" s="3156">
        <v>27800</v>
      </c>
      <c r="D23" s="3156">
        <v>26900</v>
      </c>
      <c r="E23" s="3156">
        <v>27170</v>
      </c>
      <c r="F23" s="3162"/>
      <c r="G23" s="3163">
        <v>19570</v>
      </c>
      <c r="L23" s="3165" t="s">
        <v>2825</v>
      </c>
      <c r="M23" s="3156" t="s">
        <v>1127</v>
      </c>
      <c r="N23" s="3156" t="s">
        <v>1128</v>
      </c>
      <c r="O23" s="3156" t="s">
        <v>2855</v>
      </c>
      <c r="P23" s="3156" t="s">
        <v>2902</v>
      </c>
      <c r="Q23" s="3156" t="s">
        <v>1138</v>
      </c>
      <c r="R23" s="3156" t="s">
        <v>1147</v>
      </c>
      <c r="S23" s="3156" t="s">
        <v>2996</v>
      </c>
    </row>
    <row r="24" spans="1:20" ht="14.25" customHeight="1">
      <c r="A24" s="3156" t="s">
        <v>1031</v>
      </c>
      <c r="B24" s="1215" t="s">
        <v>1078</v>
      </c>
      <c r="C24" s="3156">
        <v>27930</v>
      </c>
      <c r="D24" s="3156">
        <v>32260</v>
      </c>
      <c r="E24" s="3156">
        <v>32120</v>
      </c>
      <c r="F24" s="3162"/>
      <c r="G24" s="3163">
        <v>23470</v>
      </c>
      <c r="L24" s="3165" t="s">
        <v>2826</v>
      </c>
      <c r="M24" s="3156" t="s">
        <v>1130</v>
      </c>
      <c r="N24" s="3156" t="s">
        <v>1131</v>
      </c>
      <c r="O24" s="3156" t="s">
        <v>2856</v>
      </c>
      <c r="P24" s="3156" t="s">
        <v>1134</v>
      </c>
      <c r="Q24" s="3156" t="s">
        <v>2931</v>
      </c>
      <c r="R24" s="3156" t="s">
        <v>2959</v>
      </c>
      <c r="S24" s="3156" t="s">
        <v>2997</v>
      </c>
    </row>
    <row r="25" spans="1:20" ht="14.25" customHeight="1">
      <c r="A25" s="3156" t="s">
        <v>1031</v>
      </c>
      <c r="B25" s="1215" t="s">
        <v>1083</v>
      </c>
      <c r="C25" s="3156">
        <v>32230</v>
      </c>
      <c r="D25" s="3156">
        <v>29640</v>
      </c>
      <c r="E25" s="3156">
        <v>29510</v>
      </c>
      <c r="F25" s="3162"/>
      <c r="G25" s="3163">
        <v>21560</v>
      </c>
      <c r="L25" s="3165" t="s">
        <v>2827</v>
      </c>
      <c r="M25" s="3156" t="s">
        <v>2830</v>
      </c>
      <c r="N25" s="3156" t="s">
        <v>1133</v>
      </c>
      <c r="O25" s="3156" t="s">
        <v>1141</v>
      </c>
      <c r="P25" s="3156" t="s">
        <v>1137</v>
      </c>
      <c r="Q25" s="3156" t="s">
        <v>1124</v>
      </c>
      <c r="R25" s="3156" t="s">
        <v>1119</v>
      </c>
      <c r="S25" s="3156" t="s">
        <v>2998</v>
      </c>
    </row>
    <row r="26" spans="1:20" ht="14.25" customHeight="1">
      <c r="A26" s="3156" t="s">
        <v>1031</v>
      </c>
      <c r="B26" s="1215" t="s">
        <v>1092</v>
      </c>
      <c r="C26" s="3156">
        <v>31690</v>
      </c>
      <c r="D26" s="3156">
        <v>27650</v>
      </c>
      <c r="E26" s="3156">
        <v>28200</v>
      </c>
      <c r="F26" s="3162"/>
      <c r="G26" s="3163">
        <v>20110</v>
      </c>
      <c r="L26" s="3165" t="s">
        <v>2828</v>
      </c>
      <c r="M26" s="3156" t="s">
        <v>2831</v>
      </c>
      <c r="N26" s="3156" t="s">
        <v>1136</v>
      </c>
      <c r="O26" s="3156" t="s">
        <v>1143</v>
      </c>
      <c r="P26" s="3156" t="s">
        <v>2903</v>
      </c>
      <c r="Q26" s="3156" t="s">
        <v>2932</v>
      </c>
      <c r="R26" s="3156" t="s">
        <v>1125</v>
      </c>
      <c r="S26" s="3156" t="s">
        <v>2999</v>
      </c>
    </row>
    <row r="27" spans="1:20" ht="14.25" customHeight="1">
      <c r="A27" s="3156" t="s">
        <v>1031</v>
      </c>
      <c r="B27" s="1215" t="s">
        <v>1099</v>
      </c>
      <c r="C27" s="3156">
        <v>29610</v>
      </c>
      <c r="D27" s="3156">
        <v>27770</v>
      </c>
      <c r="E27" s="3156">
        <v>28300</v>
      </c>
      <c r="F27" s="3162"/>
      <c r="G27" s="3163">
        <v>20210</v>
      </c>
      <c r="M27" s="3156" t="s">
        <v>2832</v>
      </c>
      <c r="N27" s="3156" t="s">
        <v>1140</v>
      </c>
      <c r="O27" s="3156" t="s">
        <v>1146</v>
      </c>
      <c r="P27" s="3156" t="s">
        <v>1123</v>
      </c>
      <c r="Q27" s="3156" t="s">
        <v>2933</v>
      </c>
      <c r="R27" s="3156" t="s">
        <v>2960</v>
      </c>
      <c r="S27" s="3156" t="s">
        <v>3000</v>
      </c>
    </row>
    <row r="28" spans="1:20" ht="14.25" customHeight="1">
      <c r="A28" s="3170" t="s">
        <v>1031</v>
      </c>
      <c r="B28" s="2405" t="s">
        <v>1107</v>
      </c>
      <c r="C28" s="1213"/>
      <c r="D28" s="1213">
        <v>31520</v>
      </c>
      <c r="E28" s="1213">
        <v>31410</v>
      </c>
      <c r="F28" s="3167"/>
      <c r="G28" s="3168">
        <v>22940</v>
      </c>
      <c r="M28" s="3156" t="s">
        <v>2833</v>
      </c>
      <c r="N28" s="3156" t="s">
        <v>2840</v>
      </c>
      <c r="O28" s="3156" t="s">
        <v>2857</v>
      </c>
      <c r="P28" s="3156" t="s">
        <v>2904</v>
      </c>
      <c r="Q28" s="3156" t="s">
        <v>2934</v>
      </c>
      <c r="R28" s="3156" t="s">
        <v>2961</v>
      </c>
      <c r="S28" s="3165" t="s">
        <v>3001</v>
      </c>
    </row>
    <row r="29" spans="1:20" ht="14.25" customHeight="1" thickBot="1">
      <c r="A29" s="3171" t="s">
        <v>1031</v>
      </c>
      <c r="B29" s="3159" t="s">
        <v>2822</v>
      </c>
      <c r="C29" s="3159"/>
      <c r="D29" s="3159">
        <v>29460</v>
      </c>
      <c r="E29" s="3159">
        <v>28640</v>
      </c>
      <c r="F29" s="3160"/>
      <c r="G29" s="3172">
        <v>21430</v>
      </c>
      <c r="M29" s="3165" t="s">
        <v>2834</v>
      </c>
      <c r="N29" s="3156" t="s">
        <v>2841</v>
      </c>
      <c r="O29" s="3156" t="s">
        <v>2858</v>
      </c>
      <c r="P29" s="3156" t="s">
        <v>2905</v>
      </c>
      <c r="Q29" s="3156" t="s">
        <v>2935</v>
      </c>
      <c r="R29" s="3156" t="s">
        <v>2962</v>
      </c>
      <c r="S29" s="3165" t="s">
        <v>1129</v>
      </c>
    </row>
    <row r="30" spans="1:20" ht="14.25" customHeight="1">
      <c r="A30" s="3170" t="s">
        <v>1145</v>
      </c>
      <c r="B30" s="1215" t="s">
        <v>2823</v>
      </c>
      <c r="C30" s="1215">
        <v>26890</v>
      </c>
      <c r="D30" s="1215">
        <v>26770</v>
      </c>
      <c r="E30" s="1215">
        <v>25700</v>
      </c>
      <c r="F30" s="3157">
        <v>8180</v>
      </c>
      <c r="G30" s="3157">
        <v>18740</v>
      </c>
      <c r="I30" s="972"/>
      <c r="M30" s="3165" t="s">
        <v>2835</v>
      </c>
      <c r="N30" s="3156" t="s">
        <v>2842</v>
      </c>
      <c r="O30" s="3156" t="s">
        <v>2859</v>
      </c>
      <c r="P30" s="3156" t="s">
        <v>2906</v>
      </c>
      <c r="Q30" s="3156" t="s">
        <v>2936</v>
      </c>
      <c r="R30" s="3156" t="s">
        <v>2963</v>
      </c>
      <c r="S30" s="3165" t="s">
        <v>3002</v>
      </c>
    </row>
    <row r="31" spans="1:20" ht="14.25" customHeight="1">
      <c r="A31" s="3156" t="s">
        <v>1145</v>
      </c>
      <c r="B31" s="1215" t="s">
        <v>974</v>
      </c>
      <c r="C31" s="3156">
        <v>24550</v>
      </c>
      <c r="D31" s="3156">
        <v>23990</v>
      </c>
      <c r="E31" s="3156">
        <v>22930</v>
      </c>
      <c r="F31" s="3162">
        <v>7470</v>
      </c>
      <c r="G31" s="3162">
        <v>16790</v>
      </c>
      <c r="I31" s="972"/>
      <c r="M31" s="3165" t="s">
        <v>2836</v>
      </c>
      <c r="N31" s="3156" t="s">
        <v>2843</v>
      </c>
      <c r="O31" s="3156" t="s">
        <v>2860</v>
      </c>
      <c r="P31" s="3156" t="s">
        <v>2907</v>
      </c>
      <c r="Q31" s="3156" t="s">
        <v>2937</v>
      </c>
      <c r="R31" s="3156" t="s">
        <v>2964</v>
      </c>
      <c r="S31" s="3165" t="s">
        <v>3003</v>
      </c>
    </row>
    <row r="32" spans="1:20" ht="14.25" customHeight="1">
      <c r="A32" s="3156" t="s">
        <v>1145</v>
      </c>
      <c r="B32" s="1215" t="s">
        <v>984</v>
      </c>
      <c r="C32" s="3156">
        <v>27210</v>
      </c>
      <c r="D32" s="3156">
        <v>23240</v>
      </c>
      <c r="E32" s="3156">
        <v>23260</v>
      </c>
      <c r="F32" s="3162">
        <v>7130</v>
      </c>
      <c r="G32" s="3162">
        <v>16270</v>
      </c>
      <c r="I32" s="972"/>
      <c r="M32" s="3165" t="s">
        <v>2837</v>
      </c>
      <c r="N32" s="3156" t="s">
        <v>2844</v>
      </c>
      <c r="O32" s="3156" t="s">
        <v>1149</v>
      </c>
      <c r="P32" s="3156" t="s">
        <v>2908</v>
      </c>
      <c r="Q32" s="3156" t="s">
        <v>1148</v>
      </c>
      <c r="R32" s="3156" t="s">
        <v>2965</v>
      </c>
      <c r="S32" s="3165" t="s">
        <v>3004</v>
      </c>
    </row>
    <row r="33" spans="1:18" ht="14.25" customHeight="1">
      <c r="A33" s="3156" t="s">
        <v>1145</v>
      </c>
      <c r="B33" s="1215" t="s">
        <v>993</v>
      </c>
      <c r="C33" s="3156">
        <v>27300</v>
      </c>
      <c r="D33" s="3156">
        <v>22980</v>
      </c>
      <c r="E33" s="3156">
        <v>24260</v>
      </c>
      <c r="F33" s="3162">
        <v>5860</v>
      </c>
      <c r="G33" s="3162">
        <v>16090</v>
      </c>
      <c r="I33" s="972"/>
      <c r="M33" s="3165" t="s">
        <v>2838</v>
      </c>
      <c r="N33" s="3156" t="s">
        <v>2845</v>
      </c>
      <c r="O33" s="3156" t="s">
        <v>1150</v>
      </c>
      <c r="P33" s="3156" t="s">
        <v>2909</v>
      </c>
      <c r="Q33" s="3156" t="s">
        <v>2938</v>
      </c>
      <c r="R33" s="3156" t="s">
        <v>2966</v>
      </c>
    </row>
    <row r="34" spans="1:18" ht="14.25" customHeight="1">
      <c r="A34" s="3156" t="s">
        <v>1145</v>
      </c>
      <c r="B34" s="1215" t="s">
        <v>1003</v>
      </c>
      <c r="C34" s="3156">
        <v>23090</v>
      </c>
      <c r="D34" s="3156">
        <v>23390</v>
      </c>
      <c r="E34" s="3156">
        <v>23510</v>
      </c>
      <c r="F34" s="3162">
        <v>6700</v>
      </c>
      <c r="G34" s="3162">
        <v>16370</v>
      </c>
      <c r="I34" s="972"/>
      <c r="N34" s="3156" t="s">
        <v>2846</v>
      </c>
      <c r="O34" s="3156" t="s">
        <v>1151</v>
      </c>
      <c r="P34" s="3156" t="s">
        <v>2910</v>
      </c>
      <c r="Q34" s="3156" t="s">
        <v>2939</v>
      </c>
      <c r="R34" s="3156" t="s">
        <v>2967</v>
      </c>
    </row>
    <row r="35" spans="1:18" ht="14.25" customHeight="1">
      <c r="A35" s="3156" t="s">
        <v>1145</v>
      </c>
      <c r="B35" s="1215" t="s">
        <v>1010</v>
      </c>
      <c r="C35" s="3156">
        <v>27270</v>
      </c>
      <c r="D35" s="3156">
        <v>24270</v>
      </c>
      <c r="E35" s="3156">
        <v>24950</v>
      </c>
      <c r="F35" s="3162">
        <v>6600</v>
      </c>
      <c r="G35" s="3162">
        <v>16990</v>
      </c>
      <c r="I35" s="972"/>
      <c r="N35" s="3156" t="s">
        <v>2847</v>
      </c>
      <c r="O35" s="3156" t="s">
        <v>2861</v>
      </c>
      <c r="P35" s="3156" t="s">
        <v>2911</v>
      </c>
      <c r="Q35" s="3156" t="s">
        <v>2940</v>
      </c>
      <c r="R35" s="3156" t="s">
        <v>2968</v>
      </c>
    </row>
    <row r="36" spans="1:18" ht="14.25" customHeight="1">
      <c r="A36" s="3156" t="s">
        <v>1145</v>
      </c>
      <c r="B36" s="1215" t="s">
        <v>1016</v>
      </c>
      <c r="C36" s="3156">
        <v>23490</v>
      </c>
      <c r="D36" s="3156">
        <v>23020</v>
      </c>
      <c r="E36" s="3156">
        <v>25230</v>
      </c>
      <c r="F36" s="3162">
        <v>6780</v>
      </c>
      <c r="G36" s="3162">
        <v>16120</v>
      </c>
      <c r="I36" s="972"/>
      <c r="N36" s="3165" t="s">
        <v>2848</v>
      </c>
      <c r="O36" s="3192" t="s">
        <v>2862</v>
      </c>
      <c r="P36" s="3156" t="s">
        <v>2912</v>
      </c>
      <c r="Q36" s="3156" t="s">
        <v>2941</v>
      </c>
      <c r="R36" s="3156" t="s">
        <v>2969</v>
      </c>
    </row>
    <row r="37" spans="1:18" ht="14.25" customHeight="1">
      <c r="A37" s="3156" t="s">
        <v>1145</v>
      </c>
      <c r="B37" s="1215" t="s">
        <v>1023</v>
      </c>
      <c r="C37" s="3156">
        <v>24380</v>
      </c>
      <c r="D37" s="3156">
        <v>22240</v>
      </c>
      <c r="E37" s="3156">
        <v>25980</v>
      </c>
      <c r="F37" s="3162">
        <v>8160</v>
      </c>
      <c r="G37" s="3162">
        <v>15570</v>
      </c>
      <c r="I37" s="973"/>
      <c r="N37" s="3165" t="s">
        <v>2849</v>
      </c>
      <c r="O37" s="3192" t="s">
        <v>2863</v>
      </c>
      <c r="P37" s="3156" t="s">
        <v>2913</v>
      </c>
      <c r="Q37" s="3156" t="s">
        <v>2942</v>
      </c>
      <c r="R37" s="3156" t="s">
        <v>2970</v>
      </c>
    </row>
    <row r="38" spans="1:18" ht="14.25" customHeight="1">
      <c r="A38" s="3156" t="s">
        <v>1145</v>
      </c>
      <c r="B38" s="1215" t="s">
        <v>1033</v>
      </c>
      <c r="C38" s="3156">
        <v>23120</v>
      </c>
      <c r="D38" s="3156">
        <v>24630</v>
      </c>
      <c r="E38" s="3156">
        <v>25030</v>
      </c>
      <c r="F38" s="3162">
        <v>7710</v>
      </c>
      <c r="G38" s="3162">
        <v>17240</v>
      </c>
      <c r="I38" s="972"/>
      <c r="N38" s="3165" t="s">
        <v>2850</v>
      </c>
      <c r="O38" s="3192" t="s">
        <v>2864</v>
      </c>
      <c r="P38" s="3156" t="s">
        <v>2914</v>
      </c>
      <c r="Q38" s="3156" t="s">
        <v>2943</v>
      </c>
      <c r="R38" s="3156" t="s">
        <v>2971</v>
      </c>
    </row>
    <row r="39" spans="1:18" ht="14.25" customHeight="1">
      <c r="A39" s="3156" t="s">
        <v>1145</v>
      </c>
      <c r="B39" s="1215" t="s">
        <v>1042</v>
      </c>
      <c r="C39" s="3156">
        <v>22330</v>
      </c>
      <c r="D39" s="3156">
        <v>21140</v>
      </c>
      <c r="E39" s="3156">
        <v>23970</v>
      </c>
      <c r="F39" s="3162">
        <v>7940</v>
      </c>
      <c r="G39" s="3162">
        <v>14790</v>
      </c>
      <c r="I39" s="972"/>
      <c r="N39" s="3165" t="s">
        <v>2851</v>
      </c>
      <c r="O39" s="3192" t="s">
        <v>2865</v>
      </c>
      <c r="P39" s="3156" t="s">
        <v>2915</v>
      </c>
      <c r="Q39" s="3156" t="s">
        <v>2944</v>
      </c>
      <c r="R39" s="3156" t="s">
        <v>2972</v>
      </c>
    </row>
    <row r="40" spans="1:18" ht="14.25" customHeight="1">
      <c r="A40" s="3156" t="s">
        <v>1145</v>
      </c>
      <c r="B40" s="1215" t="s">
        <v>1049</v>
      </c>
      <c r="C40" s="3156">
        <v>24740</v>
      </c>
      <c r="D40" s="3156">
        <v>24690</v>
      </c>
      <c r="E40" s="3156">
        <v>22610</v>
      </c>
      <c r="F40" s="3162"/>
      <c r="G40" s="3162">
        <v>17280</v>
      </c>
      <c r="I40" s="972"/>
      <c r="N40" s="3165" t="s">
        <v>2852</v>
      </c>
      <c r="O40" s="3192" t="s">
        <v>2866</v>
      </c>
      <c r="P40" s="3156" t="s">
        <v>2916</v>
      </c>
      <c r="Q40" s="3156" t="s">
        <v>2945</v>
      </c>
      <c r="R40" s="3156" t="s">
        <v>2973</v>
      </c>
    </row>
    <row r="41" spans="1:18" ht="14.25" customHeight="1">
      <c r="A41" s="3156" t="s">
        <v>1145</v>
      </c>
      <c r="B41" s="1215" t="s">
        <v>1056</v>
      </c>
      <c r="C41" s="3156">
        <v>21220</v>
      </c>
      <c r="D41" s="3156">
        <v>21120</v>
      </c>
      <c r="E41" s="3156">
        <v>22590</v>
      </c>
      <c r="F41" s="3162"/>
      <c r="G41" s="3162">
        <v>14780</v>
      </c>
      <c r="I41" s="972"/>
      <c r="N41" s="3165" t="s">
        <v>2853</v>
      </c>
      <c r="O41" s="3193" t="s">
        <v>2867</v>
      </c>
      <c r="P41" s="1215" t="s">
        <v>2917</v>
      </c>
      <c r="Q41" s="3165" t="s">
        <v>2946</v>
      </c>
      <c r="R41" s="1215" t="s">
        <v>2974</v>
      </c>
    </row>
    <row r="42" spans="1:18" ht="14.25" customHeight="1">
      <c r="A42" s="3156" t="s">
        <v>1145</v>
      </c>
      <c r="B42" s="1215" t="s">
        <v>1063</v>
      </c>
      <c r="C42" s="3156">
        <v>24800</v>
      </c>
      <c r="D42" s="3156">
        <v>22280</v>
      </c>
      <c r="E42" s="3156">
        <v>24350</v>
      </c>
      <c r="F42" s="3162"/>
      <c r="G42" s="3162">
        <v>15590</v>
      </c>
      <c r="I42" s="972"/>
      <c r="O42" s="3156" t="s">
        <v>2868</v>
      </c>
      <c r="P42" s="3156" t="s">
        <v>2918</v>
      </c>
      <c r="Q42" s="3165" t="s">
        <v>2947</v>
      </c>
      <c r="R42" s="3156" t="s">
        <v>2975</v>
      </c>
    </row>
    <row r="43" spans="1:18" ht="14.25" customHeight="1">
      <c r="A43" s="3156" t="s">
        <v>1145</v>
      </c>
      <c r="B43" s="1215" t="s">
        <v>1071</v>
      </c>
      <c r="C43" s="3156">
        <v>21210</v>
      </c>
      <c r="D43" s="3156">
        <v>21160</v>
      </c>
      <c r="E43" s="3156">
        <v>22650</v>
      </c>
      <c r="F43" s="3162"/>
      <c r="G43" s="3162">
        <v>14800</v>
      </c>
      <c r="I43" s="972"/>
      <c r="O43" s="3156" t="s">
        <v>2869</v>
      </c>
      <c r="P43" s="3156" t="s">
        <v>2919</v>
      </c>
      <c r="Q43" s="3165" t="s">
        <v>2948</v>
      </c>
      <c r="R43" s="3156" t="s">
        <v>2976</v>
      </c>
    </row>
    <row r="44" spans="1:18" ht="14.25" customHeight="1">
      <c r="A44" s="3156" t="s">
        <v>1145</v>
      </c>
      <c r="B44" s="1215" t="s">
        <v>1079</v>
      </c>
      <c r="C44" s="3156">
        <v>22370</v>
      </c>
      <c r="D44" s="3156">
        <v>23140</v>
      </c>
      <c r="E44" s="3156">
        <v>25090</v>
      </c>
      <c r="F44" s="3162"/>
      <c r="G44" s="3162">
        <v>16190</v>
      </c>
      <c r="I44" s="972"/>
      <c r="O44" s="3156" t="s">
        <v>2870</v>
      </c>
      <c r="P44" s="3156" t="s">
        <v>2920</v>
      </c>
      <c r="Q44" s="3165" t="s">
        <v>2949</v>
      </c>
      <c r="R44" s="3156" t="s">
        <v>2977</v>
      </c>
    </row>
    <row r="45" spans="1:18" ht="14.25" customHeight="1">
      <c r="A45" s="3156" t="s">
        <v>1145</v>
      </c>
      <c r="B45" s="1215" t="s">
        <v>1084</v>
      </c>
      <c r="C45" s="3156">
        <v>21240</v>
      </c>
      <c r="D45" s="3156">
        <v>27050</v>
      </c>
      <c r="E45" s="3156">
        <v>28000</v>
      </c>
      <c r="F45" s="3162"/>
      <c r="G45" s="3162">
        <v>18940</v>
      </c>
      <c r="I45" s="972"/>
      <c r="O45" s="3156" t="s">
        <v>2871</v>
      </c>
      <c r="P45" s="3156" t="s">
        <v>2921</v>
      </c>
      <c r="R45" s="3156" t="s">
        <v>2978</v>
      </c>
    </row>
    <row r="46" spans="1:18" ht="14.25" customHeight="1">
      <c r="A46" s="3156" t="s">
        <v>1145</v>
      </c>
      <c r="B46" s="1215" t="s">
        <v>1093</v>
      </c>
      <c r="C46" s="3156">
        <v>23240</v>
      </c>
      <c r="D46" s="3156">
        <v>23000</v>
      </c>
      <c r="E46" s="3156">
        <v>24980</v>
      </c>
      <c r="F46" s="3162"/>
      <c r="G46" s="3162">
        <v>16100</v>
      </c>
      <c r="I46" s="972"/>
      <c r="O46" s="3156" t="s">
        <v>2872</v>
      </c>
      <c r="P46" s="3156"/>
      <c r="R46" s="3156" t="s">
        <v>2979</v>
      </c>
    </row>
    <row r="47" spans="1:18" ht="14.25" customHeight="1">
      <c r="A47" s="3156" t="s">
        <v>1145</v>
      </c>
      <c r="B47" s="2405" t="s">
        <v>1100</v>
      </c>
      <c r="C47" s="1213">
        <v>27150</v>
      </c>
      <c r="D47" s="1213">
        <v>23310</v>
      </c>
      <c r="E47" s="1213">
        <v>25150</v>
      </c>
      <c r="F47" s="3167"/>
      <c r="G47" s="3167">
        <v>16310</v>
      </c>
      <c r="I47" s="972"/>
      <c r="O47" s="3156" t="s">
        <v>2873</v>
      </c>
      <c r="P47" s="3156"/>
      <c r="R47" s="3165" t="s">
        <v>2980</v>
      </c>
    </row>
    <row r="48" spans="1:18" ht="14.25" customHeight="1">
      <c r="A48" s="3156" t="s">
        <v>1145</v>
      </c>
      <c r="B48" s="3156" t="s">
        <v>1108</v>
      </c>
      <c r="C48" s="3156">
        <v>23100</v>
      </c>
      <c r="D48" s="3156">
        <v>21110</v>
      </c>
      <c r="E48" s="3156">
        <v>23080</v>
      </c>
      <c r="F48" s="3162"/>
      <c r="G48" s="3169">
        <v>14780</v>
      </c>
      <c r="I48" s="972"/>
      <c r="O48" s="3156" t="s">
        <v>2874</v>
      </c>
      <c r="P48" s="3156"/>
      <c r="R48" s="3165" t="s">
        <v>2981</v>
      </c>
    </row>
    <row r="49" spans="1:18" ht="14.25" customHeight="1">
      <c r="A49" s="3156" t="s">
        <v>1145</v>
      </c>
      <c r="B49" s="1215" t="s">
        <v>1115</v>
      </c>
      <c r="C49" s="1215">
        <v>23400</v>
      </c>
      <c r="D49" s="1215">
        <v>22920</v>
      </c>
      <c r="E49" s="1215">
        <v>24900</v>
      </c>
      <c r="F49" s="3157"/>
      <c r="G49" s="3157">
        <v>16040</v>
      </c>
      <c r="I49" s="972"/>
      <c r="O49" s="3156" t="s">
        <v>2875</v>
      </c>
      <c r="P49" s="3156"/>
      <c r="R49" s="3165" t="s">
        <v>2982</v>
      </c>
    </row>
    <row r="50" spans="1:18" ht="14.25" customHeight="1">
      <c r="A50" s="3156" t="s">
        <v>1145</v>
      </c>
      <c r="B50" s="3156" t="s">
        <v>2824</v>
      </c>
      <c r="C50" s="3156">
        <v>21200</v>
      </c>
      <c r="D50" s="3156">
        <v>26540</v>
      </c>
      <c r="E50" s="3156">
        <v>23200</v>
      </c>
      <c r="F50" s="3162"/>
      <c r="G50" s="3162">
        <v>18580</v>
      </c>
      <c r="I50" s="972"/>
      <c r="O50" s="3165" t="s">
        <v>2876</v>
      </c>
      <c r="R50" s="3165" t="s">
        <v>2983</v>
      </c>
    </row>
    <row r="51" spans="1:18" ht="14.25" customHeight="1">
      <c r="A51" s="3156" t="s">
        <v>1145</v>
      </c>
      <c r="B51" s="3156" t="s">
        <v>2825</v>
      </c>
      <c r="C51" s="3156">
        <v>23000</v>
      </c>
      <c r="D51" s="3156">
        <v>23460</v>
      </c>
      <c r="E51" s="3156">
        <v>25290</v>
      </c>
      <c r="F51" s="3162"/>
      <c r="G51" s="3162">
        <v>16420</v>
      </c>
      <c r="I51" s="972"/>
      <c r="O51" s="3165" t="s">
        <v>2877</v>
      </c>
      <c r="R51" s="3165" t="s">
        <v>2984</v>
      </c>
    </row>
    <row r="52" spans="1:18" ht="14.25" customHeight="1">
      <c r="A52" s="3156" t="s">
        <v>1145</v>
      </c>
      <c r="B52" s="3156" t="s">
        <v>2826</v>
      </c>
      <c r="C52" s="3156">
        <v>26660</v>
      </c>
      <c r="D52" s="3156">
        <v>22350</v>
      </c>
      <c r="E52" s="3156">
        <v>22920</v>
      </c>
      <c r="F52" s="3162"/>
      <c r="G52" s="3162">
        <v>15640</v>
      </c>
      <c r="I52" s="972"/>
      <c r="O52" s="3165" t="s">
        <v>2878</v>
      </c>
    </row>
    <row r="53" spans="1:18" ht="14.25" customHeight="1">
      <c r="A53" s="3156" t="s">
        <v>1145</v>
      </c>
      <c r="B53" s="3156" t="s">
        <v>2827</v>
      </c>
      <c r="C53" s="3156">
        <v>23580</v>
      </c>
      <c r="D53" s="3156"/>
      <c r="E53" s="3156">
        <v>24280</v>
      </c>
      <c r="F53" s="3162"/>
      <c r="G53" s="3162"/>
      <c r="I53" s="972"/>
      <c r="O53" s="3165" t="s">
        <v>2879</v>
      </c>
    </row>
    <row r="54" spans="1:18" ht="14.25" customHeight="1" thickBot="1">
      <c r="A54" s="3171" t="s">
        <v>1145</v>
      </c>
      <c r="B54" s="3159" t="s">
        <v>2828</v>
      </c>
      <c r="C54" s="3159">
        <v>22460</v>
      </c>
      <c r="D54" s="3159"/>
      <c r="E54" s="3159"/>
      <c r="F54" s="3160"/>
      <c r="G54" s="3172"/>
      <c r="I54" s="972"/>
      <c r="O54" s="3165" t="s">
        <v>2880</v>
      </c>
    </row>
    <row r="55" spans="1:18" ht="14.25" customHeight="1">
      <c r="A55" s="3170" t="s">
        <v>853</v>
      </c>
      <c r="B55" s="1215" t="s">
        <v>2829</v>
      </c>
      <c r="C55" s="1215">
        <v>21970</v>
      </c>
      <c r="D55" s="1215">
        <v>20370</v>
      </c>
      <c r="E55" s="1215">
        <v>20180</v>
      </c>
      <c r="F55" s="3157">
        <v>5730</v>
      </c>
      <c r="G55" s="3157">
        <v>13820</v>
      </c>
      <c r="I55" s="972"/>
      <c r="O55" s="3165" t="s">
        <v>2881</v>
      </c>
    </row>
    <row r="56" spans="1:18" ht="14.25" customHeight="1">
      <c r="A56" s="3156" t="s">
        <v>853</v>
      </c>
      <c r="B56" s="3156" t="s">
        <v>975</v>
      </c>
      <c r="C56" s="3156">
        <v>20470</v>
      </c>
      <c r="D56" s="3156">
        <v>20700</v>
      </c>
      <c r="E56" s="3156">
        <v>20380</v>
      </c>
      <c r="F56" s="3162">
        <v>4760</v>
      </c>
      <c r="G56" s="3162">
        <v>14050</v>
      </c>
      <c r="I56" s="972"/>
      <c r="O56" s="3165" t="s">
        <v>2882</v>
      </c>
    </row>
    <row r="57" spans="1:18" ht="14.25" customHeight="1">
      <c r="A57" s="3156" t="s">
        <v>853</v>
      </c>
      <c r="B57" s="3156" t="s">
        <v>985</v>
      </c>
      <c r="C57" s="3156">
        <v>20790</v>
      </c>
      <c r="D57" s="3156">
        <v>21370</v>
      </c>
      <c r="E57" s="3156">
        <v>20890</v>
      </c>
      <c r="F57" s="3162">
        <v>4910</v>
      </c>
      <c r="G57" s="3162">
        <v>14510</v>
      </c>
      <c r="I57" s="972"/>
      <c r="O57" s="3165" t="s">
        <v>2883</v>
      </c>
    </row>
    <row r="58" spans="1:18" ht="14.25" customHeight="1">
      <c r="A58" s="3156" t="s">
        <v>853</v>
      </c>
      <c r="B58" s="3156" t="s">
        <v>994</v>
      </c>
      <c r="C58" s="3156">
        <v>21460</v>
      </c>
      <c r="D58" s="3156">
        <v>20920</v>
      </c>
      <c r="E58" s="3156">
        <v>23410</v>
      </c>
      <c r="F58" s="3162">
        <v>5100</v>
      </c>
      <c r="G58" s="3162">
        <v>14200</v>
      </c>
      <c r="I58" s="972"/>
      <c r="O58" s="3165" t="s">
        <v>2884</v>
      </c>
    </row>
    <row r="59" spans="1:18" ht="14.25" customHeight="1">
      <c r="A59" s="3156" t="s">
        <v>853</v>
      </c>
      <c r="B59" s="3156" t="s">
        <v>1004</v>
      </c>
      <c r="C59" s="3156">
        <v>21000</v>
      </c>
      <c r="D59" s="3156">
        <v>21550</v>
      </c>
      <c r="E59" s="3156">
        <v>21150</v>
      </c>
      <c r="F59" s="3162">
        <v>5250</v>
      </c>
      <c r="G59" s="3162">
        <v>14630</v>
      </c>
      <c r="I59" s="972"/>
      <c r="O59" s="3165" t="s">
        <v>2885</v>
      </c>
    </row>
    <row r="60" spans="1:18" ht="14.25" customHeight="1">
      <c r="A60" s="3156" t="s">
        <v>853</v>
      </c>
      <c r="B60" s="3156" t="s">
        <v>1011</v>
      </c>
      <c r="C60" s="3156">
        <v>21640</v>
      </c>
      <c r="D60" s="3156">
        <v>21260</v>
      </c>
      <c r="E60" s="3156">
        <v>24040</v>
      </c>
      <c r="F60" s="3162">
        <v>4470</v>
      </c>
      <c r="G60" s="3162">
        <v>14430</v>
      </c>
      <c r="I60" s="972"/>
      <c r="O60" s="3165" t="s">
        <v>2886</v>
      </c>
    </row>
    <row r="61" spans="1:18" ht="14.25" customHeight="1">
      <c r="A61" s="3156" t="s">
        <v>853</v>
      </c>
      <c r="B61" s="3156" t="s">
        <v>1017</v>
      </c>
      <c r="C61" s="3156">
        <v>21330</v>
      </c>
      <c r="D61" s="3156">
        <v>18640</v>
      </c>
      <c r="E61" s="3156">
        <v>21190</v>
      </c>
      <c r="F61" s="3162">
        <v>4180</v>
      </c>
      <c r="G61" s="3164">
        <v>12650</v>
      </c>
      <c r="I61" s="972"/>
      <c r="O61" s="3165" t="s">
        <v>2887</v>
      </c>
    </row>
    <row r="62" spans="1:18" ht="14.25" customHeight="1">
      <c r="A62" s="3156" t="s">
        <v>853</v>
      </c>
      <c r="B62" s="3156" t="s">
        <v>1024</v>
      </c>
      <c r="C62" s="3156">
        <v>18710</v>
      </c>
      <c r="D62" s="3156">
        <v>19400</v>
      </c>
      <c r="E62" s="3156">
        <v>23750</v>
      </c>
      <c r="F62" s="3162">
        <v>4860</v>
      </c>
      <c r="G62" s="3164">
        <v>13170</v>
      </c>
      <c r="I62" s="972"/>
      <c r="O62" s="3165" t="s">
        <v>2888</v>
      </c>
    </row>
    <row r="63" spans="1:18" ht="14.25" customHeight="1">
      <c r="A63" s="3156" t="s">
        <v>853</v>
      </c>
      <c r="B63" s="3156" t="s">
        <v>1034</v>
      </c>
      <c r="C63" s="3156">
        <v>19480</v>
      </c>
      <c r="D63" s="3156">
        <v>16830</v>
      </c>
      <c r="E63" s="3156">
        <v>21590</v>
      </c>
      <c r="F63" s="3162">
        <v>4560</v>
      </c>
      <c r="G63" s="3164">
        <v>11420</v>
      </c>
      <c r="I63" s="972"/>
      <c r="O63" s="3165" t="s">
        <v>2889</v>
      </c>
    </row>
    <row r="64" spans="1:18" ht="14.25" customHeight="1">
      <c r="A64" s="3156" t="s">
        <v>853</v>
      </c>
      <c r="B64" s="3156" t="s">
        <v>1043</v>
      </c>
      <c r="C64" s="3156">
        <v>16920</v>
      </c>
      <c r="D64" s="3156">
        <v>19190</v>
      </c>
      <c r="E64" s="3156">
        <v>22200</v>
      </c>
      <c r="F64" s="3162">
        <v>4390</v>
      </c>
      <c r="G64" s="3164">
        <v>13030</v>
      </c>
      <c r="I64" s="972"/>
      <c r="O64" s="3165" t="s">
        <v>2890</v>
      </c>
    </row>
    <row r="65" spans="1:21" s="961" customFormat="1" ht="14.25" customHeight="1">
      <c r="A65" s="3156" t="s">
        <v>853</v>
      </c>
      <c r="B65" s="3156" t="s">
        <v>1050</v>
      </c>
      <c r="C65" s="3156">
        <v>19290</v>
      </c>
      <c r="D65" s="3156">
        <v>17020</v>
      </c>
      <c r="E65" s="3156">
        <v>19880</v>
      </c>
      <c r="F65" s="3162">
        <v>4070</v>
      </c>
      <c r="G65" s="3162">
        <v>11550</v>
      </c>
      <c r="I65" s="972"/>
      <c r="J65" s="3191"/>
      <c r="K65" s="3191"/>
      <c r="L65" s="3191"/>
      <c r="M65" s="3191"/>
      <c r="N65" s="3191"/>
      <c r="O65" s="3191"/>
      <c r="P65" s="3191"/>
      <c r="Q65" s="3191"/>
      <c r="R65" s="3191"/>
      <c r="S65" s="3191"/>
      <c r="T65" s="3191"/>
      <c r="U65" s="3191"/>
    </row>
    <row r="66" spans="1:21" s="961" customFormat="1" ht="14.25" customHeight="1">
      <c r="A66" s="3156" t="s">
        <v>853</v>
      </c>
      <c r="B66" s="3156" t="s">
        <v>1057</v>
      </c>
      <c r="C66" s="3156">
        <v>17090</v>
      </c>
      <c r="D66" s="3156">
        <v>18340</v>
      </c>
      <c r="E66" s="3156">
        <v>21830</v>
      </c>
      <c r="F66" s="3162">
        <v>4690</v>
      </c>
      <c r="G66" s="3162">
        <v>12450</v>
      </c>
      <c r="I66" s="972"/>
      <c r="J66" s="3191"/>
      <c r="K66" s="3191"/>
      <c r="L66" s="3191"/>
      <c r="M66" s="3191"/>
      <c r="N66" s="3191"/>
      <c r="O66" s="3191"/>
      <c r="P66" s="3191"/>
      <c r="Q66" s="3191"/>
      <c r="R66" s="3191"/>
      <c r="S66" s="3191"/>
      <c r="T66" s="3191"/>
      <c r="U66" s="3191"/>
    </row>
    <row r="67" spans="1:21" s="961" customFormat="1" ht="14.25" customHeight="1">
      <c r="A67" s="3156" t="s">
        <v>853</v>
      </c>
      <c r="B67" s="3156" t="s">
        <v>1064</v>
      </c>
      <c r="C67" s="3156">
        <v>18420</v>
      </c>
      <c r="D67" s="3156">
        <v>16360</v>
      </c>
      <c r="E67" s="3156">
        <v>20020</v>
      </c>
      <c r="F67" s="3162">
        <v>5150</v>
      </c>
      <c r="G67" s="3162">
        <v>11110</v>
      </c>
      <c r="I67" s="972"/>
      <c r="J67" s="3191"/>
      <c r="K67" s="3191"/>
      <c r="L67" s="3191"/>
      <c r="M67" s="3191"/>
      <c r="N67" s="3191"/>
      <c r="O67" s="3191"/>
      <c r="P67" s="3191"/>
      <c r="Q67" s="3191"/>
      <c r="R67" s="3191"/>
      <c r="S67" s="3191"/>
      <c r="T67" s="3191"/>
      <c r="U67" s="3191"/>
    </row>
    <row r="68" spans="1:21" s="961" customFormat="1" ht="14.25" customHeight="1">
      <c r="A68" s="3156" t="s">
        <v>853</v>
      </c>
      <c r="B68" s="3156" t="s">
        <v>1072</v>
      </c>
      <c r="C68" s="3156">
        <v>16450</v>
      </c>
      <c r="D68" s="3156">
        <v>18430</v>
      </c>
      <c r="E68" s="3156">
        <v>21010</v>
      </c>
      <c r="F68" s="3162">
        <v>4720</v>
      </c>
      <c r="G68" s="3162">
        <v>12510</v>
      </c>
      <c r="I68" s="972"/>
      <c r="J68" s="3191"/>
      <c r="K68" s="3191"/>
      <c r="L68" s="3191"/>
      <c r="M68" s="3191"/>
      <c r="N68" s="3191"/>
      <c r="O68" s="3191"/>
      <c r="P68" s="3191"/>
      <c r="Q68" s="3191"/>
      <c r="R68" s="3191"/>
      <c r="S68" s="3191"/>
      <c r="T68" s="3191"/>
      <c r="U68" s="3191"/>
    </row>
    <row r="69" spans="1:21" s="961" customFormat="1" ht="14.25" customHeight="1">
      <c r="A69" s="3156" t="s">
        <v>853</v>
      </c>
      <c r="B69" s="3156" t="s">
        <v>1080</v>
      </c>
      <c r="C69" s="3156">
        <v>18510</v>
      </c>
      <c r="D69" s="3156">
        <v>16300</v>
      </c>
      <c r="E69" s="3156">
        <v>18830</v>
      </c>
      <c r="F69" s="3162">
        <v>5400</v>
      </c>
      <c r="G69" s="3162">
        <v>11070</v>
      </c>
      <c r="I69" s="972"/>
      <c r="J69" s="3191"/>
      <c r="K69" s="3191"/>
      <c r="L69" s="3191"/>
      <c r="M69" s="3191"/>
      <c r="N69" s="3191"/>
      <c r="O69" s="3191"/>
      <c r="P69" s="3191"/>
      <c r="Q69" s="3191"/>
      <c r="R69" s="3191"/>
      <c r="S69" s="3191"/>
      <c r="T69" s="3191"/>
      <c r="U69" s="3191"/>
    </row>
    <row r="70" spans="1:21" s="961" customFormat="1" ht="14.25" customHeight="1">
      <c r="A70" s="3156" t="s">
        <v>853</v>
      </c>
      <c r="B70" s="3156" t="s">
        <v>1085</v>
      </c>
      <c r="C70" s="3156">
        <v>16370</v>
      </c>
      <c r="D70" s="3156">
        <v>18620</v>
      </c>
      <c r="E70" s="3156">
        <v>21100</v>
      </c>
      <c r="F70" s="3162">
        <v>5700</v>
      </c>
      <c r="G70" s="3162">
        <v>12640</v>
      </c>
      <c r="I70" s="972"/>
      <c r="J70" s="3191"/>
      <c r="K70" s="3191"/>
      <c r="L70" s="3191"/>
      <c r="M70" s="3191"/>
      <c r="N70" s="3191"/>
      <c r="O70" s="3191"/>
      <c r="P70" s="3191"/>
      <c r="Q70" s="3191"/>
      <c r="R70" s="3191"/>
      <c r="S70" s="3191"/>
      <c r="T70" s="3191"/>
      <c r="U70" s="3191"/>
    </row>
    <row r="71" spans="1:21" s="961" customFormat="1" ht="14.25" customHeight="1">
      <c r="A71" s="3156" t="s">
        <v>853</v>
      </c>
      <c r="B71" s="3156" t="s">
        <v>1094</v>
      </c>
      <c r="C71" s="3156">
        <v>18700</v>
      </c>
      <c r="D71" s="3156">
        <v>16290</v>
      </c>
      <c r="E71" s="3156">
        <v>18760</v>
      </c>
      <c r="F71" s="3162">
        <v>4780</v>
      </c>
      <c r="G71" s="3162">
        <v>11050</v>
      </c>
      <c r="I71" s="972"/>
      <c r="J71" s="3191"/>
      <c r="K71" s="3191"/>
      <c r="L71" s="3191"/>
      <c r="M71" s="3191"/>
      <c r="N71" s="3191"/>
      <c r="O71" s="3191"/>
      <c r="P71" s="3191"/>
      <c r="Q71" s="3191"/>
      <c r="R71" s="3191"/>
      <c r="S71" s="3191"/>
      <c r="T71" s="3191"/>
      <c r="U71" s="3191"/>
    </row>
    <row r="72" spans="1:21" s="961" customFormat="1" ht="14.25" customHeight="1">
      <c r="A72" s="3156" t="s">
        <v>853</v>
      </c>
      <c r="B72" s="3156" t="s">
        <v>1101</v>
      </c>
      <c r="C72" s="3156">
        <v>16340</v>
      </c>
      <c r="D72" s="3156">
        <v>17520</v>
      </c>
      <c r="E72" s="3156">
        <v>21170</v>
      </c>
      <c r="F72" s="3162"/>
      <c r="G72" s="3162">
        <v>11900</v>
      </c>
      <c r="I72" s="972"/>
      <c r="J72" s="3191"/>
      <c r="K72" s="3191"/>
      <c r="L72" s="3191"/>
      <c r="M72" s="3191"/>
      <c r="N72" s="3191"/>
      <c r="O72" s="3191"/>
      <c r="P72" s="3191"/>
      <c r="Q72" s="3191"/>
      <c r="R72" s="3191"/>
      <c r="S72" s="3191"/>
      <c r="T72" s="3191"/>
      <c r="U72" s="3191"/>
    </row>
    <row r="73" spans="1:21" s="961" customFormat="1" ht="14.25" customHeight="1">
      <c r="A73" s="3156" t="s">
        <v>853</v>
      </c>
      <c r="B73" s="3156" t="s">
        <v>1109</v>
      </c>
      <c r="C73" s="3156">
        <v>17610</v>
      </c>
      <c r="D73" s="3156">
        <v>18520</v>
      </c>
      <c r="E73" s="3156">
        <v>18720</v>
      </c>
      <c r="F73" s="3162"/>
      <c r="G73" s="3162">
        <v>12570</v>
      </c>
      <c r="I73" s="972"/>
      <c r="J73" s="3191"/>
      <c r="K73" s="3191"/>
      <c r="L73" s="3191"/>
      <c r="M73" s="3191"/>
      <c r="N73" s="3191"/>
      <c r="O73" s="3191"/>
      <c r="P73" s="3191"/>
      <c r="Q73" s="3191"/>
      <c r="R73" s="3191"/>
      <c r="S73" s="3191"/>
      <c r="T73" s="3191"/>
      <c r="U73" s="3191"/>
    </row>
    <row r="74" spans="1:21" s="961" customFormat="1" ht="14.25" customHeight="1">
      <c r="A74" s="3156" t="s">
        <v>853</v>
      </c>
      <c r="B74" s="3156" t="s">
        <v>1116</v>
      </c>
      <c r="C74" s="3156">
        <v>18600</v>
      </c>
      <c r="D74" s="3156">
        <v>16480</v>
      </c>
      <c r="E74" s="3156">
        <v>20100</v>
      </c>
      <c r="F74" s="3162"/>
      <c r="G74" s="3162">
        <v>11190</v>
      </c>
      <c r="I74" s="972"/>
      <c r="J74" s="3191"/>
      <c r="K74" s="3191"/>
      <c r="L74" s="3191"/>
      <c r="M74" s="3191"/>
      <c r="N74" s="3191"/>
      <c r="O74" s="3191"/>
      <c r="P74" s="3191"/>
      <c r="Q74" s="3191"/>
      <c r="R74" s="3191"/>
      <c r="S74" s="3191"/>
      <c r="T74" s="3191"/>
      <c r="U74" s="3191"/>
    </row>
    <row r="75" spans="1:21" s="961" customFormat="1" ht="14.25" customHeight="1">
      <c r="A75" s="3156" t="s">
        <v>853</v>
      </c>
      <c r="B75" s="3156" t="s">
        <v>1120</v>
      </c>
      <c r="C75" s="3156">
        <v>16570</v>
      </c>
      <c r="D75" s="3156">
        <v>17530</v>
      </c>
      <c r="E75" s="3156">
        <v>21030</v>
      </c>
      <c r="F75" s="3162"/>
      <c r="G75" s="3169">
        <v>11900</v>
      </c>
      <c r="I75" s="972"/>
      <c r="J75" s="3191"/>
      <c r="K75" s="3191"/>
      <c r="L75" s="3191"/>
      <c r="M75" s="3191"/>
      <c r="N75" s="3191"/>
      <c r="O75" s="3191"/>
      <c r="P75" s="3191"/>
      <c r="Q75" s="3191"/>
      <c r="R75" s="3191"/>
      <c r="S75" s="3191"/>
      <c r="T75" s="3191"/>
      <c r="U75" s="3191"/>
    </row>
    <row r="76" spans="1:21" s="961" customFormat="1" ht="14.25" customHeight="1">
      <c r="A76" s="3156" t="s">
        <v>853</v>
      </c>
      <c r="B76" s="1215" t="s">
        <v>1127</v>
      </c>
      <c r="C76" s="1215">
        <v>17610</v>
      </c>
      <c r="D76" s="1215">
        <v>20800</v>
      </c>
      <c r="E76" s="1215">
        <v>18920</v>
      </c>
      <c r="F76" s="3157"/>
      <c r="G76" s="3157">
        <v>14120</v>
      </c>
      <c r="I76" s="972"/>
      <c r="J76" s="3191"/>
      <c r="K76" s="3191"/>
      <c r="L76" s="3191"/>
      <c r="M76" s="3191"/>
      <c r="N76" s="3191"/>
      <c r="O76" s="3191"/>
      <c r="P76" s="3191"/>
      <c r="Q76" s="3191"/>
      <c r="R76" s="3191"/>
      <c r="S76" s="3191"/>
      <c r="T76" s="3191"/>
      <c r="U76" s="3191"/>
    </row>
    <row r="77" spans="1:21" s="961" customFormat="1" ht="14.25" customHeight="1">
      <c r="A77" s="3156" t="s">
        <v>853</v>
      </c>
      <c r="B77" s="3156" t="s">
        <v>1130</v>
      </c>
      <c r="C77" s="3156">
        <v>20890</v>
      </c>
      <c r="D77" s="3156">
        <v>19740</v>
      </c>
      <c r="E77" s="3156">
        <v>20110</v>
      </c>
      <c r="F77" s="3162"/>
      <c r="G77" s="3162">
        <v>13400</v>
      </c>
      <c r="I77" s="972"/>
      <c r="J77" s="3191"/>
      <c r="K77" s="3191"/>
      <c r="L77" s="3191"/>
      <c r="M77" s="3191"/>
      <c r="N77" s="3191"/>
      <c r="O77" s="3191"/>
      <c r="P77" s="3191"/>
      <c r="Q77" s="3191"/>
      <c r="R77" s="3191"/>
      <c r="S77" s="3191"/>
      <c r="T77" s="3191"/>
      <c r="U77" s="3191"/>
    </row>
    <row r="78" spans="1:21" s="961" customFormat="1" ht="14.25" customHeight="1">
      <c r="A78" s="3156" t="s">
        <v>853</v>
      </c>
      <c r="B78" s="3156" t="s">
        <v>2830</v>
      </c>
      <c r="C78" s="3156">
        <v>19820</v>
      </c>
      <c r="D78" s="3156">
        <v>19780</v>
      </c>
      <c r="E78" s="3156">
        <v>18560</v>
      </c>
      <c r="F78" s="3162"/>
      <c r="G78" s="3162">
        <v>13430</v>
      </c>
      <c r="I78" s="972"/>
      <c r="J78" s="3191"/>
      <c r="K78" s="3191"/>
      <c r="L78" s="3191"/>
      <c r="M78" s="3191"/>
      <c r="N78" s="3191"/>
      <c r="O78" s="3191"/>
      <c r="P78" s="3191"/>
      <c r="Q78" s="3191"/>
      <c r="R78" s="3191"/>
      <c r="S78" s="3191"/>
      <c r="T78" s="3191"/>
      <c r="U78" s="3191"/>
    </row>
    <row r="79" spans="1:21" s="961" customFormat="1" ht="14.25" customHeight="1">
      <c r="A79" s="3156" t="s">
        <v>853</v>
      </c>
      <c r="B79" s="3156" t="s">
        <v>2831</v>
      </c>
      <c r="C79" s="3156">
        <v>21660</v>
      </c>
      <c r="D79" s="3156">
        <v>18000</v>
      </c>
      <c r="E79" s="3156">
        <v>22570</v>
      </c>
      <c r="F79" s="3162"/>
      <c r="G79" s="3162">
        <v>12220</v>
      </c>
      <c r="I79" s="972"/>
      <c r="J79" s="3191"/>
      <c r="K79" s="3191"/>
      <c r="L79" s="3191"/>
      <c r="M79" s="3191"/>
      <c r="N79" s="3191"/>
      <c r="O79" s="3191"/>
      <c r="P79" s="3191"/>
      <c r="Q79" s="3191"/>
      <c r="R79" s="3191"/>
      <c r="S79" s="3191"/>
      <c r="T79" s="3191"/>
      <c r="U79" s="3191"/>
    </row>
    <row r="80" spans="1:21" s="961" customFormat="1" ht="14.25" customHeight="1">
      <c r="A80" s="3156" t="s">
        <v>853</v>
      </c>
      <c r="B80" s="3156" t="s">
        <v>2832</v>
      </c>
      <c r="C80" s="3156">
        <v>19850</v>
      </c>
      <c r="D80" s="3156"/>
      <c r="E80" s="3156">
        <v>21700</v>
      </c>
      <c r="F80" s="3162"/>
      <c r="G80" s="3162"/>
      <c r="I80" s="972"/>
      <c r="J80" s="3191"/>
      <c r="K80" s="3191"/>
      <c r="L80" s="3191"/>
      <c r="M80" s="3191"/>
      <c r="N80" s="3191"/>
      <c r="O80" s="3191"/>
      <c r="P80" s="3191"/>
      <c r="Q80" s="3191"/>
      <c r="R80" s="3191"/>
      <c r="S80" s="3191"/>
      <c r="T80" s="3191"/>
      <c r="U80" s="3191"/>
    </row>
    <row r="81" spans="1:21" s="961" customFormat="1" ht="14.25" customHeight="1">
      <c r="A81" s="3156" t="s">
        <v>853</v>
      </c>
      <c r="B81" s="3156" t="s">
        <v>2833</v>
      </c>
      <c r="C81" s="3156">
        <v>18080</v>
      </c>
      <c r="D81" s="3156"/>
      <c r="E81" s="3156">
        <v>20900</v>
      </c>
      <c r="F81" s="3162"/>
      <c r="G81" s="3162"/>
      <c r="I81" s="972"/>
      <c r="J81" s="3191"/>
      <c r="K81" s="3191"/>
      <c r="L81" s="3191"/>
      <c r="M81" s="3191"/>
      <c r="N81" s="3191"/>
      <c r="O81" s="3191"/>
      <c r="P81" s="3191"/>
      <c r="Q81" s="3191"/>
      <c r="R81" s="3191"/>
      <c r="S81" s="3191"/>
      <c r="T81" s="3191"/>
      <c r="U81" s="3191"/>
    </row>
    <row r="82" spans="1:21" s="961" customFormat="1" ht="14.25" customHeight="1">
      <c r="A82" s="3156" t="s">
        <v>853</v>
      </c>
      <c r="B82" s="3156" t="s">
        <v>2834</v>
      </c>
      <c r="C82" s="3156"/>
      <c r="D82" s="3156"/>
      <c r="E82" s="3156">
        <v>20840</v>
      </c>
      <c r="F82" s="3162"/>
      <c r="G82" s="3162"/>
      <c r="I82" s="972"/>
      <c r="J82" s="3191"/>
      <c r="K82" s="3191"/>
      <c r="L82" s="3191"/>
      <c r="M82" s="3191"/>
      <c r="N82" s="3191"/>
      <c r="O82" s="3191"/>
      <c r="P82" s="3191"/>
      <c r="Q82" s="3191"/>
      <c r="R82" s="3191"/>
      <c r="S82" s="3191"/>
      <c r="T82" s="3191"/>
      <c r="U82" s="3191"/>
    </row>
    <row r="83" spans="1:21" s="961" customFormat="1" ht="14.25" customHeight="1">
      <c r="A83" s="3156" t="s">
        <v>853</v>
      </c>
      <c r="B83" s="3156" t="s">
        <v>2835</v>
      </c>
      <c r="C83" s="3156"/>
      <c r="D83" s="3156"/>
      <c r="E83" s="3156"/>
      <c r="F83" s="3162">
        <v>4770</v>
      </c>
      <c r="G83" s="3162"/>
      <c r="I83" s="972"/>
      <c r="J83" s="3191"/>
      <c r="K83" s="3191"/>
      <c r="L83" s="3191"/>
      <c r="M83" s="3191"/>
      <c r="N83" s="3191"/>
      <c r="O83" s="3191"/>
      <c r="P83" s="3191"/>
      <c r="Q83" s="3191"/>
      <c r="R83" s="3191"/>
      <c r="S83" s="3191"/>
      <c r="T83" s="3191"/>
      <c r="U83" s="3191"/>
    </row>
    <row r="84" spans="1:21" s="961" customFormat="1" ht="14.25" customHeight="1">
      <c r="A84" s="3156" t="s">
        <v>853</v>
      </c>
      <c r="B84" s="3156" t="s">
        <v>2836</v>
      </c>
      <c r="C84" s="3156"/>
      <c r="D84" s="3156"/>
      <c r="E84" s="3156"/>
      <c r="F84" s="3162">
        <v>4600</v>
      </c>
      <c r="G84" s="3162"/>
      <c r="I84" s="972"/>
      <c r="J84" s="3191"/>
      <c r="K84" s="3191"/>
      <c r="L84" s="3191"/>
      <c r="M84" s="3191"/>
      <c r="N84" s="3191"/>
      <c r="O84" s="3191"/>
      <c r="P84" s="3191"/>
      <c r="Q84" s="3191"/>
      <c r="R84" s="3191"/>
      <c r="S84" s="3191"/>
      <c r="T84" s="3191"/>
      <c r="U84" s="3191"/>
    </row>
    <row r="85" spans="1:21" s="961" customFormat="1" ht="14.25" customHeight="1">
      <c r="A85" s="3156" t="s">
        <v>853</v>
      </c>
      <c r="B85" s="1213" t="s">
        <v>2837</v>
      </c>
      <c r="C85" s="1213"/>
      <c r="D85" s="1213"/>
      <c r="E85" s="1213"/>
      <c r="F85" s="3167">
        <v>4680</v>
      </c>
      <c r="G85" s="3167"/>
      <c r="I85" s="972"/>
      <c r="J85" s="3191"/>
      <c r="K85" s="3191"/>
      <c r="L85" s="3191"/>
      <c r="M85" s="3191"/>
      <c r="N85" s="3191"/>
      <c r="O85" s="3191"/>
      <c r="P85" s="3191"/>
      <c r="Q85" s="3191"/>
      <c r="R85" s="3191"/>
      <c r="S85" s="3191"/>
      <c r="T85" s="3191"/>
      <c r="U85" s="3191"/>
    </row>
    <row r="86" spans="1:21" s="961" customFormat="1" ht="14.25" customHeight="1" thickBot="1">
      <c r="A86" s="3171" t="s">
        <v>853</v>
      </c>
      <c r="B86" s="3159" t="s">
        <v>2838</v>
      </c>
      <c r="C86" s="3159">
        <v>16610</v>
      </c>
      <c r="D86" s="3159">
        <v>16540</v>
      </c>
      <c r="E86" s="3159">
        <v>18850</v>
      </c>
      <c r="F86" s="3160"/>
      <c r="G86" s="3172">
        <v>11220</v>
      </c>
      <c r="I86" s="972"/>
      <c r="J86" s="3191"/>
      <c r="K86" s="3191"/>
      <c r="L86" s="3191"/>
      <c r="M86" s="3191"/>
      <c r="N86" s="3191"/>
      <c r="O86" s="3191"/>
      <c r="P86" s="3191"/>
      <c r="Q86" s="3191"/>
      <c r="R86" s="3191"/>
      <c r="S86" s="3191"/>
      <c r="T86" s="3191"/>
      <c r="U86" s="3191"/>
    </row>
    <row r="87" spans="1:21" s="961" customFormat="1" ht="14.25" customHeight="1">
      <c r="A87" s="3170" t="s">
        <v>1152</v>
      </c>
      <c r="B87" s="1215" t="s">
        <v>2839</v>
      </c>
      <c r="C87" s="1215">
        <v>15240</v>
      </c>
      <c r="D87" s="1215">
        <v>15170</v>
      </c>
      <c r="E87" s="1215">
        <v>18260</v>
      </c>
      <c r="F87" s="3157">
        <v>3830</v>
      </c>
      <c r="G87" s="3173">
        <v>10020</v>
      </c>
      <c r="I87" s="972"/>
      <c r="J87" s="3191"/>
      <c r="K87" s="3191"/>
      <c r="L87" s="3191"/>
      <c r="M87" s="3191"/>
      <c r="N87" s="3191"/>
      <c r="O87" s="3191"/>
      <c r="P87" s="3191"/>
      <c r="Q87" s="3191"/>
      <c r="R87" s="3191"/>
      <c r="S87" s="3191"/>
      <c r="T87" s="3191"/>
      <c r="U87" s="3191"/>
    </row>
    <row r="88" spans="1:21" s="961" customFormat="1" ht="14.25" customHeight="1">
      <c r="A88" s="3156" t="s">
        <v>1152</v>
      </c>
      <c r="B88" s="3156" t="s">
        <v>976</v>
      </c>
      <c r="C88" s="3156">
        <v>17310</v>
      </c>
      <c r="D88" s="3156">
        <v>17220</v>
      </c>
      <c r="E88" s="3156">
        <v>18610</v>
      </c>
      <c r="F88" s="3162">
        <v>3990</v>
      </c>
      <c r="G88" s="3164">
        <v>11380</v>
      </c>
      <c r="I88" s="972"/>
      <c r="J88" s="3191"/>
      <c r="K88" s="3191"/>
      <c r="L88" s="3191"/>
      <c r="M88" s="3191"/>
      <c r="N88" s="3191"/>
      <c r="O88" s="3191"/>
      <c r="P88" s="3191"/>
      <c r="Q88" s="3191"/>
      <c r="R88" s="3191"/>
      <c r="S88" s="3191"/>
      <c r="T88" s="3191"/>
      <c r="U88" s="3191"/>
    </row>
    <row r="89" spans="1:21" s="961" customFormat="1" ht="14.25" customHeight="1">
      <c r="A89" s="3156" t="s">
        <v>1152</v>
      </c>
      <c r="B89" s="3156" t="s">
        <v>986</v>
      </c>
      <c r="C89" s="3156">
        <v>15600</v>
      </c>
      <c r="D89" s="3156">
        <v>15550</v>
      </c>
      <c r="E89" s="3156">
        <v>19200</v>
      </c>
      <c r="F89" s="3162">
        <v>4110</v>
      </c>
      <c r="G89" s="3164">
        <v>10270</v>
      </c>
      <c r="I89" s="972"/>
      <c r="J89" s="3191"/>
      <c r="K89" s="3191"/>
      <c r="L89" s="3191"/>
      <c r="M89" s="3191"/>
      <c r="N89" s="3191"/>
      <c r="O89" s="3191"/>
      <c r="P89" s="3191"/>
      <c r="Q89" s="3191"/>
      <c r="R89" s="3191"/>
      <c r="S89" s="3191"/>
      <c r="T89" s="3191"/>
      <c r="U89" s="3191"/>
    </row>
    <row r="90" spans="1:21" s="961" customFormat="1" ht="14.25" customHeight="1">
      <c r="A90" s="3156" t="s">
        <v>1152</v>
      </c>
      <c r="B90" s="3156" t="s">
        <v>995</v>
      </c>
      <c r="C90" s="3156">
        <v>17330</v>
      </c>
      <c r="D90" s="3156">
        <v>17240</v>
      </c>
      <c r="E90" s="3156">
        <v>18570</v>
      </c>
      <c r="F90" s="3162">
        <v>4070</v>
      </c>
      <c r="G90" s="3164">
        <v>11390</v>
      </c>
      <c r="I90" s="972"/>
      <c r="J90" s="3191"/>
      <c r="K90" s="3191"/>
      <c r="L90" s="3191"/>
      <c r="M90" s="3191"/>
      <c r="N90" s="3191"/>
      <c r="O90" s="3191"/>
      <c r="P90" s="3191"/>
      <c r="Q90" s="3191"/>
      <c r="R90" s="3191"/>
      <c r="S90" s="3191"/>
      <c r="T90" s="3191"/>
      <c r="U90" s="3191"/>
    </row>
    <row r="91" spans="1:21" s="961" customFormat="1" ht="14.25" customHeight="1">
      <c r="A91" s="3156" t="s">
        <v>1152</v>
      </c>
      <c r="B91" s="3156" t="s">
        <v>1005</v>
      </c>
      <c r="C91" s="3156">
        <v>16330</v>
      </c>
      <c r="D91" s="3156">
        <v>16260</v>
      </c>
      <c r="E91" s="3156">
        <v>16800</v>
      </c>
      <c r="F91" s="3162">
        <v>3410</v>
      </c>
      <c r="G91" s="3164">
        <v>10740</v>
      </c>
      <c r="I91" s="972"/>
      <c r="J91" s="3191"/>
      <c r="K91" s="3191"/>
      <c r="L91" s="3191"/>
      <c r="M91" s="3191"/>
      <c r="N91" s="3191"/>
      <c r="O91" s="3191"/>
      <c r="P91" s="3191"/>
      <c r="Q91" s="3191"/>
      <c r="R91" s="3191"/>
      <c r="S91" s="3191"/>
      <c r="T91" s="3191"/>
      <c r="U91" s="3191"/>
    </row>
    <row r="92" spans="1:21" s="961" customFormat="1" ht="14.25" customHeight="1">
      <c r="A92" s="3156" t="s">
        <v>1152</v>
      </c>
      <c r="B92" s="3156" t="s">
        <v>1012</v>
      </c>
      <c r="C92" s="3156">
        <v>15570</v>
      </c>
      <c r="D92" s="3156">
        <v>15500</v>
      </c>
      <c r="E92" s="3156">
        <v>17360</v>
      </c>
      <c r="F92" s="3162">
        <v>3510</v>
      </c>
      <c r="G92" s="3164">
        <v>10240</v>
      </c>
      <c r="I92" s="972"/>
      <c r="J92" s="3191"/>
      <c r="K92" s="3191"/>
      <c r="L92" s="3191"/>
      <c r="M92" s="3191"/>
      <c r="N92" s="3191"/>
      <c r="O92" s="3191"/>
      <c r="P92" s="3191"/>
      <c r="Q92" s="3191"/>
      <c r="R92" s="3191"/>
      <c r="S92" s="3191"/>
      <c r="T92" s="3191"/>
      <c r="U92" s="3191"/>
    </row>
    <row r="93" spans="1:21" s="961" customFormat="1" ht="14.25" customHeight="1">
      <c r="A93" s="3156" t="s">
        <v>1152</v>
      </c>
      <c r="B93" s="3156" t="s">
        <v>1018</v>
      </c>
      <c r="C93" s="3156">
        <v>14000</v>
      </c>
      <c r="D93" s="3156">
        <v>13930</v>
      </c>
      <c r="E93" s="3156">
        <v>18200</v>
      </c>
      <c r="F93" s="3162">
        <v>3640</v>
      </c>
      <c r="G93" s="3164">
        <v>9210</v>
      </c>
      <c r="I93" s="972"/>
      <c r="J93" s="3191"/>
      <c r="K93" s="3191"/>
      <c r="L93" s="3191"/>
      <c r="M93" s="3191"/>
      <c r="N93" s="3191"/>
      <c r="O93" s="3191"/>
      <c r="P93" s="3191"/>
      <c r="Q93" s="3191"/>
      <c r="R93" s="3191"/>
      <c r="S93" s="3191"/>
      <c r="T93" s="3191"/>
      <c r="U93" s="3191"/>
    </row>
    <row r="94" spans="1:21" s="961" customFormat="1" ht="14.25" customHeight="1">
      <c r="A94" s="3156" t="s">
        <v>1152</v>
      </c>
      <c r="B94" s="3156" t="s">
        <v>1025</v>
      </c>
      <c r="C94" s="3156">
        <v>14530</v>
      </c>
      <c r="D94" s="3156">
        <v>14470</v>
      </c>
      <c r="E94" s="3156">
        <v>18240</v>
      </c>
      <c r="F94" s="3162">
        <v>3180</v>
      </c>
      <c r="G94" s="3164">
        <v>9560</v>
      </c>
      <c r="I94" s="972"/>
      <c r="J94" s="3191"/>
      <c r="K94" s="3191"/>
      <c r="L94" s="3191"/>
      <c r="M94" s="3191"/>
      <c r="N94" s="3191"/>
      <c r="O94" s="3191"/>
      <c r="P94" s="3191"/>
      <c r="Q94" s="3191"/>
      <c r="R94" s="3191"/>
      <c r="S94" s="3191"/>
      <c r="T94" s="3191"/>
      <c r="U94" s="3191"/>
    </row>
    <row r="95" spans="1:21" s="961" customFormat="1" ht="14.25" customHeight="1">
      <c r="A95" s="3156" t="s">
        <v>1152</v>
      </c>
      <c r="B95" s="3156" t="s">
        <v>1035</v>
      </c>
      <c r="C95" s="3156">
        <v>17330</v>
      </c>
      <c r="D95" s="3156">
        <v>17260</v>
      </c>
      <c r="E95" s="3156">
        <v>18420</v>
      </c>
      <c r="F95" s="3162">
        <v>3060</v>
      </c>
      <c r="G95" s="3162">
        <v>11410</v>
      </c>
      <c r="I95" s="972"/>
      <c r="J95" s="3191"/>
      <c r="K95" s="3191"/>
      <c r="L95" s="3191"/>
      <c r="M95" s="3191"/>
      <c r="N95" s="3191"/>
      <c r="O95" s="3191"/>
      <c r="P95" s="3191"/>
      <c r="Q95" s="3191"/>
      <c r="R95" s="3191"/>
      <c r="S95" s="3191"/>
      <c r="T95" s="3191"/>
      <c r="U95" s="3191"/>
    </row>
    <row r="96" spans="1:21" s="961" customFormat="1" ht="14.25" customHeight="1">
      <c r="A96" s="3156" t="s">
        <v>1152</v>
      </c>
      <c r="B96" s="3156" t="s">
        <v>1044</v>
      </c>
      <c r="C96" s="3156">
        <v>15030</v>
      </c>
      <c r="D96" s="3156">
        <v>14970</v>
      </c>
      <c r="E96" s="3156">
        <v>17580</v>
      </c>
      <c r="F96" s="3162">
        <v>2970</v>
      </c>
      <c r="G96" s="3162">
        <v>9890</v>
      </c>
      <c r="I96" s="972"/>
      <c r="J96" s="3191"/>
      <c r="K96" s="3191"/>
      <c r="L96" s="3191"/>
      <c r="M96" s="3191"/>
      <c r="N96" s="3191"/>
      <c r="O96" s="3191"/>
      <c r="P96" s="3191"/>
      <c r="Q96" s="3191"/>
      <c r="R96" s="3191"/>
      <c r="S96" s="3191"/>
      <c r="T96" s="3191"/>
      <c r="U96" s="3191"/>
    </row>
    <row r="97" spans="1:21" s="961" customFormat="1" ht="14.25" customHeight="1">
      <c r="A97" s="3156" t="s">
        <v>1152</v>
      </c>
      <c r="B97" s="3156" t="s">
        <v>1051</v>
      </c>
      <c r="C97" s="3156">
        <v>17400</v>
      </c>
      <c r="D97" s="3156">
        <v>17330</v>
      </c>
      <c r="E97" s="3156">
        <v>16430</v>
      </c>
      <c r="F97" s="3162">
        <v>2950</v>
      </c>
      <c r="G97" s="3162">
        <v>11450</v>
      </c>
      <c r="I97" s="972"/>
      <c r="J97" s="3191"/>
      <c r="K97" s="3191"/>
      <c r="L97" s="3191"/>
      <c r="M97" s="3191"/>
      <c r="N97" s="3191"/>
      <c r="O97" s="3191"/>
      <c r="P97" s="3191"/>
      <c r="Q97" s="3191"/>
      <c r="R97" s="3191"/>
      <c r="S97" s="3191"/>
      <c r="T97" s="3191"/>
      <c r="U97" s="3191"/>
    </row>
    <row r="98" spans="1:21" s="961" customFormat="1" ht="14.25" customHeight="1">
      <c r="A98" s="3156" t="s">
        <v>1152</v>
      </c>
      <c r="B98" s="3156" t="s">
        <v>1058</v>
      </c>
      <c r="C98" s="3156">
        <v>15200</v>
      </c>
      <c r="D98" s="3156">
        <v>15120</v>
      </c>
      <c r="E98" s="3156">
        <v>17550</v>
      </c>
      <c r="F98" s="3162">
        <v>3080</v>
      </c>
      <c r="G98" s="3162">
        <v>9990</v>
      </c>
      <c r="I98" s="972"/>
      <c r="J98" s="3191"/>
      <c r="K98" s="3191"/>
      <c r="L98" s="3191"/>
      <c r="M98" s="3191"/>
      <c r="N98" s="3191"/>
      <c r="O98" s="3191"/>
      <c r="P98" s="3191"/>
      <c r="Q98" s="3191"/>
      <c r="R98" s="3191"/>
      <c r="S98" s="3191"/>
      <c r="T98" s="3191"/>
      <c r="U98" s="3191"/>
    </row>
    <row r="99" spans="1:21" s="961" customFormat="1" ht="14.25" customHeight="1">
      <c r="A99" s="3156" t="s">
        <v>1152</v>
      </c>
      <c r="B99" s="3156" t="s">
        <v>1065</v>
      </c>
      <c r="C99" s="3156">
        <v>17520</v>
      </c>
      <c r="D99" s="3156">
        <v>17430</v>
      </c>
      <c r="E99" s="3156">
        <v>16350</v>
      </c>
      <c r="F99" s="3162">
        <v>3260</v>
      </c>
      <c r="G99" s="3162">
        <v>11510</v>
      </c>
      <c r="I99" s="972"/>
      <c r="J99" s="3191"/>
      <c r="K99" s="3191"/>
      <c r="L99" s="3191"/>
      <c r="M99" s="3191"/>
      <c r="N99" s="3191"/>
      <c r="O99" s="3191"/>
      <c r="P99" s="3191"/>
      <c r="Q99" s="3191"/>
      <c r="R99" s="3191"/>
      <c r="S99" s="3191"/>
      <c r="T99" s="3191"/>
      <c r="U99" s="3191"/>
    </row>
    <row r="100" spans="1:21" s="961" customFormat="1" ht="14.25" customHeight="1">
      <c r="A100" s="3156" t="s">
        <v>1152</v>
      </c>
      <c r="B100" s="3156" t="s">
        <v>1073</v>
      </c>
      <c r="C100" s="3156">
        <v>15340</v>
      </c>
      <c r="D100" s="3156">
        <v>15260</v>
      </c>
      <c r="E100" s="3156">
        <v>15930</v>
      </c>
      <c r="F100" s="3162">
        <v>2740</v>
      </c>
      <c r="G100" s="3162">
        <v>10080</v>
      </c>
      <c r="I100" s="972"/>
      <c r="J100" s="3191"/>
      <c r="K100" s="3191"/>
      <c r="L100" s="3191"/>
      <c r="M100" s="3191"/>
      <c r="N100" s="3191"/>
      <c r="O100" s="3191"/>
      <c r="P100" s="3191"/>
      <c r="Q100" s="3191"/>
      <c r="R100" s="3191"/>
      <c r="S100" s="3191"/>
      <c r="T100" s="3191"/>
      <c r="U100" s="3191"/>
    </row>
    <row r="101" spans="1:21" s="961" customFormat="1" ht="14.25" customHeight="1">
      <c r="A101" s="3156" t="s">
        <v>1152</v>
      </c>
      <c r="B101" s="3156" t="s">
        <v>1081</v>
      </c>
      <c r="C101" s="3156">
        <v>14620</v>
      </c>
      <c r="D101" s="3156">
        <v>14560</v>
      </c>
      <c r="E101" s="3156">
        <v>15570</v>
      </c>
      <c r="F101" s="3162">
        <v>3500</v>
      </c>
      <c r="G101" s="3162">
        <v>9630</v>
      </c>
      <c r="I101" s="972"/>
      <c r="J101" s="3191"/>
      <c r="K101" s="3191"/>
      <c r="L101" s="3191"/>
      <c r="M101" s="3191"/>
      <c r="N101" s="3191"/>
      <c r="O101" s="3191"/>
      <c r="P101" s="3191"/>
      <c r="Q101" s="3191"/>
      <c r="R101" s="3191"/>
      <c r="S101" s="3191"/>
      <c r="T101" s="3191"/>
      <c r="U101" s="3191"/>
    </row>
    <row r="102" spans="1:21" s="961" customFormat="1" ht="14.25" customHeight="1">
      <c r="A102" s="3156" t="s">
        <v>1152</v>
      </c>
      <c r="B102" s="3156" t="s">
        <v>1086</v>
      </c>
      <c r="C102" s="3156">
        <v>13680</v>
      </c>
      <c r="D102" s="3156">
        <v>13610</v>
      </c>
      <c r="E102" s="3156">
        <v>15690</v>
      </c>
      <c r="F102" s="3162">
        <v>2870</v>
      </c>
      <c r="G102" s="3162">
        <v>8990</v>
      </c>
      <c r="I102" s="972"/>
      <c r="J102" s="3191"/>
      <c r="K102" s="3191"/>
      <c r="L102" s="3191"/>
      <c r="M102" s="3191"/>
      <c r="N102" s="3191"/>
      <c r="O102" s="3191"/>
      <c r="P102" s="3191"/>
      <c r="Q102" s="3191"/>
      <c r="R102" s="3191"/>
      <c r="S102" s="3191"/>
      <c r="T102" s="3191"/>
      <c r="U102" s="3191"/>
    </row>
    <row r="103" spans="1:21" s="961" customFormat="1" ht="14.25" customHeight="1">
      <c r="A103" s="3156" t="s">
        <v>1152</v>
      </c>
      <c r="B103" s="3156" t="s">
        <v>1095</v>
      </c>
      <c r="C103" s="3156">
        <v>14620</v>
      </c>
      <c r="D103" s="3156">
        <v>14540</v>
      </c>
      <c r="E103" s="3156">
        <v>15240</v>
      </c>
      <c r="F103" s="3162">
        <v>2840</v>
      </c>
      <c r="G103" s="3162">
        <v>9610</v>
      </c>
      <c r="I103" s="972"/>
      <c r="J103" s="3191"/>
      <c r="K103" s="3191"/>
      <c r="L103" s="3191"/>
      <c r="M103" s="3191"/>
      <c r="N103" s="3191"/>
      <c r="O103" s="3191"/>
      <c r="P103" s="3191"/>
      <c r="Q103" s="3191"/>
      <c r="R103" s="3191"/>
      <c r="S103" s="3191"/>
      <c r="T103" s="3191"/>
      <c r="U103" s="3191"/>
    </row>
    <row r="104" spans="1:21" s="961" customFormat="1" ht="14.25" customHeight="1">
      <c r="A104" s="3156" t="s">
        <v>1152</v>
      </c>
      <c r="B104" s="3156" t="s">
        <v>1102</v>
      </c>
      <c r="C104" s="3156">
        <v>13610</v>
      </c>
      <c r="D104" s="3156">
        <v>13540</v>
      </c>
      <c r="E104" s="3156">
        <v>15750</v>
      </c>
      <c r="F104" s="3162">
        <v>2770</v>
      </c>
      <c r="G104" s="3162">
        <v>8940</v>
      </c>
      <c r="I104" s="972"/>
      <c r="J104" s="3191"/>
      <c r="K104" s="3191"/>
      <c r="L104" s="3191"/>
      <c r="M104" s="3191"/>
      <c r="N104" s="3191"/>
      <c r="O104" s="3191"/>
      <c r="P104" s="3191"/>
      <c r="Q104" s="3191"/>
      <c r="R104" s="3191"/>
      <c r="S104" s="3191"/>
      <c r="T104" s="3191"/>
      <c r="U104" s="3191"/>
    </row>
    <row r="105" spans="1:21" s="961" customFormat="1" ht="14.25" customHeight="1">
      <c r="A105" s="3156" t="s">
        <v>1152</v>
      </c>
      <c r="B105" s="3156" t="s">
        <v>1110</v>
      </c>
      <c r="C105" s="3156">
        <v>13310</v>
      </c>
      <c r="D105" s="3156">
        <v>13240</v>
      </c>
      <c r="E105" s="3156">
        <v>16280</v>
      </c>
      <c r="F105" s="3162">
        <v>3210</v>
      </c>
      <c r="G105" s="3162">
        <v>8750</v>
      </c>
      <c r="I105" s="972"/>
      <c r="J105" s="3191"/>
      <c r="K105" s="3191"/>
      <c r="L105" s="3191"/>
      <c r="M105" s="3191"/>
      <c r="N105" s="3191"/>
      <c r="O105" s="3191"/>
      <c r="P105" s="3191"/>
      <c r="Q105" s="3191"/>
      <c r="R105" s="3191"/>
      <c r="S105" s="3191"/>
      <c r="T105" s="3191"/>
      <c r="U105" s="3191"/>
    </row>
    <row r="106" spans="1:21" s="961" customFormat="1" ht="14.25" customHeight="1">
      <c r="A106" s="3156" t="s">
        <v>1152</v>
      </c>
      <c r="B106" s="3156" t="s">
        <v>1117</v>
      </c>
      <c r="C106" s="3156">
        <v>13010</v>
      </c>
      <c r="D106" s="3156">
        <v>12930</v>
      </c>
      <c r="E106" s="3156">
        <v>14960</v>
      </c>
      <c r="F106" s="3162">
        <v>3530</v>
      </c>
      <c r="G106" s="3162">
        <v>8550</v>
      </c>
      <c r="I106" s="972"/>
      <c r="J106" s="3191"/>
      <c r="K106" s="3191"/>
      <c r="L106" s="3191"/>
      <c r="M106" s="3191"/>
      <c r="N106" s="3191"/>
      <c r="O106" s="3191"/>
      <c r="P106" s="3191"/>
      <c r="Q106" s="3191"/>
      <c r="R106" s="3191"/>
      <c r="S106" s="3191"/>
      <c r="T106" s="3191"/>
      <c r="U106" s="3191"/>
    </row>
    <row r="107" spans="1:21" s="961" customFormat="1" ht="14.25" customHeight="1">
      <c r="A107" s="3156" t="s">
        <v>1152</v>
      </c>
      <c r="B107" s="3156" t="s">
        <v>1121</v>
      </c>
      <c r="C107" s="3156">
        <v>13070</v>
      </c>
      <c r="D107" s="3156">
        <v>13000</v>
      </c>
      <c r="E107" s="3156">
        <v>15910</v>
      </c>
      <c r="F107" s="3162">
        <v>3990</v>
      </c>
      <c r="G107" s="3162">
        <v>8580</v>
      </c>
      <c r="I107" s="972"/>
      <c r="J107" s="3191"/>
      <c r="K107" s="3191"/>
      <c r="L107" s="3191"/>
      <c r="M107" s="3191"/>
      <c r="N107" s="3191"/>
      <c r="O107" s="3191"/>
      <c r="P107" s="3191"/>
      <c r="Q107" s="3191"/>
      <c r="R107" s="3191"/>
      <c r="S107" s="3191"/>
      <c r="T107" s="3191"/>
      <c r="U107" s="3191"/>
    </row>
    <row r="108" spans="1:21" s="961" customFormat="1" ht="14.25" customHeight="1">
      <c r="A108" s="3156" t="s">
        <v>1152</v>
      </c>
      <c r="B108" s="3156" t="s">
        <v>1128</v>
      </c>
      <c r="C108" s="3156">
        <v>12640</v>
      </c>
      <c r="D108" s="3156">
        <v>12580</v>
      </c>
      <c r="E108" s="3156">
        <v>15730</v>
      </c>
      <c r="F108" s="3162"/>
      <c r="G108" s="3162">
        <v>8310</v>
      </c>
      <c r="I108" s="972"/>
      <c r="J108" s="3191"/>
      <c r="K108" s="3191"/>
      <c r="L108" s="3191"/>
      <c r="M108" s="3191"/>
      <c r="N108" s="3191"/>
      <c r="O108" s="3191"/>
      <c r="P108" s="3191"/>
      <c r="Q108" s="3191"/>
      <c r="R108" s="3191"/>
      <c r="S108" s="3191"/>
      <c r="T108" s="3191"/>
      <c r="U108" s="3191"/>
    </row>
    <row r="109" spans="1:21" s="961" customFormat="1" ht="14.25" customHeight="1">
      <c r="A109" s="3156" t="s">
        <v>1152</v>
      </c>
      <c r="B109" s="3156" t="s">
        <v>1131</v>
      </c>
      <c r="C109" s="3156">
        <v>13130</v>
      </c>
      <c r="D109" s="3156">
        <v>13070</v>
      </c>
      <c r="E109" s="3156">
        <v>15000</v>
      </c>
      <c r="F109" s="3162"/>
      <c r="G109" s="3169">
        <v>8630</v>
      </c>
      <c r="I109" s="972"/>
      <c r="J109" s="3191"/>
      <c r="K109" s="3191"/>
      <c r="L109" s="3191"/>
      <c r="M109" s="3191"/>
      <c r="N109" s="3191"/>
      <c r="O109" s="3191"/>
      <c r="P109" s="3191"/>
      <c r="Q109" s="3191"/>
      <c r="R109" s="3191"/>
      <c r="S109" s="3191"/>
      <c r="T109" s="3191"/>
      <c r="U109" s="3191"/>
    </row>
    <row r="110" spans="1:21" s="961" customFormat="1" ht="14.25" customHeight="1">
      <c r="A110" s="3156" t="s">
        <v>1152</v>
      </c>
      <c r="B110" s="1215" t="s">
        <v>1133</v>
      </c>
      <c r="C110" s="1215">
        <v>13560</v>
      </c>
      <c r="D110" s="1215">
        <v>13490</v>
      </c>
      <c r="E110" s="1215">
        <v>16300</v>
      </c>
      <c r="F110" s="3157"/>
      <c r="G110" s="3157">
        <v>8920</v>
      </c>
      <c r="I110" s="972"/>
      <c r="J110" s="3191"/>
      <c r="K110" s="3191"/>
      <c r="L110" s="3191"/>
      <c r="M110" s="3191"/>
      <c r="N110" s="3191"/>
      <c r="O110" s="3191"/>
      <c r="P110" s="3191"/>
      <c r="Q110" s="3191"/>
      <c r="R110" s="3191"/>
      <c r="S110" s="3191"/>
      <c r="T110" s="3191"/>
      <c r="U110" s="3191"/>
    </row>
    <row r="111" spans="1:21" s="961" customFormat="1" ht="14.25" customHeight="1">
      <c r="A111" s="3156" t="s">
        <v>1152</v>
      </c>
      <c r="B111" s="3156" t="s">
        <v>1136</v>
      </c>
      <c r="C111" s="3156">
        <v>12440</v>
      </c>
      <c r="D111" s="3156">
        <v>12380</v>
      </c>
      <c r="E111" s="3156">
        <v>17850</v>
      </c>
      <c r="F111" s="3162"/>
      <c r="G111" s="3162">
        <v>8180</v>
      </c>
      <c r="I111" s="972"/>
      <c r="J111" s="3191"/>
      <c r="K111" s="3191"/>
      <c r="L111" s="3191"/>
      <c r="M111" s="3191"/>
      <c r="N111" s="3191"/>
      <c r="O111" s="3191"/>
      <c r="P111" s="3191"/>
      <c r="Q111" s="3191"/>
      <c r="R111" s="3191"/>
      <c r="S111" s="3191"/>
      <c r="T111" s="3191"/>
      <c r="U111" s="3191"/>
    </row>
    <row r="112" spans="1:21" s="961" customFormat="1" ht="14.25" customHeight="1">
      <c r="A112" s="3156" t="s">
        <v>1152</v>
      </c>
      <c r="B112" s="3156" t="s">
        <v>1140</v>
      </c>
      <c r="C112" s="3156">
        <v>13260</v>
      </c>
      <c r="D112" s="3156">
        <v>13180</v>
      </c>
      <c r="E112" s="3156">
        <v>19740</v>
      </c>
      <c r="F112" s="3162"/>
      <c r="G112" s="3162">
        <v>8710</v>
      </c>
      <c r="I112" s="972"/>
      <c r="J112" s="3191"/>
      <c r="K112" s="3191"/>
      <c r="L112" s="3191"/>
      <c r="M112" s="3191"/>
      <c r="N112" s="3191"/>
      <c r="O112" s="3191"/>
      <c r="P112" s="3191"/>
      <c r="Q112" s="3191"/>
      <c r="R112" s="3191"/>
      <c r="S112" s="3191"/>
      <c r="T112" s="3191"/>
      <c r="U112" s="3191"/>
    </row>
    <row r="113" spans="1:21" s="961" customFormat="1" ht="14.25" customHeight="1">
      <c r="A113" s="3156" t="s">
        <v>1152</v>
      </c>
      <c r="B113" s="3156" t="s">
        <v>2840</v>
      </c>
      <c r="C113" s="3156">
        <v>15520</v>
      </c>
      <c r="D113" s="3156">
        <v>15450</v>
      </c>
      <c r="E113" s="3156"/>
      <c r="F113" s="3162"/>
      <c r="G113" s="3162">
        <v>10210</v>
      </c>
      <c r="I113" s="972"/>
      <c r="J113" s="3191"/>
      <c r="K113" s="3191"/>
      <c r="L113" s="3191"/>
      <c r="M113" s="3191"/>
      <c r="N113" s="3191"/>
      <c r="O113" s="3191"/>
      <c r="P113" s="3191"/>
      <c r="Q113" s="3191"/>
      <c r="R113" s="3191"/>
      <c r="S113" s="3191"/>
      <c r="T113" s="3191"/>
      <c r="U113" s="3191"/>
    </row>
    <row r="114" spans="1:21" s="961" customFormat="1" ht="14.25" customHeight="1">
      <c r="A114" s="3156" t="s">
        <v>1152</v>
      </c>
      <c r="B114" s="3156" t="s">
        <v>2841</v>
      </c>
      <c r="C114" s="3156">
        <v>13110</v>
      </c>
      <c r="D114" s="3156">
        <v>13050</v>
      </c>
      <c r="E114" s="3156"/>
      <c r="F114" s="3162"/>
      <c r="G114" s="3162">
        <v>8620</v>
      </c>
      <c r="I114" s="972"/>
      <c r="J114" s="3191"/>
      <c r="K114" s="3191"/>
      <c r="L114" s="3191"/>
      <c r="M114" s="3191"/>
      <c r="N114" s="3191"/>
      <c r="O114" s="3191"/>
      <c r="P114" s="3191"/>
      <c r="Q114" s="3191"/>
      <c r="R114" s="3191"/>
      <c r="S114" s="3191"/>
      <c r="T114" s="3191"/>
      <c r="U114" s="3191"/>
    </row>
    <row r="115" spans="1:21" s="961" customFormat="1" ht="14.25" customHeight="1">
      <c r="A115" s="3156" t="s">
        <v>1152</v>
      </c>
      <c r="B115" s="3156" t="s">
        <v>2842</v>
      </c>
      <c r="C115" s="3156">
        <v>12460</v>
      </c>
      <c r="D115" s="3156">
        <v>12390</v>
      </c>
      <c r="E115" s="3156"/>
      <c r="F115" s="3162"/>
      <c r="G115" s="3162">
        <v>8190</v>
      </c>
      <c r="I115" s="972"/>
      <c r="J115" s="3191"/>
      <c r="K115" s="3191"/>
      <c r="L115" s="3191"/>
      <c r="M115" s="3191"/>
      <c r="N115" s="3191"/>
      <c r="O115" s="3191"/>
      <c r="P115" s="3191"/>
      <c r="Q115" s="3191"/>
      <c r="R115" s="3191"/>
      <c r="S115" s="3191"/>
      <c r="T115" s="3191"/>
      <c r="U115" s="3191"/>
    </row>
    <row r="116" spans="1:21" s="961" customFormat="1" ht="14.25" customHeight="1">
      <c r="A116" s="3156" t="s">
        <v>1152</v>
      </c>
      <c r="B116" s="3156" t="s">
        <v>2843</v>
      </c>
      <c r="C116" s="3156">
        <v>13580</v>
      </c>
      <c r="D116" s="3156">
        <v>13520</v>
      </c>
      <c r="E116" s="3156"/>
      <c r="F116" s="3162"/>
      <c r="G116" s="3162">
        <v>8930</v>
      </c>
      <c r="I116" s="972"/>
      <c r="J116" s="3191"/>
      <c r="K116" s="3191"/>
      <c r="L116" s="3191"/>
      <c r="M116" s="3191"/>
      <c r="N116" s="3191"/>
      <c r="O116" s="3191"/>
      <c r="P116" s="3191"/>
      <c r="Q116" s="3191"/>
      <c r="R116" s="3191"/>
      <c r="S116" s="3191"/>
      <c r="T116" s="3191"/>
      <c r="U116" s="3191"/>
    </row>
    <row r="117" spans="1:21" s="961" customFormat="1" ht="14.25" customHeight="1">
      <c r="A117" s="3156" t="s">
        <v>1152</v>
      </c>
      <c r="B117" s="3156" t="s">
        <v>2844</v>
      </c>
      <c r="C117" s="3156">
        <v>17120</v>
      </c>
      <c r="D117" s="3156">
        <v>17040</v>
      </c>
      <c r="E117" s="3156"/>
      <c r="F117" s="3162"/>
      <c r="G117" s="3162">
        <v>11260</v>
      </c>
      <c r="I117" s="972"/>
      <c r="J117" s="3191"/>
      <c r="K117" s="3191"/>
      <c r="L117" s="3191"/>
      <c r="M117" s="3191"/>
      <c r="N117" s="3191"/>
      <c r="O117" s="3191"/>
      <c r="P117" s="3191"/>
      <c r="Q117" s="3191"/>
      <c r="R117" s="3191"/>
      <c r="S117" s="3191"/>
      <c r="T117" s="3191"/>
      <c r="U117" s="3191"/>
    </row>
    <row r="118" spans="1:21" s="961" customFormat="1" ht="14.25" customHeight="1">
      <c r="A118" s="3156" t="s">
        <v>1152</v>
      </c>
      <c r="B118" s="3156" t="s">
        <v>2845</v>
      </c>
      <c r="C118" s="3156">
        <v>14860</v>
      </c>
      <c r="D118" s="3156">
        <v>14790</v>
      </c>
      <c r="E118" s="3156"/>
      <c r="F118" s="3162"/>
      <c r="G118" s="3162">
        <v>9780</v>
      </c>
      <c r="I118" s="972"/>
      <c r="J118" s="3191"/>
      <c r="K118" s="3191"/>
      <c r="L118" s="3191"/>
      <c r="M118" s="3191"/>
      <c r="N118" s="3191"/>
      <c r="O118" s="3191"/>
      <c r="P118" s="3191"/>
      <c r="Q118" s="3191"/>
      <c r="R118" s="3191"/>
      <c r="S118" s="3191"/>
      <c r="T118" s="3191"/>
      <c r="U118" s="3191"/>
    </row>
    <row r="119" spans="1:21" s="961" customFormat="1" ht="14.25" customHeight="1">
      <c r="A119" s="3156" t="s">
        <v>1152</v>
      </c>
      <c r="B119" s="3156" t="s">
        <v>2846</v>
      </c>
      <c r="C119" s="3156">
        <v>16470</v>
      </c>
      <c r="D119" s="3156">
        <v>16400</v>
      </c>
      <c r="E119" s="3156"/>
      <c r="F119" s="3162"/>
      <c r="G119" s="3162">
        <v>10840</v>
      </c>
      <c r="I119" s="972"/>
      <c r="J119" s="3191"/>
      <c r="K119" s="3191"/>
      <c r="L119" s="3191"/>
      <c r="M119" s="3191"/>
      <c r="N119" s="3191"/>
      <c r="O119" s="3191"/>
      <c r="P119" s="3191"/>
      <c r="Q119" s="3191"/>
      <c r="R119" s="3191"/>
      <c r="S119" s="3191"/>
      <c r="T119" s="3191"/>
      <c r="U119" s="3191"/>
    </row>
    <row r="120" spans="1:21" s="961" customFormat="1" ht="14.25" customHeight="1">
      <c r="A120" s="3156" t="s">
        <v>1152</v>
      </c>
      <c r="B120" s="3156" t="s">
        <v>2847</v>
      </c>
      <c r="C120" s="3156"/>
      <c r="D120" s="3156"/>
      <c r="E120" s="3156"/>
      <c r="F120" s="3162">
        <v>4160</v>
      </c>
      <c r="G120" s="3162"/>
      <c r="I120" s="972"/>
      <c r="J120" s="3191"/>
      <c r="K120" s="3191"/>
      <c r="L120" s="3191"/>
      <c r="M120" s="3191"/>
      <c r="N120" s="3191"/>
      <c r="O120" s="3191"/>
      <c r="P120" s="3191"/>
      <c r="Q120" s="3191"/>
      <c r="R120" s="3191"/>
      <c r="S120" s="3191"/>
      <c r="T120" s="3191"/>
      <c r="U120" s="3191"/>
    </row>
    <row r="121" spans="1:21" s="961" customFormat="1" ht="14.25" customHeight="1">
      <c r="A121" s="3156" t="s">
        <v>1152</v>
      </c>
      <c r="B121" s="3156" t="s">
        <v>2848</v>
      </c>
      <c r="C121" s="3156"/>
      <c r="D121" s="3156"/>
      <c r="E121" s="3156"/>
      <c r="F121" s="3162">
        <v>3880</v>
      </c>
      <c r="G121" s="3162"/>
      <c r="I121" s="972"/>
      <c r="J121" s="3191"/>
      <c r="K121" s="3191"/>
      <c r="L121" s="3191"/>
      <c r="M121" s="3191"/>
      <c r="N121" s="3191"/>
      <c r="O121" s="3191"/>
      <c r="P121" s="3191"/>
      <c r="Q121" s="3191"/>
      <c r="R121" s="3191"/>
      <c r="S121" s="3191"/>
      <c r="T121" s="3191"/>
      <c r="U121" s="3191"/>
    </row>
    <row r="122" spans="1:21" s="961" customFormat="1" ht="14.25" customHeight="1">
      <c r="A122" s="3156" t="s">
        <v>1152</v>
      </c>
      <c r="B122" s="3156" t="s">
        <v>2849</v>
      </c>
      <c r="C122" s="3156">
        <v>13750</v>
      </c>
      <c r="D122" s="3156">
        <v>13680</v>
      </c>
      <c r="E122" s="3156">
        <v>16460</v>
      </c>
      <c r="F122" s="3162">
        <v>2880</v>
      </c>
      <c r="G122" s="3162">
        <v>9040</v>
      </c>
      <c r="I122" s="972"/>
      <c r="J122" s="3191"/>
      <c r="K122" s="3191"/>
      <c r="L122" s="3191"/>
      <c r="M122" s="3191"/>
      <c r="N122" s="3191"/>
      <c r="O122" s="3191"/>
      <c r="P122" s="3191"/>
      <c r="Q122" s="3191"/>
      <c r="R122" s="3191"/>
      <c r="S122" s="3191"/>
      <c r="T122" s="3191"/>
      <c r="U122" s="3191"/>
    </row>
    <row r="123" spans="1:21" s="961" customFormat="1" ht="14.25" customHeight="1">
      <c r="A123" s="3156" t="s">
        <v>1152</v>
      </c>
      <c r="B123" s="3156" t="s">
        <v>2850</v>
      </c>
      <c r="C123" s="3156">
        <v>13590</v>
      </c>
      <c r="D123" s="3156">
        <v>13520</v>
      </c>
      <c r="E123" s="3156">
        <v>16290</v>
      </c>
      <c r="F123" s="3162">
        <v>2790</v>
      </c>
      <c r="G123" s="3162">
        <v>8930</v>
      </c>
      <c r="I123" s="972"/>
      <c r="J123" s="3191"/>
      <c r="K123" s="3191"/>
      <c r="L123" s="3191"/>
      <c r="M123" s="3191"/>
      <c r="N123" s="3191"/>
      <c r="O123" s="3191"/>
      <c r="P123" s="3191"/>
      <c r="Q123" s="3191"/>
      <c r="R123" s="3191"/>
      <c r="S123" s="3191"/>
      <c r="T123" s="3191"/>
      <c r="U123" s="3191"/>
    </row>
    <row r="124" spans="1:21" s="961" customFormat="1" ht="14.25" customHeight="1">
      <c r="A124" s="3156" t="s">
        <v>1152</v>
      </c>
      <c r="B124" s="3156" t="s">
        <v>2851</v>
      </c>
      <c r="C124" s="3156">
        <v>13400</v>
      </c>
      <c r="D124" s="3156">
        <v>13320</v>
      </c>
      <c r="E124" s="3156">
        <v>16100</v>
      </c>
      <c r="F124" s="3162">
        <v>2320</v>
      </c>
      <c r="G124" s="3164">
        <v>8800</v>
      </c>
      <c r="I124" s="972"/>
      <c r="J124" s="3191"/>
      <c r="K124" s="3191"/>
      <c r="L124" s="3191"/>
      <c r="M124" s="3191"/>
      <c r="N124" s="3191"/>
      <c r="O124" s="3191"/>
      <c r="P124" s="3191"/>
      <c r="Q124" s="3191"/>
      <c r="R124" s="3191"/>
      <c r="S124" s="3191"/>
      <c r="T124" s="3191"/>
      <c r="U124" s="3191"/>
    </row>
    <row r="125" spans="1:21" s="961" customFormat="1" ht="14.25" customHeight="1">
      <c r="A125" s="3156" t="s">
        <v>1152</v>
      </c>
      <c r="B125" s="1213" t="s">
        <v>2852</v>
      </c>
      <c r="C125" s="1213">
        <v>12860</v>
      </c>
      <c r="D125" s="1213">
        <v>12790</v>
      </c>
      <c r="E125" s="1213">
        <v>15370</v>
      </c>
      <c r="F125" s="3167">
        <v>2280</v>
      </c>
      <c r="G125" s="3174">
        <v>8450</v>
      </c>
      <c r="I125" s="972"/>
      <c r="J125" s="3191"/>
      <c r="K125" s="3191"/>
      <c r="L125" s="3191"/>
      <c r="M125" s="3191"/>
      <c r="N125" s="3191"/>
      <c r="O125" s="3191"/>
      <c r="P125" s="3191"/>
      <c r="Q125" s="3191"/>
      <c r="R125" s="3191"/>
      <c r="S125" s="3191"/>
      <c r="T125" s="3191"/>
      <c r="U125" s="3191"/>
    </row>
    <row r="126" spans="1:21" s="961" customFormat="1" ht="14.25" customHeight="1" thickBot="1">
      <c r="A126" s="3171" t="s">
        <v>1152</v>
      </c>
      <c r="B126" s="3159" t="s">
        <v>2853</v>
      </c>
      <c r="C126" s="3159">
        <v>12960</v>
      </c>
      <c r="D126" s="3159">
        <v>12890</v>
      </c>
      <c r="E126" s="3159">
        <v>15530</v>
      </c>
      <c r="F126" s="3160">
        <v>2910</v>
      </c>
      <c r="G126" s="3175">
        <v>8520</v>
      </c>
      <c r="I126" s="972"/>
      <c r="J126" s="3191"/>
      <c r="K126" s="3191"/>
      <c r="L126" s="3191"/>
      <c r="M126" s="3191"/>
      <c r="N126" s="3191"/>
      <c r="O126" s="3191"/>
      <c r="P126" s="3191"/>
      <c r="Q126" s="3191"/>
      <c r="R126" s="3191"/>
      <c r="S126" s="3191"/>
      <c r="T126" s="3191"/>
      <c r="U126" s="3191"/>
    </row>
    <row r="127" spans="1:21" s="961" customFormat="1" ht="14.25" customHeight="1">
      <c r="A127" s="3170" t="s">
        <v>1153</v>
      </c>
      <c r="B127" s="1215" t="s">
        <v>2854</v>
      </c>
      <c r="C127" s="1215">
        <v>12280</v>
      </c>
      <c r="D127" s="1215">
        <v>12250</v>
      </c>
      <c r="E127" s="1215">
        <v>15130</v>
      </c>
      <c r="F127" s="3157">
        <v>2710</v>
      </c>
      <c r="G127" s="3173">
        <v>7870</v>
      </c>
      <c r="I127" s="972"/>
      <c r="J127" s="3191"/>
      <c r="K127" s="3191"/>
      <c r="L127" s="3191"/>
      <c r="M127" s="3191"/>
      <c r="N127" s="3191"/>
      <c r="O127" s="3191"/>
      <c r="P127" s="3191"/>
      <c r="Q127" s="3191"/>
      <c r="R127" s="3191"/>
      <c r="S127" s="3191"/>
      <c r="T127" s="3191"/>
      <c r="U127" s="3191"/>
    </row>
    <row r="128" spans="1:21" s="961" customFormat="1" ht="14.25" customHeight="1">
      <c r="A128" s="3156" t="s">
        <v>1153</v>
      </c>
      <c r="B128" s="3156" t="s">
        <v>977</v>
      </c>
      <c r="C128" s="3156">
        <v>13180</v>
      </c>
      <c r="D128" s="3156">
        <v>13150</v>
      </c>
      <c r="E128" s="3156">
        <v>16190</v>
      </c>
      <c r="F128" s="3162">
        <v>2820</v>
      </c>
      <c r="G128" s="3164">
        <v>8460</v>
      </c>
      <c r="I128" s="972"/>
      <c r="J128" s="3191"/>
      <c r="K128" s="3191"/>
      <c r="L128" s="3191"/>
      <c r="M128" s="3191"/>
      <c r="N128" s="3191"/>
      <c r="O128" s="3191"/>
      <c r="P128" s="3191"/>
      <c r="Q128" s="3191"/>
      <c r="R128" s="3191"/>
      <c r="S128" s="3191"/>
      <c r="T128" s="3191"/>
      <c r="U128" s="3191"/>
    </row>
    <row r="129" spans="1:21" s="961" customFormat="1" ht="14.25" customHeight="1">
      <c r="A129" s="3156" t="s">
        <v>1153</v>
      </c>
      <c r="B129" s="3156" t="s">
        <v>987</v>
      </c>
      <c r="C129" s="3156">
        <v>10950</v>
      </c>
      <c r="D129" s="3156">
        <v>10920</v>
      </c>
      <c r="E129" s="3156">
        <v>13820</v>
      </c>
      <c r="F129" s="3162">
        <v>2500</v>
      </c>
      <c r="G129" s="3164">
        <v>7020</v>
      </c>
      <c r="I129" s="972"/>
      <c r="J129" s="3191"/>
      <c r="K129" s="3191"/>
      <c r="L129" s="3191"/>
      <c r="M129" s="3191"/>
      <c r="N129" s="3191"/>
      <c r="O129" s="3191"/>
      <c r="P129" s="3191"/>
      <c r="Q129" s="3191"/>
      <c r="R129" s="3191"/>
      <c r="S129" s="3191"/>
      <c r="T129" s="3191"/>
      <c r="U129" s="3191"/>
    </row>
    <row r="130" spans="1:21" s="961" customFormat="1" ht="14.25" customHeight="1">
      <c r="A130" s="3156" t="s">
        <v>1153</v>
      </c>
      <c r="B130" s="3156" t="s">
        <v>996</v>
      </c>
      <c r="C130" s="3156">
        <v>10910</v>
      </c>
      <c r="D130" s="3156">
        <v>10860</v>
      </c>
      <c r="E130" s="3156">
        <v>13730</v>
      </c>
      <c r="F130" s="3162">
        <v>2760</v>
      </c>
      <c r="G130" s="3164">
        <v>6990</v>
      </c>
      <c r="I130" s="972"/>
      <c r="J130" s="3191"/>
      <c r="K130" s="3191"/>
      <c r="L130" s="3191"/>
      <c r="M130" s="3191"/>
      <c r="N130" s="3191"/>
      <c r="O130" s="3191"/>
      <c r="P130" s="3191"/>
      <c r="Q130" s="3191"/>
      <c r="R130" s="3191"/>
      <c r="S130" s="3191"/>
      <c r="T130" s="3191"/>
      <c r="U130" s="3191"/>
    </row>
    <row r="131" spans="1:21" s="961" customFormat="1" ht="14.25" customHeight="1">
      <c r="A131" s="3156" t="s">
        <v>1153</v>
      </c>
      <c r="B131" s="3156" t="s">
        <v>1006</v>
      </c>
      <c r="C131" s="3156">
        <v>12910</v>
      </c>
      <c r="D131" s="3156">
        <v>12870</v>
      </c>
      <c r="E131" s="3156">
        <v>15720</v>
      </c>
      <c r="F131" s="3162">
        <v>2750</v>
      </c>
      <c r="G131" s="3164">
        <v>8280</v>
      </c>
      <c r="I131" s="972"/>
      <c r="J131" s="3191"/>
      <c r="K131" s="3191"/>
      <c r="L131" s="3191"/>
      <c r="M131" s="3191"/>
      <c r="N131" s="3191"/>
      <c r="O131" s="3191"/>
      <c r="P131" s="3191"/>
      <c r="Q131" s="3191"/>
      <c r="R131" s="3191"/>
      <c r="S131" s="3191"/>
      <c r="T131" s="3191"/>
      <c r="U131" s="3191"/>
    </row>
    <row r="132" spans="1:21" s="961" customFormat="1" ht="14.25" customHeight="1">
      <c r="A132" s="3156" t="s">
        <v>1153</v>
      </c>
      <c r="B132" s="3156" t="s">
        <v>1013</v>
      </c>
      <c r="C132" s="3156">
        <v>11910</v>
      </c>
      <c r="D132" s="3156">
        <v>11860</v>
      </c>
      <c r="E132" s="3156">
        <v>14730</v>
      </c>
      <c r="F132" s="3162">
        <v>2360</v>
      </c>
      <c r="G132" s="3164">
        <v>7630</v>
      </c>
      <c r="I132" s="972"/>
      <c r="J132" s="3191"/>
      <c r="K132" s="3191"/>
      <c r="L132" s="3191"/>
      <c r="M132" s="3191"/>
      <c r="N132" s="3191"/>
      <c r="O132" s="3191"/>
      <c r="P132" s="3191"/>
      <c r="Q132" s="3191"/>
      <c r="R132" s="3191"/>
      <c r="S132" s="3191"/>
      <c r="T132" s="3191"/>
      <c r="U132" s="3191"/>
    </row>
    <row r="133" spans="1:21" s="961" customFormat="1" ht="14.25" customHeight="1">
      <c r="A133" s="3156" t="s">
        <v>1153</v>
      </c>
      <c r="B133" s="3156" t="s">
        <v>1019</v>
      </c>
      <c r="C133" s="3156">
        <v>12270</v>
      </c>
      <c r="D133" s="3156">
        <v>12210</v>
      </c>
      <c r="E133" s="3156">
        <v>15010</v>
      </c>
      <c r="F133" s="3162">
        <v>2580</v>
      </c>
      <c r="G133" s="3164">
        <v>7860</v>
      </c>
      <c r="I133" s="972"/>
      <c r="J133" s="3191"/>
      <c r="K133" s="3191"/>
      <c r="L133" s="3191"/>
      <c r="M133" s="3191"/>
      <c r="N133" s="3191"/>
      <c r="O133" s="3191"/>
      <c r="P133" s="3191"/>
      <c r="Q133" s="3191"/>
      <c r="R133" s="3191"/>
      <c r="S133" s="3191"/>
      <c r="T133" s="3191"/>
      <c r="U133" s="3191"/>
    </row>
    <row r="134" spans="1:21" s="961" customFormat="1" ht="14.25" customHeight="1">
      <c r="A134" s="3156" t="s">
        <v>1153</v>
      </c>
      <c r="B134" s="3156" t="s">
        <v>1026</v>
      </c>
      <c r="C134" s="3156">
        <v>10800</v>
      </c>
      <c r="D134" s="3156">
        <v>10780</v>
      </c>
      <c r="E134" s="3156">
        <v>13640</v>
      </c>
      <c r="F134" s="3162">
        <v>2110</v>
      </c>
      <c r="G134" s="3162">
        <v>6930</v>
      </c>
      <c r="I134" s="972"/>
      <c r="J134" s="3191"/>
      <c r="K134" s="3191"/>
      <c r="L134" s="3191"/>
      <c r="M134" s="3191"/>
      <c r="N134" s="3191"/>
      <c r="O134" s="3191"/>
      <c r="P134" s="3191"/>
      <c r="Q134" s="3191"/>
      <c r="R134" s="3191"/>
      <c r="S134" s="3191"/>
      <c r="T134" s="3191"/>
      <c r="U134" s="3191"/>
    </row>
    <row r="135" spans="1:21" s="961" customFormat="1" ht="14.25" customHeight="1">
      <c r="A135" s="3156" t="s">
        <v>1153</v>
      </c>
      <c r="B135" s="3156" t="s">
        <v>1036</v>
      </c>
      <c r="C135" s="3156">
        <v>10430</v>
      </c>
      <c r="D135" s="3156">
        <v>10390</v>
      </c>
      <c r="E135" s="3156">
        <v>13140</v>
      </c>
      <c r="F135" s="3162">
        <v>2240</v>
      </c>
      <c r="G135" s="3164">
        <v>6680</v>
      </c>
      <c r="I135" s="972"/>
      <c r="J135" s="3191"/>
      <c r="K135" s="3191"/>
      <c r="L135" s="3191"/>
      <c r="M135" s="3191"/>
      <c r="N135" s="3191"/>
      <c r="O135" s="3191"/>
      <c r="P135" s="3191"/>
      <c r="Q135" s="3191"/>
      <c r="R135" s="3191"/>
      <c r="S135" s="3191"/>
      <c r="T135" s="3191"/>
      <c r="U135" s="3191"/>
    </row>
    <row r="136" spans="1:21" s="961" customFormat="1" ht="14.25" customHeight="1">
      <c r="A136" s="3156" t="s">
        <v>1153</v>
      </c>
      <c r="B136" s="3156" t="s">
        <v>1045</v>
      </c>
      <c r="C136" s="3156">
        <v>11930</v>
      </c>
      <c r="D136" s="3156">
        <v>11880</v>
      </c>
      <c r="E136" s="3156">
        <v>14770</v>
      </c>
      <c r="F136" s="3162">
        <v>1970</v>
      </c>
      <c r="G136" s="3164">
        <v>7640</v>
      </c>
      <c r="I136" s="972"/>
      <c r="J136" s="3191"/>
      <c r="K136" s="3191"/>
      <c r="L136" s="3191"/>
      <c r="M136" s="3191"/>
      <c r="N136" s="3191"/>
      <c r="O136" s="3191"/>
      <c r="P136" s="3191"/>
      <c r="Q136" s="3191"/>
      <c r="R136" s="3191"/>
      <c r="S136" s="3191"/>
      <c r="T136" s="3191"/>
      <c r="U136" s="3191"/>
    </row>
    <row r="137" spans="1:21" s="961" customFormat="1" ht="14.25" customHeight="1">
      <c r="A137" s="3156" t="s">
        <v>1153</v>
      </c>
      <c r="B137" s="3156" t="s">
        <v>1052</v>
      </c>
      <c r="C137" s="3156">
        <v>10470</v>
      </c>
      <c r="D137" s="3156">
        <v>10430</v>
      </c>
      <c r="E137" s="3156">
        <v>13190</v>
      </c>
      <c r="F137" s="3162">
        <v>1990</v>
      </c>
      <c r="G137" s="3164">
        <v>6710</v>
      </c>
      <c r="I137" s="972"/>
      <c r="J137" s="3191"/>
      <c r="K137" s="3191"/>
      <c r="L137" s="3191"/>
      <c r="M137" s="3191"/>
      <c r="N137" s="3191"/>
      <c r="O137" s="3191"/>
      <c r="P137" s="3191"/>
      <c r="Q137" s="3191"/>
      <c r="R137" s="3191"/>
      <c r="S137" s="3191"/>
      <c r="T137" s="3191"/>
      <c r="U137" s="3191"/>
    </row>
    <row r="138" spans="1:21" s="961" customFormat="1" ht="14.25" customHeight="1">
      <c r="A138" s="3156" t="s">
        <v>1153</v>
      </c>
      <c r="B138" s="3156" t="s">
        <v>1059</v>
      </c>
      <c r="C138" s="3156">
        <v>10410</v>
      </c>
      <c r="D138" s="3156">
        <v>10380</v>
      </c>
      <c r="E138" s="3156">
        <v>13130</v>
      </c>
      <c r="F138" s="3162">
        <v>2030</v>
      </c>
      <c r="G138" s="3164">
        <v>6680</v>
      </c>
      <c r="I138" s="972"/>
      <c r="J138" s="3191"/>
      <c r="K138" s="3191"/>
      <c r="L138" s="3191"/>
      <c r="M138" s="3191"/>
      <c r="N138" s="3191"/>
      <c r="O138" s="3191"/>
      <c r="P138" s="3191"/>
      <c r="Q138" s="3191"/>
      <c r="R138" s="3191"/>
      <c r="S138" s="3191"/>
      <c r="T138" s="3191"/>
      <c r="U138" s="3191"/>
    </row>
    <row r="139" spans="1:21" s="961" customFormat="1" ht="14.25" customHeight="1">
      <c r="A139" s="3156" t="s">
        <v>1153</v>
      </c>
      <c r="B139" s="3156" t="s">
        <v>1066</v>
      </c>
      <c r="C139" s="3156">
        <v>9460</v>
      </c>
      <c r="D139" s="3156">
        <v>9410</v>
      </c>
      <c r="E139" s="3156">
        <v>12050</v>
      </c>
      <c r="F139" s="3162">
        <v>2140</v>
      </c>
      <c r="G139" s="3162">
        <v>6050</v>
      </c>
      <c r="I139" s="972"/>
      <c r="J139" s="3191"/>
      <c r="K139" s="3191"/>
      <c r="L139" s="3191"/>
      <c r="M139" s="3191"/>
      <c r="N139" s="3191"/>
      <c r="O139" s="3191"/>
      <c r="P139" s="3191"/>
      <c r="Q139" s="3191"/>
      <c r="R139" s="3191"/>
      <c r="S139" s="3191"/>
      <c r="T139" s="3191"/>
      <c r="U139" s="3191"/>
    </row>
    <row r="140" spans="1:21" s="961" customFormat="1" ht="14.25" customHeight="1">
      <c r="A140" s="3156" t="s">
        <v>1153</v>
      </c>
      <c r="B140" s="3156" t="s">
        <v>1074</v>
      </c>
      <c r="C140" s="3156">
        <v>11030</v>
      </c>
      <c r="D140" s="3156">
        <v>10980</v>
      </c>
      <c r="E140" s="3156">
        <v>13880</v>
      </c>
      <c r="F140" s="3162">
        <v>2210</v>
      </c>
      <c r="G140" s="3162">
        <v>7060</v>
      </c>
      <c r="I140" s="972"/>
      <c r="J140" s="3191"/>
      <c r="K140" s="3191"/>
      <c r="L140" s="3191"/>
      <c r="M140" s="3191"/>
      <c r="N140" s="3191"/>
      <c r="O140" s="3191"/>
      <c r="P140" s="3191"/>
      <c r="Q140" s="3191"/>
      <c r="R140" s="3191"/>
      <c r="S140" s="3191"/>
      <c r="T140" s="3191"/>
      <c r="U140" s="3191"/>
    </row>
    <row r="141" spans="1:21" s="961" customFormat="1" ht="14.25" customHeight="1">
      <c r="A141" s="3156" t="s">
        <v>1153</v>
      </c>
      <c r="B141" s="3156" t="s">
        <v>1082</v>
      </c>
      <c r="C141" s="3156">
        <v>11200</v>
      </c>
      <c r="D141" s="3156">
        <v>11150</v>
      </c>
      <c r="E141" s="3156">
        <v>14100</v>
      </c>
      <c r="F141" s="3162">
        <v>2470</v>
      </c>
      <c r="G141" s="3164">
        <v>7170</v>
      </c>
      <c r="I141" s="972"/>
      <c r="J141" s="3191"/>
      <c r="K141" s="3191"/>
      <c r="L141" s="3191"/>
      <c r="M141" s="3191"/>
      <c r="N141" s="3191"/>
      <c r="O141" s="3191"/>
      <c r="P141" s="3191"/>
      <c r="Q141" s="3191"/>
      <c r="R141" s="3191"/>
      <c r="S141" s="3191"/>
      <c r="T141" s="3191"/>
      <c r="U141" s="3191"/>
    </row>
    <row r="142" spans="1:21" s="961" customFormat="1" ht="14.25" customHeight="1">
      <c r="A142" s="3156" t="s">
        <v>1153</v>
      </c>
      <c r="B142" s="3156" t="s">
        <v>1087</v>
      </c>
      <c r="C142" s="3156">
        <v>10780</v>
      </c>
      <c r="D142" s="3156">
        <v>10730</v>
      </c>
      <c r="E142" s="3156">
        <v>13540</v>
      </c>
      <c r="F142" s="3162">
        <v>2280</v>
      </c>
      <c r="G142" s="3164">
        <v>6900</v>
      </c>
      <c r="I142" s="972"/>
      <c r="J142" s="3191"/>
      <c r="K142" s="3191"/>
      <c r="L142" s="3191"/>
      <c r="M142" s="3191"/>
      <c r="N142" s="3191"/>
      <c r="O142" s="3191"/>
      <c r="P142" s="3191"/>
      <c r="Q142" s="3191"/>
      <c r="R142" s="3191"/>
      <c r="S142" s="3191"/>
      <c r="T142" s="3191"/>
      <c r="U142" s="3191"/>
    </row>
    <row r="143" spans="1:21" s="961" customFormat="1" ht="14.25" customHeight="1">
      <c r="A143" s="3156" t="s">
        <v>1153</v>
      </c>
      <c r="B143" s="3156" t="s">
        <v>1096</v>
      </c>
      <c r="C143" s="3156">
        <v>11550</v>
      </c>
      <c r="D143" s="3156">
        <v>11490</v>
      </c>
      <c r="E143" s="3156">
        <v>14480</v>
      </c>
      <c r="F143" s="3162">
        <v>2070</v>
      </c>
      <c r="G143" s="3164">
        <v>7390</v>
      </c>
      <c r="I143" s="972"/>
      <c r="J143" s="3191"/>
      <c r="K143" s="3191"/>
      <c r="L143" s="3191"/>
      <c r="M143" s="3191"/>
      <c r="N143" s="3191"/>
      <c r="O143" s="3191"/>
      <c r="P143" s="3191"/>
      <c r="Q143" s="3191"/>
      <c r="R143" s="3191"/>
      <c r="S143" s="3191"/>
      <c r="T143" s="3191"/>
      <c r="U143" s="3191"/>
    </row>
    <row r="144" spans="1:21" s="961" customFormat="1" ht="14.25" customHeight="1">
      <c r="A144" s="3156" t="s">
        <v>1153</v>
      </c>
      <c r="B144" s="3156" t="s">
        <v>1103</v>
      </c>
      <c r="C144" s="3156">
        <v>10720</v>
      </c>
      <c r="D144" s="3156">
        <v>10680</v>
      </c>
      <c r="E144" s="3156">
        <v>13480</v>
      </c>
      <c r="F144" s="3162">
        <v>2440</v>
      </c>
      <c r="G144" s="3164">
        <v>6870</v>
      </c>
      <c r="I144" s="972"/>
      <c r="J144" s="3191"/>
      <c r="K144" s="3191"/>
      <c r="L144" s="3191"/>
      <c r="M144" s="3191"/>
      <c r="N144" s="3191"/>
      <c r="O144" s="3191"/>
      <c r="P144" s="3191"/>
      <c r="Q144" s="3191"/>
      <c r="R144" s="3191"/>
      <c r="S144" s="3191"/>
      <c r="T144" s="3191"/>
      <c r="U144" s="3191"/>
    </row>
    <row r="145" spans="1:21" s="961" customFormat="1" ht="14.25" customHeight="1">
      <c r="A145" s="3156" t="s">
        <v>1153</v>
      </c>
      <c r="B145" s="3156" t="s">
        <v>1111</v>
      </c>
      <c r="C145" s="3156">
        <v>10340</v>
      </c>
      <c r="D145" s="3156">
        <v>10290</v>
      </c>
      <c r="E145" s="3156">
        <v>12880</v>
      </c>
      <c r="F145" s="3162">
        <v>2650</v>
      </c>
      <c r="G145" s="3162">
        <v>6620</v>
      </c>
      <c r="I145" s="972"/>
      <c r="J145" s="3191"/>
      <c r="K145" s="3191"/>
      <c r="L145" s="3191"/>
      <c r="M145" s="3191"/>
      <c r="N145" s="3191"/>
      <c r="O145" s="3191"/>
      <c r="P145" s="3191"/>
      <c r="Q145" s="3191"/>
      <c r="R145" s="3191"/>
      <c r="S145" s="3191"/>
      <c r="T145" s="3191"/>
      <c r="U145" s="3191"/>
    </row>
    <row r="146" spans="1:21" s="961" customFormat="1" ht="14.25" customHeight="1">
      <c r="A146" s="3156" t="s">
        <v>1153</v>
      </c>
      <c r="B146" s="3156" t="s">
        <v>1118</v>
      </c>
      <c r="C146" s="3156">
        <v>11890</v>
      </c>
      <c r="D146" s="3156">
        <v>11830</v>
      </c>
      <c r="E146" s="3156">
        <v>14670</v>
      </c>
      <c r="F146" s="3162"/>
      <c r="G146" s="3162">
        <v>7610</v>
      </c>
      <c r="I146" s="972"/>
      <c r="J146" s="3191"/>
      <c r="K146" s="3191"/>
      <c r="L146" s="3191"/>
      <c r="M146" s="3191"/>
      <c r="N146" s="3191"/>
      <c r="O146" s="3191"/>
      <c r="P146" s="3191"/>
      <c r="Q146" s="3191"/>
      <c r="R146" s="3191"/>
      <c r="S146" s="3191"/>
      <c r="T146" s="3191"/>
      <c r="U146" s="3191"/>
    </row>
    <row r="147" spans="1:21" s="961" customFormat="1" ht="14.25" customHeight="1">
      <c r="A147" s="3156" t="s">
        <v>1153</v>
      </c>
      <c r="B147" s="3156" t="s">
        <v>1122</v>
      </c>
      <c r="C147" s="3156">
        <v>12650</v>
      </c>
      <c r="D147" s="3156">
        <v>12600</v>
      </c>
      <c r="E147" s="3156">
        <v>15440</v>
      </c>
      <c r="F147" s="3162"/>
      <c r="G147" s="3162">
        <v>8110</v>
      </c>
      <c r="I147" s="972"/>
      <c r="J147" s="3191"/>
      <c r="K147" s="3191"/>
      <c r="L147" s="3191"/>
      <c r="M147" s="3191"/>
      <c r="N147" s="3191"/>
      <c r="O147" s="3191"/>
      <c r="P147" s="3191"/>
      <c r="Q147" s="3191"/>
      <c r="R147" s="3191"/>
      <c r="S147" s="3191"/>
      <c r="T147" s="3191"/>
      <c r="U147" s="3191"/>
    </row>
    <row r="148" spans="1:21" s="961" customFormat="1" ht="14.25" customHeight="1">
      <c r="A148" s="3156" t="s">
        <v>1153</v>
      </c>
      <c r="B148" s="3156" t="s">
        <v>2855</v>
      </c>
      <c r="C148" s="3156">
        <v>10370</v>
      </c>
      <c r="D148" s="3156">
        <v>10310</v>
      </c>
      <c r="E148" s="3156">
        <v>12970</v>
      </c>
      <c r="F148" s="3162"/>
      <c r="G148" s="3162">
        <v>6630</v>
      </c>
      <c r="I148" s="972"/>
      <c r="J148" s="3191"/>
      <c r="K148" s="3191"/>
      <c r="L148" s="3191"/>
      <c r="M148" s="3191"/>
      <c r="N148" s="3191"/>
      <c r="O148" s="3191"/>
      <c r="P148" s="3191"/>
      <c r="Q148" s="3191"/>
      <c r="R148" s="3191"/>
      <c r="S148" s="3191"/>
      <c r="T148" s="3191"/>
      <c r="U148" s="3191"/>
    </row>
    <row r="149" spans="1:21" s="961" customFormat="1" ht="14.25" customHeight="1">
      <c r="A149" s="3156" t="s">
        <v>1153</v>
      </c>
      <c r="B149" s="3156" t="s">
        <v>2856</v>
      </c>
      <c r="C149" s="3156">
        <v>11600</v>
      </c>
      <c r="D149" s="3156">
        <v>11560</v>
      </c>
      <c r="E149" s="3156">
        <v>14540</v>
      </c>
      <c r="F149" s="3162">
        <v>2390</v>
      </c>
      <c r="G149" s="3162">
        <v>7430</v>
      </c>
      <c r="I149" s="972"/>
      <c r="J149" s="3191"/>
      <c r="K149" s="3191"/>
      <c r="L149" s="3191"/>
      <c r="M149" s="3191"/>
      <c r="N149" s="3191"/>
      <c r="O149" s="3191"/>
      <c r="P149" s="3191"/>
      <c r="Q149" s="3191"/>
      <c r="R149" s="3191"/>
      <c r="S149" s="3191"/>
      <c r="T149" s="3191"/>
      <c r="U149" s="3191"/>
    </row>
    <row r="150" spans="1:21" s="961" customFormat="1" ht="14.25" customHeight="1">
      <c r="A150" s="3156" t="s">
        <v>1153</v>
      </c>
      <c r="B150" s="3156" t="s">
        <v>1141</v>
      </c>
      <c r="C150" s="3156">
        <v>9950</v>
      </c>
      <c r="D150" s="3156">
        <v>9890</v>
      </c>
      <c r="E150" s="3156">
        <v>12590</v>
      </c>
      <c r="F150" s="3162">
        <v>1970</v>
      </c>
      <c r="G150" s="3162">
        <v>6360</v>
      </c>
      <c r="I150" s="972"/>
      <c r="J150" s="3191"/>
      <c r="K150" s="3191"/>
      <c r="L150" s="3191"/>
      <c r="M150" s="3191"/>
      <c r="N150" s="3191"/>
      <c r="O150" s="3191"/>
      <c r="P150" s="3191"/>
      <c r="Q150" s="3191"/>
      <c r="R150" s="3191"/>
      <c r="S150" s="3191"/>
      <c r="T150" s="3191"/>
      <c r="U150" s="3191"/>
    </row>
    <row r="151" spans="1:21" s="961" customFormat="1" ht="14.25" customHeight="1">
      <c r="A151" s="3156" t="s">
        <v>1153</v>
      </c>
      <c r="B151" s="3156" t="s">
        <v>1143</v>
      </c>
      <c r="C151" s="3156">
        <v>10700</v>
      </c>
      <c r="D151" s="3156">
        <v>10650</v>
      </c>
      <c r="E151" s="3156">
        <v>13420</v>
      </c>
      <c r="F151" s="3162">
        <v>2020</v>
      </c>
      <c r="G151" s="3162">
        <v>6850</v>
      </c>
      <c r="I151" s="972"/>
      <c r="J151" s="3191"/>
      <c r="K151" s="3191"/>
      <c r="L151" s="3191"/>
      <c r="M151" s="3191"/>
      <c r="N151" s="3191"/>
      <c r="O151" s="3191"/>
      <c r="P151" s="3191"/>
      <c r="Q151" s="3191"/>
      <c r="R151" s="3191"/>
      <c r="S151" s="3191"/>
      <c r="T151" s="3191"/>
      <c r="U151" s="3191"/>
    </row>
    <row r="152" spans="1:21" s="961" customFormat="1" ht="14.25" customHeight="1">
      <c r="A152" s="3156" t="s">
        <v>1153</v>
      </c>
      <c r="B152" s="3156" t="s">
        <v>1146</v>
      </c>
      <c r="C152" s="3156">
        <v>10310</v>
      </c>
      <c r="D152" s="3156">
        <v>10260</v>
      </c>
      <c r="E152" s="3156">
        <v>12820</v>
      </c>
      <c r="F152" s="3162">
        <v>1980</v>
      </c>
      <c r="G152" s="3162">
        <v>6600</v>
      </c>
      <c r="I152" s="972"/>
      <c r="J152" s="3191"/>
      <c r="K152" s="3191"/>
      <c r="L152" s="3191"/>
      <c r="M152" s="3191"/>
      <c r="N152" s="3191"/>
      <c r="O152" s="3191"/>
      <c r="P152" s="3191"/>
      <c r="Q152" s="3191"/>
      <c r="R152" s="3191"/>
      <c r="S152" s="3191"/>
      <c r="T152" s="3191"/>
      <c r="U152" s="3191"/>
    </row>
    <row r="153" spans="1:21" s="961" customFormat="1" ht="14.25" customHeight="1">
      <c r="A153" s="3156" t="s">
        <v>1153</v>
      </c>
      <c r="B153" s="3156" t="s">
        <v>2857</v>
      </c>
      <c r="C153" s="3156">
        <v>10880</v>
      </c>
      <c r="D153" s="3156">
        <v>10820</v>
      </c>
      <c r="E153" s="3156">
        <v>13660</v>
      </c>
      <c r="F153" s="3162">
        <v>2260</v>
      </c>
      <c r="G153" s="3162">
        <v>6970</v>
      </c>
      <c r="I153" s="972"/>
      <c r="J153" s="3191"/>
      <c r="K153" s="3191"/>
      <c r="L153" s="3191"/>
      <c r="M153" s="3191"/>
      <c r="N153" s="3191"/>
      <c r="O153" s="3191"/>
      <c r="P153" s="3191"/>
      <c r="Q153" s="3191"/>
      <c r="R153" s="3191"/>
      <c r="S153" s="3191"/>
      <c r="T153" s="3191"/>
      <c r="U153" s="3191"/>
    </row>
    <row r="154" spans="1:21" s="961" customFormat="1" ht="14.25" customHeight="1">
      <c r="A154" s="3156" t="s">
        <v>1153</v>
      </c>
      <c r="B154" s="3156" t="s">
        <v>2858</v>
      </c>
      <c r="C154" s="3156">
        <v>11220</v>
      </c>
      <c r="D154" s="3156">
        <v>11160</v>
      </c>
      <c r="E154" s="3156">
        <v>14130</v>
      </c>
      <c r="F154" s="3162">
        <v>2230</v>
      </c>
      <c r="G154" s="3162">
        <v>7180</v>
      </c>
      <c r="I154" s="972"/>
      <c r="J154" s="3191"/>
      <c r="K154" s="3191"/>
      <c r="L154" s="3191"/>
      <c r="M154" s="3191"/>
      <c r="N154" s="3191"/>
      <c r="O154" s="3191"/>
      <c r="P154" s="3191"/>
      <c r="Q154" s="3191"/>
      <c r="R154" s="3191"/>
      <c r="S154" s="3191"/>
      <c r="T154" s="3191"/>
      <c r="U154" s="3191"/>
    </row>
    <row r="155" spans="1:21" s="961" customFormat="1" ht="14.25" customHeight="1">
      <c r="A155" s="3156" t="s">
        <v>1153</v>
      </c>
      <c r="B155" s="3156" t="s">
        <v>2859</v>
      </c>
      <c r="C155" s="3156">
        <v>10430</v>
      </c>
      <c r="D155" s="3156">
        <v>10380</v>
      </c>
      <c r="E155" s="3156">
        <v>13140</v>
      </c>
      <c r="F155" s="3162">
        <v>2080</v>
      </c>
      <c r="G155" s="3162">
        <v>6650</v>
      </c>
      <c r="I155" s="972"/>
      <c r="J155" s="3191"/>
      <c r="K155" s="3191"/>
      <c r="L155" s="3191"/>
      <c r="M155" s="3191"/>
      <c r="N155" s="3191"/>
      <c r="O155" s="3191"/>
      <c r="P155" s="3191"/>
      <c r="Q155" s="3191"/>
      <c r="R155" s="3191"/>
      <c r="S155" s="3191"/>
      <c r="T155" s="3191"/>
      <c r="U155" s="3191"/>
    </row>
    <row r="156" spans="1:21" s="961" customFormat="1" ht="14.25" customHeight="1">
      <c r="A156" s="3156" t="s">
        <v>1153</v>
      </c>
      <c r="B156" s="3156" t="s">
        <v>2860</v>
      </c>
      <c r="C156" s="3156">
        <v>10440</v>
      </c>
      <c r="D156" s="3156">
        <v>10400</v>
      </c>
      <c r="E156" s="3156">
        <v>13150</v>
      </c>
      <c r="F156" s="3162">
        <v>2490</v>
      </c>
      <c r="G156" s="3162">
        <v>6690</v>
      </c>
      <c r="I156" s="972"/>
      <c r="J156" s="3191"/>
      <c r="K156" s="3191"/>
      <c r="L156" s="3191"/>
      <c r="M156" s="3191"/>
      <c r="N156" s="3191"/>
      <c r="O156" s="3191"/>
      <c r="P156" s="3191"/>
      <c r="Q156" s="3191"/>
      <c r="R156" s="3191"/>
      <c r="S156" s="3191"/>
      <c r="T156" s="3191"/>
      <c r="U156" s="3191"/>
    </row>
    <row r="157" spans="1:21" s="961" customFormat="1" ht="14.25" customHeight="1">
      <c r="A157" s="3156" t="s">
        <v>1153</v>
      </c>
      <c r="B157" s="3156" t="s">
        <v>1149</v>
      </c>
      <c r="C157" s="3156">
        <v>10970</v>
      </c>
      <c r="D157" s="3156">
        <v>10920</v>
      </c>
      <c r="E157" s="3156">
        <v>13840</v>
      </c>
      <c r="F157" s="3162">
        <v>2420</v>
      </c>
      <c r="G157" s="3169">
        <v>7020</v>
      </c>
      <c r="I157" s="972"/>
      <c r="J157" s="3191"/>
      <c r="K157" s="3191"/>
      <c r="L157" s="3191"/>
      <c r="M157" s="3191"/>
      <c r="N157" s="3191"/>
      <c r="O157" s="3191"/>
      <c r="P157" s="3191"/>
      <c r="Q157" s="3191"/>
      <c r="R157" s="3191"/>
      <c r="S157" s="3191"/>
      <c r="T157" s="3191"/>
      <c r="U157" s="3191"/>
    </row>
    <row r="158" spans="1:21" s="961" customFormat="1" ht="14.25" customHeight="1">
      <c r="A158" s="1215" t="s">
        <v>1153</v>
      </c>
      <c r="B158" s="1215" t="s">
        <v>1150</v>
      </c>
      <c r="C158" s="1215">
        <v>9590</v>
      </c>
      <c r="D158" s="1215">
        <v>9540</v>
      </c>
      <c r="E158" s="1215">
        <v>12210</v>
      </c>
      <c r="F158" s="3157">
        <v>2100</v>
      </c>
      <c r="G158" s="3157">
        <v>6130</v>
      </c>
      <c r="I158" s="972"/>
      <c r="J158" s="3191"/>
      <c r="K158" s="3191"/>
      <c r="L158" s="3191"/>
      <c r="M158" s="3191"/>
      <c r="N158" s="3191"/>
      <c r="O158" s="3191"/>
      <c r="P158" s="3191"/>
      <c r="Q158" s="3191"/>
      <c r="R158" s="3191"/>
      <c r="S158" s="3191"/>
      <c r="T158" s="3191"/>
      <c r="U158" s="3191"/>
    </row>
    <row r="159" spans="1:21" s="961" customFormat="1" ht="14.25" customHeight="1">
      <c r="A159" s="3156" t="s">
        <v>1153</v>
      </c>
      <c r="B159" s="3156" t="s">
        <v>1151</v>
      </c>
      <c r="C159" s="3156">
        <v>11190</v>
      </c>
      <c r="D159" s="3156">
        <v>11140</v>
      </c>
      <c r="E159" s="3156">
        <v>14090</v>
      </c>
      <c r="F159" s="3162">
        <v>2470</v>
      </c>
      <c r="G159" s="3162">
        <v>7170</v>
      </c>
      <c r="I159" s="972"/>
      <c r="J159" s="3191"/>
      <c r="K159" s="3191"/>
      <c r="L159" s="3191"/>
      <c r="M159" s="3191"/>
      <c r="N159" s="3191"/>
      <c r="O159" s="3191"/>
      <c r="P159" s="3191"/>
      <c r="Q159" s="3191"/>
      <c r="R159" s="3191"/>
      <c r="S159" s="3191"/>
      <c r="T159" s="3191"/>
      <c r="U159" s="3191"/>
    </row>
    <row r="160" spans="1:21" s="961" customFormat="1" ht="14.25" customHeight="1">
      <c r="A160" s="3156" t="s">
        <v>1153</v>
      </c>
      <c r="B160" s="3156" t="s">
        <v>2861</v>
      </c>
      <c r="C160" s="3156">
        <v>11180</v>
      </c>
      <c r="D160" s="3156">
        <v>11140</v>
      </c>
      <c r="E160" s="3156">
        <v>14050</v>
      </c>
      <c r="F160" s="3162">
        <v>2270</v>
      </c>
      <c r="G160" s="3162">
        <v>7170</v>
      </c>
      <c r="I160" s="972"/>
      <c r="J160" s="3191"/>
      <c r="K160" s="3191"/>
      <c r="L160" s="3191"/>
      <c r="M160" s="3191"/>
      <c r="N160" s="3191"/>
      <c r="O160" s="3191"/>
      <c r="P160" s="3191"/>
      <c r="Q160" s="3191"/>
      <c r="R160" s="3191"/>
      <c r="S160" s="3191"/>
      <c r="T160" s="3191"/>
      <c r="U160" s="3191"/>
    </row>
    <row r="161" spans="1:21" s="961" customFormat="1" ht="14.25" customHeight="1">
      <c r="A161" s="3156" t="s">
        <v>1153</v>
      </c>
      <c r="B161" s="3156" t="s">
        <v>2862</v>
      </c>
      <c r="C161" s="3156">
        <v>11160</v>
      </c>
      <c r="D161" s="3156">
        <v>11120</v>
      </c>
      <c r="E161" s="3156">
        <v>14020</v>
      </c>
      <c r="F161" s="3162">
        <v>2150</v>
      </c>
      <c r="G161" s="3162">
        <v>7160</v>
      </c>
      <c r="I161" s="972"/>
      <c r="J161" s="3191"/>
      <c r="K161" s="3191"/>
      <c r="L161" s="3191"/>
      <c r="M161" s="3191"/>
      <c r="N161" s="3191"/>
      <c r="O161" s="3191"/>
      <c r="P161" s="3191"/>
      <c r="Q161" s="3191"/>
      <c r="R161" s="3191"/>
      <c r="S161" s="3191"/>
      <c r="T161" s="3191"/>
      <c r="U161" s="3191"/>
    </row>
    <row r="162" spans="1:21" s="961" customFormat="1" ht="14.25" customHeight="1">
      <c r="A162" s="3156" t="s">
        <v>1153</v>
      </c>
      <c r="B162" s="3156" t="s">
        <v>2863</v>
      </c>
      <c r="C162" s="3156">
        <v>9620</v>
      </c>
      <c r="D162" s="3156">
        <v>9570</v>
      </c>
      <c r="E162" s="3156">
        <v>12320</v>
      </c>
      <c r="F162" s="3162">
        <v>2010</v>
      </c>
      <c r="G162" s="3162">
        <v>6160</v>
      </c>
      <c r="I162" s="972"/>
      <c r="J162" s="3191"/>
      <c r="K162" s="3191"/>
      <c r="L162" s="3191"/>
      <c r="M162" s="3191"/>
      <c r="N162" s="3191"/>
      <c r="O162" s="3191"/>
      <c r="P162" s="3191"/>
      <c r="Q162" s="3191"/>
      <c r="R162" s="3191"/>
      <c r="S162" s="3191"/>
      <c r="T162" s="3191"/>
      <c r="U162" s="3191"/>
    </row>
    <row r="163" spans="1:21" s="961" customFormat="1" ht="14.25" customHeight="1">
      <c r="A163" s="3156" t="s">
        <v>1153</v>
      </c>
      <c r="B163" s="3156" t="s">
        <v>2864</v>
      </c>
      <c r="C163" s="3156">
        <v>9320</v>
      </c>
      <c r="D163" s="3156">
        <v>9270</v>
      </c>
      <c r="E163" s="3156">
        <v>11790</v>
      </c>
      <c r="F163" s="3162">
        <v>1920</v>
      </c>
      <c r="G163" s="3162">
        <v>5960</v>
      </c>
      <c r="I163" s="972"/>
      <c r="J163" s="3191"/>
      <c r="K163" s="3191"/>
      <c r="L163" s="3191"/>
      <c r="M163" s="3191"/>
      <c r="N163" s="3191"/>
      <c r="O163" s="3191"/>
      <c r="P163" s="3191"/>
      <c r="Q163" s="3191"/>
      <c r="R163" s="3191"/>
      <c r="S163" s="3191"/>
      <c r="T163" s="3191"/>
      <c r="U163" s="3191"/>
    </row>
    <row r="164" spans="1:21" s="961" customFormat="1" ht="14.25" customHeight="1">
      <c r="A164" s="3156" t="s">
        <v>1153</v>
      </c>
      <c r="B164" s="3156" t="s">
        <v>2865</v>
      </c>
      <c r="C164" s="3156"/>
      <c r="D164" s="3156"/>
      <c r="E164" s="3156"/>
      <c r="F164" s="3162">
        <v>1980</v>
      </c>
      <c r="G164" s="3162"/>
      <c r="I164" s="972"/>
      <c r="J164" s="3191"/>
      <c r="K164" s="3191"/>
      <c r="L164" s="3191"/>
      <c r="M164" s="3191"/>
      <c r="N164" s="3191"/>
      <c r="O164" s="3191"/>
      <c r="P164" s="3191"/>
      <c r="Q164" s="3191"/>
      <c r="R164" s="3191"/>
      <c r="S164" s="3191"/>
      <c r="T164" s="3191"/>
      <c r="U164" s="3191"/>
    </row>
    <row r="165" spans="1:21" s="961" customFormat="1" ht="14.25" customHeight="1">
      <c r="A165" s="3156" t="s">
        <v>1153</v>
      </c>
      <c r="B165" s="3156" t="s">
        <v>2866</v>
      </c>
      <c r="C165" s="3156">
        <v>11060</v>
      </c>
      <c r="D165" s="3156">
        <v>11030</v>
      </c>
      <c r="E165" s="3156">
        <v>13850</v>
      </c>
      <c r="F165" s="3162">
        <v>2170</v>
      </c>
      <c r="G165" s="3162">
        <v>7090</v>
      </c>
      <c r="I165" s="972"/>
      <c r="J165" s="3191"/>
      <c r="K165" s="3191"/>
      <c r="L165" s="3191"/>
      <c r="M165" s="3191"/>
      <c r="N165" s="3191"/>
      <c r="O165" s="3191"/>
      <c r="P165" s="3191"/>
      <c r="Q165" s="3191"/>
      <c r="R165" s="3191"/>
      <c r="S165" s="3191"/>
      <c r="T165" s="3191"/>
      <c r="U165" s="3191"/>
    </row>
    <row r="166" spans="1:21" s="961" customFormat="1" ht="14.25" customHeight="1">
      <c r="A166" s="3156" t="s">
        <v>1153</v>
      </c>
      <c r="B166" s="3156" t="s">
        <v>2867</v>
      </c>
      <c r="C166" s="3156">
        <v>11050</v>
      </c>
      <c r="D166" s="3156">
        <v>11010</v>
      </c>
      <c r="E166" s="3156">
        <v>13920</v>
      </c>
      <c r="F166" s="3162">
        <v>2140</v>
      </c>
      <c r="G166" s="3162">
        <v>7080</v>
      </c>
      <c r="I166" s="972"/>
      <c r="J166" s="3191"/>
      <c r="K166" s="3191"/>
      <c r="L166" s="3191"/>
      <c r="M166" s="3191"/>
      <c r="N166" s="3191"/>
      <c r="O166" s="3191"/>
      <c r="P166" s="3191"/>
      <c r="Q166" s="3191"/>
      <c r="R166" s="3191"/>
      <c r="S166" s="3191"/>
      <c r="T166" s="3191"/>
      <c r="U166" s="3191"/>
    </row>
    <row r="167" spans="1:21" s="961" customFormat="1" ht="14.25" customHeight="1">
      <c r="A167" s="3156" t="s">
        <v>1153</v>
      </c>
      <c r="B167" s="3156" t="s">
        <v>2868</v>
      </c>
      <c r="C167" s="3156">
        <v>10930</v>
      </c>
      <c r="D167" s="3156">
        <v>10890</v>
      </c>
      <c r="E167" s="3156">
        <v>13790</v>
      </c>
      <c r="F167" s="3162">
        <v>2010</v>
      </c>
      <c r="G167" s="3164">
        <v>7000</v>
      </c>
      <c r="I167" s="972"/>
      <c r="J167" s="3191"/>
      <c r="K167" s="3191"/>
      <c r="L167" s="3191"/>
      <c r="M167" s="3191"/>
      <c r="N167" s="3191"/>
      <c r="O167" s="3191"/>
      <c r="P167" s="3191"/>
      <c r="Q167" s="3191"/>
      <c r="R167" s="3191"/>
      <c r="S167" s="3191"/>
      <c r="T167" s="3191"/>
      <c r="U167" s="3191"/>
    </row>
    <row r="168" spans="1:21" s="961" customFormat="1" ht="14.25" customHeight="1">
      <c r="A168" s="3156" t="s">
        <v>1153</v>
      </c>
      <c r="B168" s="3156" t="s">
        <v>2869</v>
      </c>
      <c r="C168" s="3156">
        <v>9420</v>
      </c>
      <c r="D168" s="3156">
        <v>9380</v>
      </c>
      <c r="E168" s="3156">
        <v>11970</v>
      </c>
      <c r="F168" s="3162"/>
      <c r="G168" s="3164">
        <v>6040</v>
      </c>
      <c r="I168" s="972"/>
      <c r="J168" s="3191"/>
      <c r="K168" s="3191"/>
      <c r="L168" s="3191"/>
      <c r="M168" s="3191"/>
      <c r="N168" s="3191"/>
      <c r="O168" s="3191"/>
      <c r="P168" s="3191"/>
      <c r="Q168" s="3191"/>
      <c r="R168" s="3191"/>
      <c r="S168" s="3191"/>
      <c r="T168" s="3191"/>
      <c r="U168" s="3191"/>
    </row>
    <row r="169" spans="1:21" s="961" customFormat="1" ht="14.25" customHeight="1">
      <c r="A169" s="3156" t="s">
        <v>1153</v>
      </c>
      <c r="B169" s="3156" t="s">
        <v>2870</v>
      </c>
      <c r="C169" s="3156"/>
      <c r="D169" s="3156"/>
      <c r="E169" s="3156"/>
      <c r="F169" s="3162">
        <v>2880</v>
      </c>
      <c r="G169" s="3164"/>
      <c r="I169" s="972"/>
      <c r="J169" s="3191"/>
      <c r="K169" s="3191"/>
      <c r="L169" s="3191"/>
      <c r="M169" s="3191"/>
      <c r="N169" s="3191"/>
      <c r="O169" s="3191"/>
      <c r="P169" s="3191"/>
      <c r="Q169" s="3191"/>
      <c r="R169" s="3191"/>
      <c r="S169" s="3191"/>
      <c r="T169" s="3191"/>
      <c r="U169" s="3191"/>
    </row>
    <row r="170" spans="1:21" s="961" customFormat="1" ht="14.25" customHeight="1">
      <c r="A170" s="3156" t="s">
        <v>1153</v>
      </c>
      <c r="B170" s="3156" t="s">
        <v>2871</v>
      </c>
      <c r="C170" s="3156"/>
      <c r="D170" s="3156"/>
      <c r="E170" s="3156"/>
      <c r="F170" s="3162">
        <v>2880</v>
      </c>
      <c r="G170" s="3164"/>
      <c r="I170" s="972"/>
      <c r="J170" s="3191"/>
      <c r="K170" s="3191"/>
      <c r="L170" s="3191"/>
      <c r="M170" s="3191"/>
      <c r="N170" s="3191"/>
      <c r="O170" s="3191"/>
      <c r="P170" s="3191"/>
      <c r="Q170" s="3191"/>
      <c r="R170" s="3191"/>
      <c r="S170" s="3191"/>
      <c r="T170" s="3191"/>
      <c r="U170" s="3191"/>
    </row>
    <row r="171" spans="1:21" s="961" customFormat="1" ht="14.25" customHeight="1">
      <c r="A171" s="3156" t="s">
        <v>1153</v>
      </c>
      <c r="B171" s="3156" t="s">
        <v>2872</v>
      </c>
      <c r="C171" s="3156"/>
      <c r="D171" s="3156"/>
      <c r="E171" s="3156"/>
      <c r="F171" s="3162">
        <v>2880</v>
      </c>
      <c r="G171" s="3162"/>
      <c r="I171" s="972"/>
      <c r="J171" s="3191"/>
      <c r="K171" s="3191"/>
      <c r="L171" s="3191"/>
      <c r="M171" s="3191"/>
      <c r="N171" s="3191"/>
      <c r="O171" s="3191"/>
      <c r="P171" s="3191"/>
      <c r="Q171" s="3191"/>
      <c r="R171" s="3191"/>
      <c r="S171" s="3191"/>
      <c r="T171" s="3191"/>
      <c r="U171" s="3191"/>
    </row>
    <row r="172" spans="1:21" s="961" customFormat="1" ht="14.25" customHeight="1">
      <c r="A172" s="3156" t="s">
        <v>1153</v>
      </c>
      <c r="B172" s="3156" t="s">
        <v>2873</v>
      </c>
      <c r="C172" s="3156"/>
      <c r="D172" s="3156"/>
      <c r="E172" s="3156"/>
      <c r="F172" s="3162">
        <v>2880</v>
      </c>
      <c r="G172" s="3164"/>
      <c r="I172" s="972"/>
      <c r="J172" s="3191"/>
      <c r="K172" s="3191"/>
      <c r="L172" s="3191"/>
      <c r="M172" s="3191"/>
      <c r="N172" s="3191"/>
      <c r="O172" s="3191"/>
      <c r="P172" s="3191"/>
      <c r="Q172" s="3191"/>
      <c r="R172" s="3191"/>
      <c r="S172" s="3191"/>
      <c r="T172" s="3191"/>
      <c r="U172" s="3191"/>
    </row>
    <row r="173" spans="1:21" s="961" customFormat="1" ht="14.25" customHeight="1">
      <c r="A173" s="3156" t="s">
        <v>1153</v>
      </c>
      <c r="B173" s="3156" t="s">
        <v>2874</v>
      </c>
      <c r="C173" s="3156"/>
      <c r="D173" s="3156"/>
      <c r="E173" s="3156"/>
      <c r="F173" s="3162">
        <v>2150</v>
      </c>
      <c r="G173" s="3164"/>
      <c r="I173" s="972"/>
      <c r="J173" s="3191"/>
      <c r="K173" s="3191"/>
      <c r="L173" s="3191"/>
      <c r="M173" s="3191"/>
      <c r="N173" s="3191"/>
      <c r="O173" s="3191"/>
      <c r="P173" s="3191"/>
      <c r="Q173" s="3191"/>
      <c r="R173" s="3191"/>
      <c r="S173" s="3191"/>
      <c r="T173" s="3191"/>
      <c r="U173" s="3191"/>
    </row>
    <row r="174" spans="1:21" s="961" customFormat="1" ht="14.25" customHeight="1">
      <c r="A174" s="3156" t="s">
        <v>1153</v>
      </c>
      <c r="B174" s="3156" t="s">
        <v>2875</v>
      </c>
      <c r="C174" s="3156"/>
      <c r="D174" s="3156"/>
      <c r="E174" s="3156"/>
      <c r="F174" s="3162">
        <v>2030</v>
      </c>
      <c r="G174" s="3162"/>
      <c r="I174" s="972"/>
      <c r="J174" s="3191"/>
      <c r="K174" s="3191"/>
      <c r="L174" s="3191"/>
      <c r="M174" s="3191"/>
      <c r="N174" s="3191"/>
      <c r="O174" s="3191"/>
      <c r="P174" s="3191"/>
      <c r="Q174" s="3191"/>
      <c r="R174" s="3191"/>
      <c r="S174" s="3191"/>
      <c r="T174" s="3191"/>
      <c r="U174" s="3191"/>
    </row>
    <row r="175" spans="1:21" s="961" customFormat="1" ht="14.25" customHeight="1">
      <c r="A175" s="3156" t="s">
        <v>1153</v>
      </c>
      <c r="B175" s="3156" t="s">
        <v>2876</v>
      </c>
      <c r="C175" s="3156"/>
      <c r="D175" s="3156"/>
      <c r="E175" s="3156"/>
      <c r="F175" s="3162">
        <v>2780</v>
      </c>
      <c r="G175" s="3162"/>
      <c r="I175" s="972"/>
      <c r="J175" s="3191"/>
      <c r="K175" s="3191"/>
      <c r="L175" s="3191"/>
      <c r="M175" s="3191"/>
      <c r="N175" s="3191"/>
      <c r="O175" s="3191"/>
      <c r="P175" s="3191"/>
      <c r="Q175" s="3191"/>
      <c r="R175" s="3191"/>
      <c r="S175" s="3191"/>
      <c r="T175" s="3191"/>
      <c r="U175" s="3191"/>
    </row>
    <row r="176" spans="1:21" s="961" customFormat="1" ht="14.25" customHeight="1">
      <c r="A176" s="3156" t="s">
        <v>1153</v>
      </c>
      <c r="B176" s="3156" t="s">
        <v>2877</v>
      </c>
      <c r="C176" s="3156"/>
      <c r="D176" s="3156"/>
      <c r="E176" s="3156"/>
      <c r="F176" s="3162">
        <v>2780</v>
      </c>
      <c r="G176" s="3162"/>
      <c r="I176" s="972"/>
      <c r="J176" s="3191"/>
      <c r="K176" s="3191"/>
      <c r="L176" s="3191"/>
      <c r="M176" s="3191"/>
      <c r="N176" s="3191"/>
      <c r="O176" s="3191"/>
      <c r="P176" s="3191"/>
      <c r="Q176" s="3191"/>
      <c r="R176" s="3191"/>
      <c r="S176" s="3191"/>
      <c r="T176" s="3191"/>
      <c r="U176" s="3191"/>
    </row>
    <row r="177" spans="1:21" s="961" customFormat="1" ht="14.25" customHeight="1">
      <c r="A177" s="3156" t="s">
        <v>1153</v>
      </c>
      <c r="B177" s="3156" t="s">
        <v>2878</v>
      </c>
      <c r="C177" s="3156"/>
      <c r="D177" s="3156"/>
      <c r="E177" s="3156"/>
      <c r="F177" s="3162">
        <v>2780</v>
      </c>
      <c r="G177" s="3162"/>
      <c r="I177" s="972"/>
      <c r="J177" s="3191"/>
      <c r="K177" s="3191"/>
      <c r="L177" s="3191"/>
      <c r="M177" s="3191"/>
      <c r="N177" s="3191"/>
      <c r="O177" s="3191"/>
      <c r="P177" s="3191"/>
      <c r="Q177" s="3191"/>
      <c r="R177" s="3191"/>
      <c r="S177" s="3191"/>
      <c r="T177" s="3191"/>
      <c r="U177" s="3191"/>
    </row>
    <row r="178" spans="1:21" s="961" customFormat="1" ht="14.25" customHeight="1">
      <c r="A178" s="3156" t="s">
        <v>1153</v>
      </c>
      <c r="B178" s="3156" t="s">
        <v>2879</v>
      </c>
      <c r="C178" s="3156"/>
      <c r="D178" s="3156"/>
      <c r="E178" s="3156"/>
      <c r="F178" s="3162">
        <v>2060</v>
      </c>
      <c r="G178" s="3162"/>
      <c r="I178" s="972"/>
      <c r="J178" s="3191"/>
      <c r="K178" s="3191"/>
      <c r="L178" s="3191"/>
      <c r="M178" s="3191"/>
      <c r="N178" s="3191"/>
      <c r="O178" s="3191"/>
      <c r="P178" s="3191"/>
      <c r="Q178" s="3191"/>
      <c r="R178" s="3191"/>
      <c r="S178" s="3191"/>
      <c r="T178" s="3191"/>
      <c r="U178" s="3191"/>
    </row>
    <row r="179" spans="1:21" s="961" customFormat="1" ht="14.25" customHeight="1">
      <c r="A179" s="3156" t="s">
        <v>1153</v>
      </c>
      <c r="B179" s="3156" t="s">
        <v>2880</v>
      </c>
      <c r="C179" s="3156"/>
      <c r="D179" s="3156"/>
      <c r="E179" s="3156"/>
      <c r="F179" s="3162">
        <v>2120</v>
      </c>
      <c r="G179" s="3164"/>
      <c r="I179" s="972"/>
      <c r="J179" s="3191"/>
      <c r="K179" s="3191"/>
      <c r="L179" s="3191"/>
      <c r="M179" s="3191"/>
      <c r="N179" s="3191"/>
      <c r="O179" s="3191"/>
      <c r="P179" s="3191"/>
      <c r="Q179" s="3191"/>
      <c r="R179" s="3191"/>
      <c r="S179" s="3191"/>
      <c r="T179" s="3191"/>
      <c r="U179" s="3191"/>
    </row>
    <row r="180" spans="1:21" s="961" customFormat="1" ht="14.25" customHeight="1">
      <c r="A180" s="3156" t="s">
        <v>1153</v>
      </c>
      <c r="B180" s="3156" t="s">
        <v>2881</v>
      </c>
      <c r="C180" s="3156"/>
      <c r="D180" s="3156"/>
      <c r="E180" s="3156"/>
      <c r="F180" s="3162">
        <v>2340</v>
      </c>
      <c r="G180" s="3162"/>
      <c r="I180" s="972"/>
      <c r="J180" s="3191"/>
      <c r="K180" s="3191"/>
      <c r="L180" s="3191"/>
      <c r="M180" s="3191"/>
      <c r="N180" s="3191"/>
      <c r="O180" s="3191"/>
      <c r="P180" s="3191"/>
      <c r="Q180" s="3191"/>
      <c r="R180" s="3191"/>
      <c r="S180" s="3191"/>
      <c r="T180" s="3191"/>
      <c r="U180" s="3191"/>
    </row>
    <row r="181" spans="1:21" s="961" customFormat="1" ht="14.25" customHeight="1">
      <c r="A181" s="3156" t="s">
        <v>1153</v>
      </c>
      <c r="B181" s="3156" t="s">
        <v>2882</v>
      </c>
      <c r="C181" s="3156"/>
      <c r="D181" s="3156"/>
      <c r="E181" s="3156"/>
      <c r="F181" s="3162">
        <v>2340</v>
      </c>
      <c r="G181" s="3162"/>
      <c r="I181" s="972"/>
      <c r="J181" s="3191"/>
      <c r="K181" s="3191"/>
      <c r="L181" s="3191"/>
      <c r="M181" s="3191"/>
      <c r="N181" s="3191"/>
      <c r="O181" s="3191"/>
      <c r="P181" s="3191"/>
      <c r="Q181" s="3191"/>
      <c r="R181" s="3191"/>
      <c r="S181" s="3191"/>
      <c r="T181" s="3191"/>
      <c r="U181" s="3191"/>
    </row>
    <row r="182" spans="1:21" s="961" customFormat="1" ht="14.25" customHeight="1">
      <c r="A182" s="3156" t="s">
        <v>1153</v>
      </c>
      <c r="B182" s="3156" t="s">
        <v>2883</v>
      </c>
      <c r="C182" s="3156"/>
      <c r="D182" s="3156"/>
      <c r="E182" s="3156"/>
      <c r="F182" s="3162">
        <v>2340</v>
      </c>
      <c r="G182" s="3162"/>
      <c r="I182" s="972"/>
      <c r="J182" s="3191"/>
      <c r="K182" s="3191"/>
      <c r="L182" s="3191"/>
      <c r="M182" s="3191"/>
      <c r="N182" s="3191"/>
      <c r="O182" s="3191"/>
      <c r="P182" s="3191"/>
      <c r="Q182" s="3191"/>
      <c r="R182" s="3191"/>
      <c r="S182" s="3191"/>
      <c r="T182" s="3191"/>
      <c r="U182" s="3191"/>
    </row>
    <row r="183" spans="1:21" s="961" customFormat="1" ht="14.25" customHeight="1">
      <c r="A183" s="3156" t="s">
        <v>1153</v>
      </c>
      <c r="B183" s="3156" t="s">
        <v>2884</v>
      </c>
      <c r="C183" s="3156"/>
      <c r="D183" s="3156"/>
      <c r="E183" s="3156"/>
      <c r="F183" s="3162">
        <v>2340</v>
      </c>
      <c r="G183" s="3164"/>
      <c r="I183" s="972"/>
      <c r="J183" s="3191"/>
      <c r="K183" s="3191"/>
      <c r="L183" s="3191"/>
      <c r="M183" s="3191"/>
      <c r="N183" s="3191"/>
      <c r="O183" s="3191"/>
      <c r="P183" s="3191"/>
      <c r="Q183" s="3191"/>
      <c r="R183" s="3191"/>
      <c r="S183" s="3191"/>
      <c r="T183" s="3191"/>
      <c r="U183" s="3191"/>
    </row>
    <row r="184" spans="1:21" s="961" customFormat="1" ht="14.25" customHeight="1">
      <c r="A184" s="3156" t="s">
        <v>1153</v>
      </c>
      <c r="B184" s="3156" t="s">
        <v>2885</v>
      </c>
      <c r="C184" s="3156"/>
      <c r="D184" s="3156"/>
      <c r="E184" s="3156"/>
      <c r="F184" s="3162">
        <v>2340</v>
      </c>
      <c r="G184" s="3164"/>
      <c r="I184" s="972"/>
      <c r="J184" s="3191"/>
      <c r="K184" s="3191"/>
      <c r="L184" s="3191"/>
      <c r="M184" s="3191"/>
      <c r="N184" s="3191"/>
      <c r="O184" s="3191"/>
      <c r="P184" s="3191"/>
      <c r="Q184" s="3191"/>
      <c r="R184" s="3191"/>
      <c r="S184" s="3191"/>
      <c r="T184" s="3191"/>
      <c r="U184" s="3191"/>
    </row>
    <row r="185" spans="1:21" s="961" customFormat="1" ht="14.25" customHeight="1">
      <c r="A185" s="3156" t="s">
        <v>1153</v>
      </c>
      <c r="B185" s="3156" t="s">
        <v>2886</v>
      </c>
      <c r="C185" s="3156"/>
      <c r="D185" s="3156"/>
      <c r="E185" s="3156"/>
      <c r="F185" s="3162">
        <v>2530</v>
      </c>
      <c r="G185" s="3162"/>
      <c r="I185" s="972"/>
      <c r="J185" s="3191"/>
      <c r="K185" s="3191"/>
      <c r="L185" s="3191"/>
      <c r="M185" s="3191"/>
      <c r="N185" s="3191"/>
      <c r="O185" s="3191"/>
      <c r="P185" s="3191"/>
      <c r="Q185" s="3191"/>
      <c r="R185" s="3191"/>
      <c r="S185" s="3191"/>
      <c r="T185" s="3191"/>
      <c r="U185" s="3191"/>
    </row>
    <row r="186" spans="1:21" s="961" customFormat="1" ht="14.25" customHeight="1">
      <c r="A186" s="3156" t="s">
        <v>1153</v>
      </c>
      <c r="B186" s="3156" t="s">
        <v>2887</v>
      </c>
      <c r="C186" s="3156"/>
      <c r="D186" s="3156"/>
      <c r="E186" s="3156"/>
      <c r="F186" s="3162">
        <v>2550</v>
      </c>
      <c r="G186" s="3162"/>
      <c r="I186" s="972"/>
      <c r="J186" s="3191"/>
      <c r="K186" s="3191"/>
      <c r="L186" s="3191"/>
      <c r="M186" s="3191"/>
      <c r="N186" s="3191"/>
      <c r="O186" s="3191"/>
      <c r="P186" s="3191"/>
      <c r="Q186" s="3191"/>
      <c r="R186" s="3191"/>
      <c r="S186" s="3191"/>
      <c r="T186" s="3191"/>
      <c r="U186" s="3191"/>
    </row>
    <row r="187" spans="1:21" s="961" customFormat="1" ht="14.25" customHeight="1">
      <c r="A187" s="3156" t="s">
        <v>1153</v>
      </c>
      <c r="B187" s="3156" t="s">
        <v>2888</v>
      </c>
      <c r="C187" s="3156"/>
      <c r="D187" s="3156"/>
      <c r="E187" s="3156"/>
      <c r="F187" s="3162">
        <v>2070</v>
      </c>
      <c r="G187" s="3162"/>
      <c r="I187" s="972"/>
      <c r="J187" s="3191"/>
      <c r="K187" s="3191"/>
      <c r="L187" s="3191"/>
      <c r="M187" s="3191"/>
      <c r="N187" s="3191"/>
      <c r="O187" s="3191"/>
      <c r="P187" s="3191"/>
      <c r="Q187" s="3191"/>
      <c r="R187" s="3191"/>
      <c r="S187" s="3191"/>
      <c r="T187" s="3191"/>
      <c r="U187" s="3191"/>
    </row>
    <row r="188" spans="1:21" s="961" customFormat="1" ht="14.25" customHeight="1">
      <c r="A188" s="3156" t="s">
        <v>1153</v>
      </c>
      <c r="B188" s="3156" t="s">
        <v>2889</v>
      </c>
      <c r="C188" s="3156"/>
      <c r="D188" s="3156"/>
      <c r="E188" s="3156"/>
      <c r="F188" s="3162">
        <v>2340</v>
      </c>
      <c r="G188" s="3162"/>
      <c r="I188" s="972"/>
      <c r="J188" s="3191"/>
      <c r="K188" s="3191"/>
      <c r="L188" s="3191"/>
      <c r="M188" s="3191"/>
      <c r="N188" s="3191"/>
      <c r="O188" s="3191"/>
      <c r="P188" s="3191"/>
      <c r="Q188" s="3191"/>
      <c r="R188" s="3191"/>
      <c r="S188" s="3191"/>
      <c r="T188" s="3191"/>
      <c r="U188" s="3191"/>
    </row>
    <row r="189" spans="1:21" s="961" customFormat="1" ht="14.25" customHeight="1" thickBot="1">
      <c r="A189" s="3171" t="s">
        <v>1153</v>
      </c>
      <c r="B189" s="3159" t="s">
        <v>2890</v>
      </c>
      <c r="C189" s="3159"/>
      <c r="D189" s="3159"/>
      <c r="E189" s="3159"/>
      <c r="F189" s="3160">
        <v>2050</v>
      </c>
      <c r="G189" s="3172"/>
      <c r="I189" s="972"/>
      <c r="J189" s="3191"/>
      <c r="K189" s="3191"/>
      <c r="L189" s="3191"/>
      <c r="M189" s="3191"/>
      <c r="N189" s="3191"/>
      <c r="O189" s="3191"/>
      <c r="P189" s="3191"/>
      <c r="Q189" s="3191"/>
      <c r="R189" s="3191"/>
      <c r="S189" s="3191"/>
      <c r="T189" s="3191"/>
      <c r="U189" s="3191"/>
    </row>
    <row r="190" spans="1:21" s="961" customFormat="1" ht="14.25" customHeight="1">
      <c r="A190" s="3170" t="s">
        <v>1154</v>
      </c>
      <c r="B190" s="1215" t="s">
        <v>2891</v>
      </c>
      <c r="C190" s="1215">
        <v>8830</v>
      </c>
      <c r="D190" s="1215">
        <v>8790</v>
      </c>
      <c r="E190" s="1215">
        <v>11630</v>
      </c>
      <c r="F190" s="3157">
        <v>1790</v>
      </c>
      <c r="G190" s="3157">
        <v>5550</v>
      </c>
      <c r="I190" s="972"/>
      <c r="J190" s="3191"/>
      <c r="K190" s="3191"/>
      <c r="L190" s="3191"/>
      <c r="M190" s="3191"/>
      <c r="N190" s="3191"/>
      <c r="O190" s="3191"/>
      <c r="P190" s="3191"/>
      <c r="Q190" s="3191"/>
      <c r="R190" s="3191"/>
      <c r="S190" s="3191"/>
      <c r="T190" s="3191"/>
      <c r="U190" s="3191"/>
    </row>
    <row r="191" spans="1:21" s="961" customFormat="1" ht="14.25" customHeight="1">
      <c r="A191" s="3156" t="s">
        <v>1154</v>
      </c>
      <c r="B191" s="3156" t="s">
        <v>978</v>
      </c>
      <c r="C191" s="3156">
        <v>9780</v>
      </c>
      <c r="D191" s="3156">
        <v>9710</v>
      </c>
      <c r="E191" s="3156">
        <v>12550</v>
      </c>
      <c r="F191" s="3162">
        <v>1980</v>
      </c>
      <c r="G191" s="3162">
        <v>6130</v>
      </c>
      <c r="I191" s="972"/>
      <c r="J191" s="3191"/>
      <c r="K191" s="3191"/>
      <c r="L191" s="3191"/>
      <c r="M191" s="3191"/>
      <c r="N191" s="3191"/>
      <c r="O191" s="3191"/>
      <c r="P191" s="3191"/>
      <c r="Q191" s="3191"/>
      <c r="R191" s="3191"/>
      <c r="S191" s="3191"/>
      <c r="T191" s="3191"/>
      <c r="U191" s="3191"/>
    </row>
    <row r="192" spans="1:21" s="961" customFormat="1" ht="14.25" customHeight="1">
      <c r="A192" s="3156" t="s">
        <v>1154</v>
      </c>
      <c r="B192" s="3156" t="s">
        <v>988</v>
      </c>
      <c r="C192" s="3156">
        <v>8180</v>
      </c>
      <c r="D192" s="3156">
        <v>8140</v>
      </c>
      <c r="E192" s="3156">
        <v>10870</v>
      </c>
      <c r="F192" s="3162">
        <v>1690</v>
      </c>
      <c r="G192" s="3162">
        <v>5140</v>
      </c>
      <c r="I192" s="972"/>
      <c r="J192" s="3191"/>
      <c r="K192" s="3191"/>
      <c r="L192" s="3191"/>
      <c r="M192" s="3191"/>
      <c r="N192" s="3191"/>
      <c r="O192" s="3191"/>
      <c r="P192" s="3191"/>
      <c r="Q192" s="3191"/>
      <c r="R192" s="3191"/>
      <c r="S192" s="3191"/>
      <c r="T192" s="3191"/>
      <c r="U192" s="3191"/>
    </row>
    <row r="193" spans="1:21" s="961" customFormat="1" ht="14.25" customHeight="1">
      <c r="A193" s="3156" t="s">
        <v>1154</v>
      </c>
      <c r="B193" s="3156" t="s">
        <v>997</v>
      </c>
      <c r="C193" s="3156">
        <v>8440</v>
      </c>
      <c r="D193" s="3156">
        <v>8390</v>
      </c>
      <c r="E193" s="3156">
        <v>11210</v>
      </c>
      <c r="F193" s="3162">
        <v>1600</v>
      </c>
      <c r="G193" s="3162">
        <v>5300</v>
      </c>
      <c r="I193" s="972"/>
      <c r="J193" s="3191"/>
      <c r="K193" s="3191"/>
      <c r="L193" s="3191"/>
      <c r="M193" s="3191"/>
      <c r="N193" s="3191"/>
      <c r="O193" s="3191"/>
      <c r="P193" s="3191"/>
      <c r="Q193" s="3191"/>
      <c r="R193" s="3191"/>
      <c r="S193" s="3191"/>
      <c r="T193" s="3191"/>
      <c r="U193" s="3191"/>
    </row>
    <row r="194" spans="1:21" s="961" customFormat="1" ht="14.25" customHeight="1">
      <c r="A194" s="3156" t="s">
        <v>1154</v>
      </c>
      <c r="B194" s="3156" t="s">
        <v>1007</v>
      </c>
      <c r="C194" s="3156">
        <v>8780</v>
      </c>
      <c r="D194" s="3156">
        <v>8730</v>
      </c>
      <c r="E194" s="3156">
        <v>11550</v>
      </c>
      <c r="F194" s="3162">
        <v>1660</v>
      </c>
      <c r="G194" s="3162">
        <v>5520</v>
      </c>
      <c r="I194" s="972"/>
      <c r="J194" s="3191"/>
      <c r="K194" s="3191"/>
      <c r="L194" s="3191"/>
      <c r="M194" s="3191"/>
      <c r="N194" s="3191"/>
      <c r="O194" s="3191"/>
      <c r="P194" s="3191"/>
      <c r="Q194" s="3191"/>
      <c r="R194" s="3191"/>
      <c r="S194" s="3191"/>
      <c r="T194" s="3191"/>
      <c r="U194" s="3191"/>
    </row>
    <row r="195" spans="1:21" s="961" customFormat="1" ht="14.25" customHeight="1">
      <c r="A195" s="3156" t="s">
        <v>1154</v>
      </c>
      <c r="B195" s="3156" t="s">
        <v>1014</v>
      </c>
      <c r="C195" s="3156">
        <v>8720</v>
      </c>
      <c r="D195" s="3156">
        <v>8670</v>
      </c>
      <c r="E195" s="3156">
        <v>11450</v>
      </c>
      <c r="F195" s="3162">
        <v>1720</v>
      </c>
      <c r="G195" s="3162">
        <v>5480</v>
      </c>
      <c r="I195" s="972"/>
      <c r="J195" s="3191"/>
      <c r="K195" s="3191"/>
      <c r="L195" s="3191"/>
      <c r="M195" s="3191"/>
      <c r="N195" s="3191"/>
      <c r="O195" s="3191"/>
      <c r="P195" s="3191"/>
      <c r="Q195" s="3191"/>
      <c r="R195" s="3191"/>
      <c r="S195" s="3191"/>
      <c r="T195" s="3191"/>
      <c r="U195" s="3191"/>
    </row>
    <row r="196" spans="1:21" s="961" customFormat="1" ht="14.25" customHeight="1">
      <c r="A196" s="3156" t="s">
        <v>1154</v>
      </c>
      <c r="B196" s="3156" t="s">
        <v>1020</v>
      </c>
      <c r="C196" s="3156">
        <v>8460</v>
      </c>
      <c r="D196" s="3156">
        <v>8410</v>
      </c>
      <c r="E196" s="3156">
        <v>11230</v>
      </c>
      <c r="F196" s="3162">
        <v>1730</v>
      </c>
      <c r="G196" s="3162">
        <v>5310</v>
      </c>
      <c r="I196" s="972"/>
      <c r="J196" s="3191"/>
      <c r="K196" s="3191"/>
      <c r="L196" s="3191"/>
      <c r="M196" s="3191"/>
      <c r="N196" s="3191"/>
      <c r="O196" s="3191"/>
      <c r="P196" s="3191"/>
      <c r="Q196" s="3191"/>
      <c r="R196" s="3191"/>
      <c r="S196" s="3191"/>
      <c r="T196" s="3191"/>
      <c r="U196" s="3191"/>
    </row>
    <row r="197" spans="1:21" s="961" customFormat="1" ht="14.25" customHeight="1">
      <c r="A197" s="3156" t="s">
        <v>1154</v>
      </c>
      <c r="B197" s="3156" t="s">
        <v>1027</v>
      </c>
      <c r="C197" s="3156">
        <v>8790</v>
      </c>
      <c r="D197" s="3156">
        <v>8730</v>
      </c>
      <c r="E197" s="3156">
        <v>11560</v>
      </c>
      <c r="F197" s="3162">
        <v>1750</v>
      </c>
      <c r="G197" s="3162">
        <v>5520</v>
      </c>
      <c r="I197" s="972"/>
      <c r="J197" s="3191"/>
      <c r="K197" s="3191"/>
      <c r="L197" s="3191"/>
      <c r="M197" s="3191"/>
      <c r="N197" s="3191"/>
      <c r="O197" s="3191"/>
      <c r="P197" s="3191"/>
      <c r="Q197" s="3191"/>
      <c r="R197" s="3191"/>
      <c r="S197" s="3191"/>
      <c r="T197" s="3191"/>
      <c r="U197" s="3191"/>
    </row>
    <row r="198" spans="1:21" s="961" customFormat="1" ht="14.25" customHeight="1">
      <c r="A198" s="3156" t="s">
        <v>1154</v>
      </c>
      <c r="B198" s="3156" t="s">
        <v>1037</v>
      </c>
      <c r="C198" s="3156">
        <v>8720</v>
      </c>
      <c r="D198" s="3156">
        <v>8680</v>
      </c>
      <c r="E198" s="3156">
        <v>11470</v>
      </c>
      <c r="F198" s="3162"/>
      <c r="G198" s="3162">
        <v>5480</v>
      </c>
      <c r="I198" s="972"/>
      <c r="J198" s="3191"/>
      <c r="K198" s="3191"/>
      <c r="L198" s="3191"/>
      <c r="M198" s="3191"/>
      <c r="N198" s="3191"/>
      <c r="O198" s="3191"/>
      <c r="P198" s="3191"/>
      <c r="Q198" s="3191"/>
      <c r="R198" s="3191"/>
      <c r="S198" s="3191"/>
      <c r="T198" s="3191"/>
      <c r="U198" s="3191"/>
    </row>
    <row r="199" spans="1:21" s="961" customFormat="1" ht="14.25" customHeight="1">
      <c r="A199" s="3156" t="s">
        <v>1154</v>
      </c>
      <c r="B199" s="3156" t="s">
        <v>2892</v>
      </c>
      <c r="C199" s="3156">
        <v>8690</v>
      </c>
      <c r="D199" s="3156">
        <v>8630</v>
      </c>
      <c r="E199" s="3156">
        <v>11350</v>
      </c>
      <c r="F199" s="3162">
        <v>1600</v>
      </c>
      <c r="G199" s="3162">
        <v>5450</v>
      </c>
      <c r="I199" s="972"/>
      <c r="J199" s="3191"/>
      <c r="K199" s="3191"/>
      <c r="L199" s="3191"/>
      <c r="M199" s="3191"/>
      <c r="N199" s="3191"/>
      <c r="O199" s="3191"/>
      <c r="P199" s="3191"/>
      <c r="Q199" s="3191"/>
      <c r="R199" s="3191"/>
      <c r="S199" s="3191"/>
      <c r="T199" s="3191"/>
      <c r="U199" s="3191"/>
    </row>
    <row r="200" spans="1:21" s="961" customFormat="1" ht="14.25" customHeight="1">
      <c r="A200" s="3156" t="s">
        <v>1154</v>
      </c>
      <c r="B200" s="3156" t="s">
        <v>2893</v>
      </c>
      <c r="C200" s="3156"/>
      <c r="D200" s="3156"/>
      <c r="E200" s="3156"/>
      <c r="F200" s="3162">
        <v>1510</v>
      </c>
      <c r="G200" s="3162"/>
      <c r="I200" s="972"/>
      <c r="J200" s="3191"/>
      <c r="K200" s="3191"/>
      <c r="L200" s="3191"/>
      <c r="M200" s="3191"/>
      <c r="N200" s="3191"/>
      <c r="O200" s="3191"/>
      <c r="P200" s="3191"/>
      <c r="Q200" s="3191"/>
      <c r="R200" s="3191"/>
      <c r="S200" s="3191"/>
      <c r="T200" s="3191"/>
      <c r="U200" s="3191"/>
    </row>
    <row r="201" spans="1:21" s="961" customFormat="1" ht="14.25" customHeight="1">
      <c r="A201" s="3156" t="s">
        <v>1154</v>
      </c>
      <c r="B201" s="3156" t="s">
        <v>2894</v>
      </c>
      <c r="C201" s="3156">
        <v>8440</v>
      </c>
      <c r="D201" s="3156">
        <v>8390</v>
      </c>
      <c r="E201" s="3156">
        <v>10930</v>
      </c>
      <c r="F201" s="3162">
        <v>1500</v>
      </c>
      <c r="G201" s="3162">
        <v>5300</v>
      </c>
      <c r="I201" s="972"/>
      <c r="J201" s="3191"/>
      <c r="K201" s="3191"/>
      <c r="L201" s="3191"/>
      <c r="M201" s="3191"/>
      <c r="N201" s="3191"/>
      <c r="O201" s="3191"/>
      <c r="P201" s="3191"/>
      <c r="Q201" s="3191"/>
      <c r="R201" s="3191"/>
      <c r="S201" s="3191"/>
      <c r="T201" s="3191"/>
      <c r="U201" s="3191"/>
    </row>
    <row r="202" spans="1:21" s="961" customFormat="1" ht="14.25" customHeight="1">
      <c r="A202" s="3156" t="s">
        <v>1154</v>
      </c>
      <c r="B202" s="3156" t="s">
        <v>1088</v>
      </c>
      <c r="C202" s="3156">
        <v>8530</v>
      </c>
      <c r="D202" s="3156">
        <v>8490</v>
      </c>
      <c r="E202" s="3156">
        <v>11160</v>
      </c>
      <c r="F202" s="3162">
        <v>1580</v>
      </c>
      <c r="G202" s="3162">
        <v>5360</v>
      </c>
      <c r="I202" s="972"/>
      <c r="J202" s="3191"/>
      <c r="K202" s="3191"/>
      <c r="L202" s="3191"/>
      <c r="M202" s="3191"/>
      <c r="N202" s="3191"/>
      <c r="O202" s="3191"/>
      <c r="P202" s="3191"/>
      <c r="Q202" s="3191"/>
      <c r="R202" s="3191"/>
      <c r="S202" s="3191"/>
      <c r="T202" s="3191"/>
      <c r="U202" s="3191"/>
    </row>
    <row r="203" spans="1:21" s="961" customFormat="1" ht="14.25" customHeight="1">
      <c r="A203" s="3156" t="s">
        <v>1154</v>
      </c>
      <c r="B203" s="3156" t="s">
        <v>2895</v>
      </c>
      <c r="C203" s="3156">
        <v>8130</v>
      </c>
      <c r="D203" s="3156">
        <v>8070</v>
      </c>
      <c r="E203" s="3156">
        <v>10820</v>
      </c>
      <c r="F203" s="3162">
        <v>1690</v>
      </c>
      <c r="G203" s="3162">
        <v>5100</v>
      </c>
      <c r="I203" s="972"/>
      <c r="J203" s="3191"/>
      <c r="K203" s="3191"/>
      <c r="L203" s="3191"/>
      <c r="M203" s="3191"/>
      <c r="N203" s="3191"/>
      <c r="O203" s="3191"/>
      <c r="P203" s="3191"/>
      <c r="Q203" s="3191"/>
      <c r="R203" s="3191"/>
      <c r="S203" s="3191"/>
      <c r="T203" s="3191"/>
      <c r="U203" s="3191"/>
    </row>
    <row r="204" spans="1:21" s="961" customFormat="1" ht="14.25" customHeight="1">
      <c r="A204" s="3156" t="s">
        <v>1154</v>
      </c>
      <c r="B204" s="3156" t="s">
        <v>2896</v>
      </c>
      <c r="C204" s="3156">
        <v>8350</v>
      </c>
      <c r="D204" s="3156">
        <v>8290</v>
      </c>
      <c r="E204" s="3156">
        <v>11080</v>
      </c>
      <c r="F204" s="3162">
        <v>1450</v>
      </c>
      <c r="G204" s="3162">
        <v>5240</v>
      </c>
      <c r="I204" s="972"/>
      <c r="J204" s="3191"/>
      <c r="K204" s="3191"/>
      <c r="L204" s="3191"/>
      <c r="M204" s="3191"/>
      <c r="N204" s="3191"/>
      <c r="O204" s="3191"/>
      <c r="P204" s="3191"/>
      <c r="Q204" s="3191"/>
      <c r="R204" s="3191"/>
      <c r="S204" s="3191"/>
      <c r="T204" s="3191"/>
      <c r="U204" s="3191"/>
    </row>
    <row r="205" spans="1:21" s="961" customFormat="1" ht="14.25" customHeight="1">
      <c r="A205" s="3156" t="s">
        <v>1154</v>
      </c>
      <c r="B205" s="3156" t="s">
        <v>2897</v>
      </c>
      <c r="C205" s="3156">
        <v>7190</v>
      </c>
      <c r="D205" s="3156">
        <v>7130</v>
      </c>
      <c r="E205" s="3156">
        <v>9490</v>
      </c>
      <c r="F205" s="3162">
        <v>1470</v>
      </c>
      <c r="G205" s="3169">
        <v>4510</v>
      </c>
      <c r="I205" s="972"/>
      <c r="J205" s="3191"/>
      <c r="K205" s="3191"/>
      <c r="L205" s="3191"/>
      <c r="M205" s="3191"/>
      <c r="N205" s="3191"/>
      <c r="O205" s="3191"/>
      <c r="P205" s="3191"/>
      <c r="Q205" s="3191"/>
      <c r="R205" s="3191"/>
      <c r="S205" s="3191"/>
      <c r="T205" s="3191"/>
      <c r="U205" s="3191"/>
    </row>
    <row r="206" spans="1:21" s="961" customFormat="1" ht="14.25" customHeight="1">
      <c r="A206" s="1215" t="s">
        <v>1154</v>
      </c>
      <c r="B206" s="1215" t="s">
        <v>2898</v>
      </c>
      <c r="C206" s="1215">
        <v>7000</v>
      </c>
      <c r="D206" s="1215">
        <v>6950</v>
      </c>
      <c r="E206" s="1215">
        <v>9170</v>
      </c>
      <c r="F206" s="3157">
        <v>1400</v>
      </c>
      <c r="G206" s="3157">
        <v>4380</v>
      </c>
      <c r="I206" s="972"/>
      <c r="J206" s="3191"/>
      <c r="K206" s="3191"/>
      <c r="L206" s="3191"/>
      <c r="M206" s="3191"/>
      <c r="N206" s="3191"/>
      <c r="O206" s="3191"/>
      <c r="P206" s="3191"/>
      <c r="Q206" s="3191"/>
      <c r="R206" s="3191"/>
      <c r="S206" s="3191"/>
      <c r="T206" s="3191"/>
      <c r="U206" s="3191"/>
    </row>
    <row r="207" spans="1:21" s="961" customFormat="1" ht="14.25" customHeight="1">
      <c r="A207" s="3156" t="s">
        <v>1154</v>
      </c>
      <c r="B207" s="3156" t="s">
        <v>2899</v>
      </c>
      <c r="C207" s="3156">
        <v>6950</v>
      </c>
      <c r="D207" s="3156">
        <v>6900</v>
      </c>
      <c r="E207" s="3156">
        <v>9110</v>
      </c>
      <c r="F207" s="3162">
        <v>1790</v>
      </c>
      <c r="G207" s="3162">
        <v>4360</v>
      </c>
      <c r="I207" s="972"/>
      <c r="J207" s="3191"/>
      <c r="K207" s="3191"/>
      <c r="L207" s="3191"/>
      <c r="M207" s="3191"/>
      <c r="N207" s="3191"/>
      <c r="O207" s="3191"/>
      <c r="P207" s="3191"/>
      <c r="Q207" s="3191"/>
      <c r="R207" s="3191"/>
      <c r="S207" s="3191"/>
      <c r="T207" s="3191"/>
      <c r="U207" s="3191"/>
    </row>
    <row r="208" spans="1:21" s="961" customFormat="1" ht="14.25" customHeight="1">
      <c r="A208" s="3156" t="s">
        <v>1154</v>
      </c>
      <c r="B208" s="3156" t="s">
        <v>2900</v>
      </c>
      <c r="C208" s="3156">
        <v>9470</v>
      </c>
      <c r="D208" s="3156">
        <v>9410</v>
      </c>
      <c r="E208" s="3156">
        <v>12330</v>
      </c>
      <c r="F208" s="3162">
        <v>1770</v>
      </c>
      <c r="G208" s="3162">
        <v>5940</v>
      </c>
      <c r="I208" s="972"/>
      <c r="J208" s="3191"/>
      <c r="K208" s="3191"/>
      <c r="L208" s="3191"/>
      <c r="M208" s="3191"/>
      <c r="N208" s="3191"/>
      <c r="O208" s="3191"/>
      <c r="P208" s="3191"/>
      <c r="Q208" s="3191"/>
      <c r="R208" s="3191"/>
      <c r="S208" s="3191"/>
      <c r="T208" s="3191"/>
      <c r="U208" s="3191"/>
    </row>
    <row r="209" spans="1:21" s="961" customFormat="1" ht="14.25" customHeight="1">
      <c r="A209" s="3156" t="s">
        <v>1154</v>
      </c>
      <c r="B209" s="3156" t="s">
        <v>1112</v>
      </c>
      <c r="C209" s="3156">
        <v>8740</v>
      </c>
      <c r="D209" s="3156">
        <v>8700</v>
      </c>
      <c r="E209" s="3156">
        <v>11500</v>
      </c>
      <c r="F209" s="3162">
        <v>1730</v>
      </c>
      <c r="G209" s="3162">
        <v>5490</v>
      </c>
      <c r="I209" s="972"/>
      <c r="J209" s="3191"/>
      <c r="K209" s="3191"/>
      <c r="L209" s="3191"/>
      <c r="M209" s="3191"/>
      <c r="N209" s="3191"/>
      <c r="O209" s="3191"/>
      <c r="P209" s="3191"/>
      <c r="Q209" s="3191"/>
      <c r="R209" s="3191"/>
      <c r="S209" s="3191"/>
      <c r="T209" s="3191"/>
      <c r="U209" s="3191"/>
    </row>
    <row r="210" spans="1:21" s="961" customFormat="1" ht="14.25" customHeight="1">
      <c r="A210" s="3156" t="s">
        <v>1154</v>
      </c>
      <c r="B210" s="3156" t="s">
        <v>2901</v>
      </c>
      <c r="C210" s="3156">
        <v>8710</v>
      </c>
      <c r="D210" s="3156">
        <v>8660</v>
      </c>
      <c r="E210" s="3156">
        <v>11440</v>
      </c>
      <c r="F210" s="3162">
        <v>1740</v>
      </c>
      <c r="G210" s="3162">
        <v>5470</v>
      </c>
      <c r="I210" s="972"/>
      <c r="J210" s="3191"/>
      <c r="K210" s="3191"/>
      <c r="L210" s="3191"/>
      <c r="M210" s="3191"/>
      <c r="N210" s="3191"/>
      <c r="O210" s="3191"/>
      <c r="P210" s="3191"/>
      <c r="Q210" s="3191"/>
      <c r="R210" s="3191"/>
      <c r="S210" s="3191"/>
      <c r="T210" s="3191"/>
      <c r="U210" s="3191"/>
    </row>
    <row r="211" spans="1:21" s="961" customFormat="1" ht="14.25" customHeight="1">
      <c r="A211" s="3156" t="s">
        <v>1154</v>
      </c>
      <c r="B211" s="3156" t="s">
        <v>2902</v>
      </c>
      <c r="C211" s="3156">
        <v>9480</v>
      </c>
      <c r="D211" s="3156">
        <v>9430</v>
      </c>
      <c r="E211" s="3156">
        <v>12360</v>
      </c>
      <c r="F211" s="3162">
        <v>1820</v>
      </c>
      <c r="G211" s="3162">
        <v>5950</v>
      </c>
      <c r="I211" s="972"/>
      <c r="J211" s="3191"/>
      <c r="K211" s="3191"/>
      <c r="L211" s="3191"/>
      <c r="M211" s="3191"/>
      <c r="N211" s="3191"/>
      <c r="O211" s="3191"/>
      <c r="P211" s="3191"/>
      <c r="Q211" s="3191"/>
      <c r="R211" s="3191"/>
      <c r="S211" s="3191"/>
      <c r="T211" s="3191"/>
      <c r="U211" s="3191"/>
    </row>
    <row r="212" spans="1:21" s="961" customFormat="1" ht="14.25" customHeight="1">
      <c r="A212" s="3156" t="s">
        <v>1154</v>
      </c>
      <c r="B212" s="3156" t="s">
        <v>1134</v>
      </c>
      <c r="C212" s="3156">
        <v>9070</v>
      </c>
      <c r="D212" s="3156">
        <v>9020</v>
      </c>
      <c r="E212" s="3156">
        <v>11720</v>
      </c>
      <c r="F212" s="3162">
        <v>1850</v>
      </c>
      <c r="G212" s="3162">
        <v>5700</v>
      </c>
      <c r="I212" s="972"/>
      <c r="J212" s="3191"/>
      <c r="K212" s="3191"/>
      <c r="L212" s="3191"/>
      <c r="M212" s="3191"/>
      <c r="N212" s="3191"/>
      <c r="O212" s="3191"/>
      <c r="P212" s="3191"/>
      <c r="Q212" s="3191"/>
      <c r="R212" s="3191"/>
      <c r="S212" s="3191"/>
      <c r="T212" s="3191"/>
      <c r="U212" s="3191"/>
    </row>
    <row r="213" spans="1:21" s="961" customFormat="1" ht="14.25" customHeight="1">
      <c r="A213" s="3156" t="s">
        <v>1154</v>
      </c>
      <c r="B213" s="3156" t="s">
        <v>1137</v>
      </c>
      <c r="C213" s="3156">
        <v>9030</v>
      </c>
      <c r="D213" s="3156">
        <v>8980</v>
      </c>
      <c r="E213" s="3156">
        <v>11670</v>
      </c>
      <c r="F213" s="3162">
        <v>1690</v>
      </c>
      <c r="G213" s="3162">
        <v>5670</v>
      </c>
      <c r="I213" s="972"/>
      <c r="J213" s="3191"/>
      <c r="K213" s="3191"/>
      <c r="L213" s="3191"/>
      <c r="M213" s="3191"/>
      <c r="N213" s="3191"/>
      <c r="O213" s="3191"/>
      <c r="P213" s="3191"/>
      <c r="Q213" s="3191"/>
      <c r="R213" s="3191"/>
      <c r="S213" s="3191"/>
      <c r="T213" s="3191"/>
      <c r="U213" s="3191"/>
    </row>
    <row r="214" spans="1:21" s="961" customFormat="1" ht="14.25" customHeight="1">
      <c r="A214" s="3156" t="s">
        <v>1154</v>
      </c>
      <c r="B214" s="3156" t="s">
        <v>2903</v>
      </c>
      <c r="C214" s="3156">
        <v>8090</v>
      </c>
      <c r="D214" s="3156">
        <v>8030</v>
      </c>
      <c r="E214" s="3156">
        <v>10780</v>
      </c>
      <c r="F214" s="3162">
        <v>1570</v>
      </c>
      <c r="G214" s="3164">
        <v>5070</v>
      </c>
      <c r="I214" s="972"/>
      <c r="J214" s="3191"/>
      <c r="K214" s="3191"/>
      <c r="L214" s="3191"/>
      <c r="M214" s="3191"/>
      <c r="N214" s="3191"/>
      <c r="O214" s="3191"/>
      <c r="P214" s="3191"/>
      <c r="Q214" s="3191"/>
      <c r="R214" s="3191"/>
      <c r="S214" s="3191"/>
      <c r="T214" s="3191"/>
      <c r="U214" s="3191"/>
    </row>
    <row r="215" spans="1:21" s="961" customFormat="1" ht="14.25" customHeight="1">
      <c r="A215" s="3156" t="s">
        <v>1154</v>
      </c>
      <c r="B215" s="3156" t="s">
        <v>1123</v>
      </c>
      <c r="C215" s="3156">
        <v>7950</v>
      </c>
      <c r="D215" s="3156">
        <v>7900</v>
      </c>
      <c r="E215" s="3156">
        <v>10560</v>
      </c>
      <c r="F215" s="3162">
        <v>1630</v>
      </c>
      <c r="G215" s="3162">
        <v>4990</v>
      </c>
      <c r="I215" s="972"/>
      <c r="J215" s="3191"/>
      <c r="K215" s="3191"/>
      <c r="L215" s="3191"/>
      <c r="M215" s="3191"/>
      <c r="N215" s="3191"/>
      <c r="O215" s="3191"/>
      <c r="P215" s="3191"/>
      <c r="Q215" s="3191"/>
      <c r="R215" s="3191"/>
      <c r="S215" s="3191"/>
      <c r="T215" s="3191"/>
      <c r="U215" s="3191"/>
    </row>
    <row r="216" spans="1:21" s="961" customFormat="1" ht="14.25" customHeight="1">
      <c r="A216" s="3156" t="s">
        <v>1154</v>
      </c>
      <c r="B216" s="3156" t="s">
        <v>2904</v>
      </c>
      <c r="C216" s="3156">
        <v>8490</v>
      </c>
      <c r="D216" s="3156">
        <v>8440</v>
      </c>
      <c r="E216" s="3156">
        <v>11260</v>
      </c>
      <c r="F216" s="3162">
        <v>1690</v>
      </c>
      <c r="G216" s="3162">
        <v>5330</v>
      </c>
      <c r="I216" s="972"/>
      <c r="J216" s="3191"/>
      <c r="K216" s="3191"/>
      <c r="L216" s="3191"/>
      <c r="M216" s="3191"/>
      <c r="N216" s="3191"/>
      <c r="O216" s="3191"/>
      <c r="P216" s="3191"/>
      <c r="Q216" s="3191"/>
      <c r="R216" s="3191"/>
      <c r="S216" s="3191"/>
      <c r="T216" s="3191"/>
      <c r="U216" s="3191"/>
    </row>
    <row r="217" spans="1:21" s="961" customFormat="1" ht="14.25" customHeight="1">
      <c r="A217" s="3156" t="s">
        <v>1154</v>
      </c>
      <c r="B217" s="3156" t="s">
        <v>2905</v>
      </c>
      <c r="C217" s="3156">
        <v>8200</v>
      </c>
      <c r="D217" s="3156">
        <v>8150</v>
      </c>
      <c r="E217" s="3156">
        <v>10910</v>
      </c>
      <c r="F217" s="3162">
        <v>1670</v>
      </c>
      <c r="G217" s="3162">
        <v>5150</v>
      </c>
      <c r="I217" s="972"/>
      <c r="J217" s="3191"/>
      <c r="K217" s="3191"/>
      <c r="L217" s="3191"/>
      <c r="M217" s="3191"/>
      <c r="N217" s="3191"/>
      <c r="O217" s="3191"/>
      <c r="P217" s="3191"/>
      <c r="Q217" s="3191"/>
      <c r="R217" s="3191"/>
      <c r="S217" s="3191"/>
      <c r="T217" s="3191"/>
      <c r="U217" s="3191"/>
    </row>
    <row r="218" spans="1:21" s="961" customFormat="1" ht="14.25" customHeight="1">
      <c r="A218" s="3156" t="s">
        <v>1154</v>
      </c>
      <c r="B218" s="3156" t="s">
        <v>2906</v>
      </c>
      <c r="C218" s="3156"/>
      <c r="D218" s="3156"/>
      <c r="E218" s="3156"/>
      <c r="F218" s="3162">
        <v>2040</v>
      </c>
      <c r="G218" s="3162"/>
      <c r="I218" s="972"/>
      <c r="J218" s="3191"/>
      <c r="K218" s="3191"/>
      <c r="L218" s="3191"/>
      <c r="M218" s="3191"/>
      <c r="N218" s="3191"/>
      <c r="O218" s="3191"/>
      <c r="P218" s="3191"/>
      <c r="Q218" s="3191"/>
      <c r="R218" s="3191"/>
      <c r="S218" s="3191"/>
      <c r="T218" s="3191"/>
      <c r="U218" s="3191"/>
    </row>
    <row r="219" spans="1:21" s="961" customFormat="1" ht="14.25" customHeight="1">
      <c r="A219" s="3156" t="s">
        <v>1154</v>
      </c>
      <c r="B219" s="3156" t="s">
        <v>2907</v>
      </c>
      <c r="C219" s="3156"/>
      <c r="D219" s="3156"/>
      <c r="E219" s="3156"/>
      <c r="F219" s="3162">
        <v>2040</v>
      </c>
      <c r="G219" s="3162"/>
      <c r="I219" s="972"/>
      <c r="J219" s="3191"/>
      <c r="K219" s="3191"/>
      <c r="L219" s="3191"/>
      <c r="M219" s="3191"/>
      <c r="N219" s="3191"/>
      <c r="O219" s="3191"/>
      <c r="P219" s="3191"/>
      <c r="Q219" s="3191"/>
      <c r="R219" s="3191"/>
      <c r="S219" s="3191"/>
      <c r="T219" s="3191"/>
      <c r="U219" s="3191"/>
    </row>
    <row r="220" spans="1:21" s="961" customFormat="1" ht="14.25" customHeight="1">
      <c r="A220" s="3156" t="s">
        <v>1154</v>
      </c>
      <c r="B220" s="3156" t="s">
        <v>2908</v>
      </c>
      <c r="C220" s="3156"/>
      <c r="D220" s="3156"/>
      <c r="E220" s="3156"/>
      <c r="F220" s="3162">
        <v>2040</v>
      </c>
      <c r="G220" s="3162"/>
      <c r="I220" s="972"/>
      <c r="J220" s="3191"/>
      <c r="K220" s="3191"/>
      <c r="L220" s="3191"/>
      <c r="M220" s="3191"/>
      <c r="N220" s="3191"/>
      <c r="O220" s="3191"/>
      <c r="P220" s="3191"/>
      <c r="Q220" s="3191"/>
      <c r="R220" s="3191"/>
      <c r="S220" s="3191"/>
      <c r="T220" s="3191"/>
      <c r="U220" s="3191"/>
    </row>
    <row r="221" spans="1:21" s="961" customFormat="1" ht="14.25" customHeight="1">
      <c r="A221" s="3156" t="s">
        <v>1154</v>
      </c>
      <c r="B221" s="3156" t="s">
        <v>2909</v>
      </c>
      <c r="C221" s="3165"/>
      <c r="D221" s="3165"/>
      <c r="E221" s="3165"/>
      <c r="F221" s="3164">
        <v>2040</v>
      </c>
      <c r="G221" s="3162"/>
      <c r="I221" s="972"/>
      <c r="J221" s="3191"/>
      <c r="K221" s="3191"/>
      <c r="L221" s="3191"/>
      <c r="M221" s="3191"/>
      <c r="N221" s="3191"/>
      <c r="O221" s="3191"/>
      <c r="P221" s="3191"/>
      <c r="Q221" s="3191"/>
      <c r="R221" s="3191"/>
      <c r="S221" s="3191"/>
      <c r="T221" s="3191"/>
      <c r="U221" s="3191"/>
    </row>
    <row r="222" spans="1:21" s="961" customFormat="1" ht="14.25" customHeight="1">
      <c r="A222" s="3156" t="s">
        <v>1154</v>
      </c>
      <c r="B222" s="3156" t="s">
        <v>2910</v>
      </c>
      <c r="C222" s="3165"/>
      <c r="D222" s="3165"/>
      <c r="E222" s="3165"/>
      <c r="F222" s="3164">
        <v>2040</v>
      </c>
      <c r="G222" s="3162"/>
      <c r="I222" s="972"/>
      <c r="J222" s="3191"/>
      <c r="K222" s="3191"/>
      <c r="L222" s="3191"/>
      <c r="M222" s="3191"/>
      <c r="N222" s="3191"/>
      <c r="O222" s="3191"/>
      <c r="P222" s="3191"/>
      <c r="Q222" s="3191"/>
      <c r="R222" s="3191"/>
      <c r="S222" s="3191"/>
      <c r="T222" s="3191"/>
      <c r="U222" s="3191"/>
    </row>
    <row r="223" spans="1:21" s="961" customFormat="1" ht="14.25" customHeight="1">
      <c r="A223" s="3156" t="s">
        <v>1154</v>
      </c>
      <c r="B223" s="3156" t="s">
        <v>2911</v>
      </c>
      <c r="C223" s="3165"/>
      <c r="D223" s="3165"/>
      <c r="E223" s="3165"/>
      <c r="F223" s="3164">
        <v>1930</v>
      </c>
      <c r="G223" s="3162"/>
      <c r="I223" s="972"/>
      <c r="J223" s="3191"/>
      <c r="K223" s="3191"/>
      <c r="L223" s="3191"/>
      <c r="M223" s="3191"/>
      <c r="N223" s="3191"/>
      <c r="O223" s="3191"/>
      <c r="P223" s="3191"/>
      <c r="Q223" s="3191"/>
      <c r="R223" s="3191"/>
      <c r="S223" s="3191"/>
      <c r="T223" s="3191"/>
      <c r="U223" s="3191"/>
    </row>
    <row r="224" spans="1:21" s="961" customFormat="1" ht="14.25" customHeight="1">
      <c r="A224" s="3156" t="s">
        <v>1154</v>
      </c>
      <c r="B224" s="3156" t="s">
        <v>2912</v>
      </c>
      <c r="C224" s="3165"/>
      <c r="D224" s="3165"/>
      <c r="E224" s="3165"/>
      <c r="F224" s="3164">
        <v>1930</v>
      </c>
      <c r="G224" s="3162"/>
      <c r="I224" s="972"/>
      <c r="J224" s="3191"/>
      <c r="K224" s="3191"/>
      <c r="L224" s="3191"/>
      <c r="M224" s="3191"/>
      <c r="N224" s="3191"/>
      <c r="O224" s="3191"/>
      <c r="P224" s="3191"/>
      <c r="Q224" s="3191"/>
      <c r="R224" s="3191"/>
      <c r="S224" s="3191"/>
      <c r="T224" s="3191"/>
      <c r="U224" s="3191"/>
    </row>
    <row r="225" spans="1:21" s="961" customFormat="1" ht="14.25" customHeight="1">
      <c r="A225" s="3156" t="s">
        <v>1154</v>
      </c>
      <c r="B225" s="3156" t="s">
        <v>2913</v>
      </c>
      <c r="C225" s="3156"/>
      <c r="D225" s="3156"/>
      <c r="E225" s="3156"/>
      <c r="F225" s="3162">
        <v>1930</v>
      </c>
      <c r="G225" s="3162"/>
      <c r="I225" s="972"/>
      <c r="J225" s="3191"/>
      <c r="K225" s="3191"/>
      <c r="L225" s="3191"/>
      <c r="M225" s="3191"/>
      <c r="N225" s="3191"/>
      <c r="O225" s="3191"/>
      <c r="P225" s="3191"/>
      <c r="Q225" s="3191"/>
      <c r="R225" s="3191"/>
      <c r="S225" s="3191"/>
      <c r="T225" s="3191"/>
      <c r="U225" s="3191"/>
    </row>
    <row r="226" spans="1:21" s="961" customFormat="1" ht="14.25" customHeight="1">
      <c r="A226" s="3156" t="s">
        <v>1154</v>
      </c>
      <c r="B226" s="3156" t="s">
        <v>2914</v>
      </c>
      <c r="C226" s="3156"/>
      <c r="D226" s="3156"/>
      <c r="E226" s="3156"/>
      <c r="F226" s="3162">
        <v>1700</v>
      </c>
      <c r="G226" s="3162"/>
      <c r="I226" s="972"/>
      <c r="J226" s="3191"/>
      <c r="K226" s="3191"/>
      <c r="L226" s="3191"/>
      <c r="M226" s="3191"/>
      <c r="N226" s="3191"/>
      <c r="O226" s="3191"/>
      <c r="P226" s="3191"/>
      <c r="Q226" s="3191"/>
      <c r="R226" s="3191"/>
      <c r="S226" s="3191"/>
      <c r="T226" s="3191"/>
      <c r="U226" s="3191"/>
    </row>
    <row r="227" spans="1:21" s="961" customFormat="1" ht="14.25" customHeight="1">
      <c r="A227" s="3156" t="s">
        <v>1154</v>
      </c>
      <c r="B227" s="3156" t="s">
        <v>2915</v>
      </c>
      <c r="C227" s="3156"/>
      <c r="D227" s="3156"/>
      <c r="E227" s="3156"/>
      <c r="F227" s="3162">
        <v>1520</v>
      </c>
      <c r="G227" s="3162"/>
      <c r="I227" s="972"/>
      <c r="J227" s="3191"/>
      <c r="K227" s="3191"/>
      <c r="L227" s="3191"/>
      <c r="M227" s="3191"/>
      <c r="N227" s="3191"/>
      <c r="O227" s="3191"/>
      <c r="P227" s="3191"/>
      <c r="Q227" s="3191"/>
      <c r="R227" s="3191"/>
      <c r="S227" s="3191"/>
      <c r="T227" s="3191"/>
      <c r="U227" s="3191"/>
    </row>
    <row r="228" spans="1:21" s="961" customFormat="1" ht="14.25" customHeight="1">
      <c r="A228" s="3156" t="s">
        <v>1154</v>
      </c>
      <c r="B228" s="3156" t="s">
        <v>2916</v>
      </c>
      <c r="C228" s="3156"/>
      <c r="D228" s="3156"/>
      <c r="E228" s="3156"/>
      <c r="F228" s="3162">
        <v>1520</v>
      </c>
      <c r="G228" s="3162"/>
      <c r="I228" s="972"/>
      <c r="J228" s="3191"/>
      <c r="K228" s="3191"/>
      <c r="L228" s="3191"/>
      <c r="M228" s="3191"/>
      <c r="N228" s="3191"/>
      <c r="O228" s="3191"/>
      <c r="P228" s="3191"/>
      <c r="Q228" s="3191"/>
      <c r="R228" s="3191"/>
      <c r="S228" s="3191"/>
      <c r="T228" s="3191"/>
      <c r="U228" s="3191"/>
    </row>
    <row r="229" spans="1:21" s="961" customFormat="1" ht="14.25" customHeight="1">
      <c r="A229" s="3156" t="s">
        <v>1154</v>
      </c>
      <c r="B229" s="3156" t="s">
        <v>2917</v>
      </c>
      <c r="C229" s="3156"/>
      <c r="D229" s="3156"/>
      <c r="E229" s="3156"/>
      <c r="F229" s="3162">
        <v>1520</v>
      </c>
      <c r="G229" s="3164"/>
      <c r="I229" s="972"/>
      <c r="J229" s="3191"/>
      <c r="K229" s="3191"/>
      <c r="L229" s="3191"/>
      <c r="M229" s="3191"/>
      <c r="N229" s="3191"/>
      <c r="O229" s="3191"/>
      <c r="P229" s="3191"/>
      <c r="Q229" s="3191"/>
      <c r="R229" s="3191"/>
      <c r="S229" s="3191"/>
      <c r="T229" s="3191"/>
      <c r="U229" s="3191"/>
    </row>
    <row r="230" spans="1:21" s="961" customFormat="1" ht="14.25" customHeight="1">
      <c r="A230" s="3156" t="s">
        <v>1154</v>
      </c>
      <c r="B230" s="3156" t="s">
        <v>2918</v>
      </c>
      <c r="C230" s="3156"/>
      <c r="D230" s="3156"/>
      <c r="E230" s="3156"/>
      <c r="F230" s="3162">
        <v>1820</v>
      </c>
      <c r="G230" s="3164"/>
      <c r="I230" s="972"/>
      <c r="J230" s="3191"/>
      <c r="K230" s="3191"/>
      <c r="L230" s="3191"/>
      <c r="M230" s="3191"/>
      <c r="N230" s="3191"/>
      <c r="O230" s="3191"/>
      <c r="P230" s="3191"/>
      <c r="Q230" s="3191"/>
      <c r="R230" s="3191"/>
      <c r="S230" s="3191"/>
      <c r="T230" s="3191"/>
      <c r="U230" s="3191"/>
    </row>
    <row r="231" spans="1:21" s="961" customFormat="1" ht="14.25" customHeight="1">
      <c r="A231" s="3156" t="s">
        <v>1154</v>
      </c>
      <c r="B231" s="3156" t="s">
        <v>2919</v>
      </c>
      <c r="C231" s="3156"/>
      <c r="D231" s="3156"/>
      <c r="E231" s="3156"/>
      <c r="F231" s="3162">
        <v>1760</v>
      </c>
      <c r="G231" s="3164"/>
      <c r="I231" s="972"/>
      <c r="J231" s="3191"/>
      <c r="K231" s="3191"/>
      <c r="L231" s="3191"/>
      <c r="M231" s="3191"/>
      <c r="N231" s="3191"/>
      <c r="O231" s="3191"/>
      <c r="P231" s="3191"/>
      <c r="Q231" s="3191"/>
      <c r="R231" s="3191"/>
      <c r="S231" s="3191"/>
      <c r="T231" s="3191"/>
      <c r="U231" s="3191"/>
    </row>
    <row r="232" spans="1:21" s="961" customFormat="1" ht="14.25" customHeight="1">
      <c r="A232" s="3156" t="s">
        <v>1154</v>
      </c>
      <c r="B232" s="3156" t="s">
        <v>2920</v>
      </c>
      <c r="C232" s="3156"/>
      <c r="D232" s="3156"/>
      <c r="E232" s="3156"/>
      <c r="F232" s="3162">
        <v>1840</v>
      </c>
      <c r="G232" s="3162"/>
      <c r="I232" s="972"/>
      <c r="J232" s="3191"/>
      <c r="K232" s="3191"/>
      <c r="L232" s="3191"/>
      <c r="M232" s="3191"/>
      <c r="N232" s="3191"/>
      <c r="O232" s="3191"/>
      <c r="P232" s="3191"/>
      <c r="Q232" s="3191"/>
      <c r="R232" s="3191"/>
      <c r="S232" s="3191"/>
      <c r="T232" s="3191"/>
      <c r="U232" s="3191"/>
    </row>
    <row r="233" spans="1:21" s="961" customFormat="1" ht="14.25" customHeight="1" thickBot="1">
      <c r="A233" s="3171" t="s">
        <v>1154</v>
      </c>
      <c r="B233" s="3159" t="s">
        <v>2921</v>
      </c>
      <c r="C233" s="3159"/>
      <c r="D233" s="3159"/>
      <c r="E233" s="3159"/>
      <c r="F233" s="3160">
        <v>1770</v>
      </c>
      <c r="G233" s="3175"/>
      <c r="I233" s="972"/>
      <c r="J233" s="3191"/>
      <c r="K233" s="3191"/>
      <c r="L233" s="3191"/>
      <c r="M233" s="3191"/>
      <c r="N233" s="3191"/>
      <c r="O233" s="3191"/>
      <c r="P233" s="3191"/>
      <c r="Q233" s="3191"/>
      <c r="R233" s="3191"/>
      <c r="S233" s="3191"/>
      <c r="T233" s="3191"/>
      <c r="U233" s="3191"/>
    </row>
    <row r="234" spans="1:21" s="961" customFormat="1" ht="14.25" customHeight="1">
      <c r="A234" s="3170" t="s">
        <v>1155</v>
      </c>
      <c r="B234" s="1215" t="s">
        <v>2922</v>
      </c>
      <c r="C234" s="1215">
        <v>6980</v>
      </c>
      <c r="D234" s="1215">
        <v>6970</v>
      </c>
      <c r="E234" s="1215">
        <v>8720</v>
      </c>
      <c r="F234" s="3157">
        <v>1350</v>
      </c>
      <c r="G234" s="3173">
        <v>4280</v>
      </c>
      <c r="I234" s="972"/>
      <c r="J234" s="3191"/>
      <c r="K234" s="3191"/>
      <c r="L234" s="3191"/>
      <c r="M234" s="3191"/>
      <c r="N234" s="3191"/>
      <c r="O234" s="3191"/>
      <c r="P234" s="3191"/>
      <c r="Q234" s="3191"/>
      <c r="R234" s="3191"/>
      <c r="S234" s="3191"/>
      <c r="T234" s="3191"/>
      <c r="U234" s="3191"/>
    </row>
    <row r="235" spans="1:21" s="961" customFormat="1" ht="14.25" customHeight="1">
      <c r="A235" s="3156" t="s">
        <v>1155</v>
      </c>
      <c r="B235" s="3156" t="s">
        <v>979</v>
      </c>
      <c r="C235" s="3156">
        <v>7620</v>
      </c>
      <c r="D235" s="3156">
        <v>7580</v>
      </c>
      <c r="E235" s="3156">
        <v>9360</v>
      </c>
      <c r="F235" s="3162">
        <v>1490</v>
      </c>
      <c r="G235" s="3162">
        <v>4650</v>
      </c>
      <c r="I235" s="972"/>
      <c r="J235" s="3191"/>
      <c r="K235" s="3191"/>
      <c r="L235" s="3191"/>
      <c r="M235" s="3191"/>
      <c r="N235" s="3191"/>
      <c r="O235" s="3191"/>
      <c r="P235" s="3191"/>
      <c r="Q235" s="3191"/>
      <c r="R235" s="3191"/>
      <c r="S235" s="3191"/>
      <c r="T235" s="3191"/>
      <c r="U235" s="3191"/>
    </row>
    <row r="236" spans="1:21" s="961" customFormat="1" ht="14.25" customHeight="1">
      <c r="A236" s="3156" t="s">
        <v>1155</v>
      </c>
      <c r="B236" s="3156" t="s">
        <v>989</v>
      </c>
      <c r="C236" s="3156">
        <v>6650</v>
      </c>
      <c r="D236" s="3156">
        <v>6630</v>
      </c>
      <c r="E236" s="3156">
        <v>8330</v>
      </c>
      <c r="F236" s="3162">
        <v>1250</v>
      </c>
      <c r="G236" s="3162">
        <v>4070</v>
      </c>
      <c r="I236" s="972"/>
      <c r="J236" s="3191"/>
      <c r="K236" s="3191"/>
      <c r="L236" s="3191"/>
      <c r="M236" s="3191"/>
      <c r="N236" s="3191"/>
      <c r="O236" s="3191"/>
      <c r="P236" s="3191"/>
      <c r="Q236" s="3191"/>
      <c r="R236" s="3191"/>
      <c r="S236" s="3191"/>
      <c r="T236" s="3191"/>
      <c r="U236" s="3191"/>
    </row>
    <row r="237" spans="1:21" s="961" customFormat="1" ht="14.25" customHeight="1">
      <c r="A237" s="3156" t="s">
        <v>1155</v>
      </c>
      <c r="B237" s="3156" t="s">
        <v>998</v>
      </c>
      <c r="C237" s="3156">
        <v>5850</v>
      </c>
      <c r="D237" s="3156">
        <v>5820</v>
      </c>
      <c r="E237" s="3156">
        <v>7260</v>
      </c>
      <c r="F237" s="3162">
        <v>1140</v>
      </c>
      <c r="G237" s="3162">
        <v>3570</v>
      </c>
      <c r="I237" s="972"/>
      <c r="J237" s="3191"/>
      <c r="K237" s="3191"/>
      <c r="L237" s="3191"/>
      <c r="M237" s="3191"/>
      <c r="N237" s="3191"/>
      <c r="O237" s="3191"/>
      <c r="P237" s="3191"/>
      <c r="Q237" s="3191"/>
      <c r="R237" s="3191"/>
      <c r="S237" s="3191"/>
      <c r="T237" s="3191"/>
      <c r="U237" s="3191"/>
    </row>
    <row r="238" spans="1:21" s="961" customFormat="1" ht="14.25" customHeight="1">
      <c r="A238" s="3156" t="s">
        <v>1155</v>
      </c>
      <c r="B238" s="3156" t="s">
        <v>2923</v>
      </c>
      <c r="C238" s="3156">
        <v>6920</v>
      </c>
      <c r="D238" s="3156">
        <v>6890</v>
      </c>
      <c r="E238" s="3156">
        <v>8640</v>
      </c>
      <c r="F238" s="3162">
        <v>1310</v>
      </c>
      <c r="G238" s="3162">
        <v>4230</v>
      </c>
      <c r="I238" s="972"/>
      <c r="J238" s="3191"/>
      <c r="K238" s="3191"/>
      <c r="L238" s="3191"/>
      <c r="M238" s="3191"/>
      <c r="N238" s="3191"/>
      <c r="O238" s="3191"/>
      <c r="P238" s="3191"/>
      <c r="Q238" s="3191"/>
      <c r="R238" s="3191"/>
      <c r="S238" s="3191"/>
      <c r="T238" s="3191"/>
      <c r="U238" s="3191"/>
    </row>
    <row r="239" spans="1:21" s="961" customFormat="1" ht="14.25" customHeight="1">
      <c r="A239" s="3156" t="s">
        <v>1155</v>
      </c>
      <c r="B239" s="3156" t="s">
        <v>2924</v>
      </c>
      <c r="C239" s="3156">
        <v>6780</v>
      </c>
      <c r="D239" s="3156">
        <v>6750</v>
      </c>
      <c r="E239" s="3156">
        <v>8440</v>
      </c>
      <c r="F239" s="3162">
        <v>1160</v>
      </c>
      <c r="G239" s="3162">
        <v>4140</v>
      </c>
      <c r="I239" s="972"/>
      <c r="J239" s="3191"/>
      <c r="K239" s="3191"/>
      <c r="L239" s="3191"/>
      <c r="M239" s="3191"/>
      <c r="N239" s="3191"/>
      <c r="O239" s="3191"/>
      <c r="P239" s="3191"/>
      <c r="Q239" s="3191"/>
      <c r="R239" s="3191"/>
      <c r="S239" s="3191"/>
      <c r="T239" s="3191"/>
      <c r="U239" s="3191"/>
    </row>
    <row r="240" spans="1:21" s="961" customFormat="1" ht="14.25" customHeight="1">
      <c r="A240" s="3156" t="s">
        <v>1155</v>
      </c>
      <c r="B240" s="3156" t="s">
        <v>2925</v>
      </c>
      <c r="C240" s="3156">
        <v>5420</v>
      </c>
      <c r="D240" s="3156">
        <v>5380</v>
      </c>
      <c r="E240" s="3156">
        <v>6640</v>
      </c>
      <c r="F240" s="3162">
        <v>1020</v>
      </c>
      <c r="G240" s="3162">
        <v>3300</v>
      </c>
      <c r="I240" s="972"/>
      <c r="J240" s="3191"/>
      <c r="K240" s="3191"/>
      <c r="L240" s="3191"/>
      <c r="M240" s="3191"/>
      <c r="N240" s="3191"/>
      <c r="O240" s="3191"/>
      <c r="P240" s="3191"/>
      <c r="Q240" s="3191"/>
      <c r="R240" s="3191"/>
      <c r="S240" s="3191"/>
      <c r="T240" s="3191"/>
      <c r="U240" s="3191"/>
    </row>
    <row r="241" spans="1:21" s="961" customFormat="1" ht="14.25" customHeight="1">
      <c r="A241" s="3156" t="s">
        <v>1155</v>
      </c>
      <c r="B241" s="3156" t="s">
        <v>2926</v>
      </c>
      <c r="C241" s="3156">
        <v>6660</v>
      </c>
      <c r="D241" s="3156">
        <v>6640</v>
      </c>
      <c r="E241" s="3156">
        <v>8340</v>
      </c>
      <c r="F241" s="3162">
        <v>1130</v>
      </c>
      <c r="G241" s="3162">
        <v>4080</v>
      </c>
      <c r="I241" s="972"/>
      <c r="J241" s="3191"/>
      <c r="K241" s="3191"/>
      <c r="L241" s="3191"/>
      <c r="M241" s="3191"/>
      <c r="N241" s="3191"/>
      <c r="O241" s="3191"/>
      <c r="P241" s="3191"/>
      <c r="Q241" s="3191"/>
      <c r="R241" s="3191"/>
      <c r="S241" s="3191"/>
      <c r="T241" s="3191"/>
      <c r="U241" s="3191"/>
    </row>
    <row r="242" spans="1:21" s="961" customFormat="1" ht="14.25" customHeight="1">
      <c r="A242" s="3156" t="s">
        <v>1155</v>
      </c>
      <c r="B242" s="3156" t="s">
        <v>1028</v>
      </c>
      <c r="C242" s="3156">
        <v>6580</v>
      </c>
      <c r="D242" s="3156">
        <v>6550</v>
      </c>
      <c r="E242" s="3156">
        <v>8090</v>
      </c>
      <c r="F242" s="3162">
        <v>1240</v>
      </c>
      <c r="G242" s="3162">
        <v>4020</v>
      </c>
      <c r="I242" s="972"/>
      <c r="J242" s="3191"/>
      <c r="K242" s="3191"/>
      <c r="L242" s="3191"/>
      <c r="M242" s="3191"/>
      <c r="N242" s="3191"/>
      <c r="O242" s="3191"/>
      <c r="P242" s="3191"/>
      <c r="Q242" s="3191"/>
      <c r="R242" s="3191"/>
      <c r="S242" s="3191"/>
      <c r="T242" s="3191"/>
      <c r="U242" s="3191"/>
    </row>
    <row r="243" spans="1:21" s="961" customFormat="1" ht="14.25" customHeight="1">
      <c r="A243" s="3156" t="s">
        <v>1155</v>
      </c>
      <c r="B243" s="3156" t="s">
        <v>1038</v>
      </c>
      <c r="C243" s="3156">
        <v>6000</v>
      </c>
      <c r="D243" s="3156">
        <v>5970</v>
      </c>
      <c r="E243" s="3156">
        <v>7370</v>
      </c>
      <c r="F243" s="3162">
        <v>1070</v>
      </c>
      <c r="G243" s="3162">
        <v>3670</v>
      </c>
      <c r="I243" s="972"/>
      <c r="J243" s="3191"/>
      <c r="K243" s="3191"/>
      <c r="L243" s="3191"/>
      <c r="M243" s="3191"/>
      <c r="N243" s="3191"/>
      <c r="O243" s="3191"/>
      <c r="P243" s="3191"/>
      <c r="Q243" s="3191"/>
      <c r="R243" s="3191"/>
      <c r="S243" s="3191"/>
      <c r="T243" s="3191"/>
      <c r="U243" s="3191"/>
    </row>
    <row r="244" spans="1:21" s="961" customFormat="1" ht="14.25" customHeight="1">
      <c r="A244" s="3156" t="s">
        <v>1155</v>
      </c>
      <c r="B244" s="3156" t="s">
        <v>2927</v>
      </c>
      <c r="C244" s="3156">
        <v>5840</v>
      </c>
      <c r="D244" s="3156">
        <v>5810</v>
      </c>
      <c r="E244" s="3156">
        <v>7240</v>
      </c>
      <c r="F244" s="3162">
        <v>1100</v>
      </c>
      <c r="G244" s="3169">
        <v>3560</v>
      </c>
      <c r="I244" s="972"/>
      <c r="J244" s="3191"/>
      <c r="K244" s="3191"/>
      <c r="L244" s="3191"/>
      <c r="M244" s="3191"/>
      <c r="N244" s="3191"/>
      <c r="O244" s="3191"/>
      <c r="P244" s="3191"/>
      <c r="Q244" s="3191"/>
      <c r="R244" s="3191"/>
      <c r="S244" s="3191"/>
      <c r="T244" s="3191"/>
      <c r="U244" s="3191"/>
    </row>
    <row r="245" spans="1:21" s="961" customFormat="1" ht="14.25" customHeight="1">
      <c r="A245" s="1215" t="s">
        <v>1155</v>
      </c>
      <c r="B245" s="1215" t="s">
        <v>1053</v>
      </c>
      <c r="C245" s="1215">
        <v>6040</v>
      </c>
      <c r="D245" s="1215">
        <v>6000</v>
      </c>
      <c r="E245" s="1215">
        <v>7420</v>
      </c>
      <c r="F245" s="3157">
        <v>1140</v>
      </c>
      <c r="G245" s="3157">
        <v>3690</v>
      </c>
      <c r="I245" s="972"/>
      <c r="J245" s="3191"/>
      <c r="K245" s="3191"/>
      <c r="L245" s="3191"/>
      <c r="M245" s="3191"/>
      <c r="N245" s="3191"/>
      <c r="O245" s="3191"/>
      <c r="P245" s="3191"/>
      <c r="Q245" s="3191"/>
      <c r="R245" s="3191"/>
      <c r="S245" s="3191"/>
      <c r="T245" s="3191"/>
      <c r="U245" s="3191"/>
    </row>
    <row r="246" spans="1:21" s="961" customFormat="1" ht="14.25" customHeight="1">
      <c r="A246" s="3156" t="s">
        <v>1155</v>
      </c>
      <c r="B246" s="3156" t="s">
        <v>1060</v>
      </c>
      <c r="C246" s="3156">
        <v>5890</v>
      </c>
      <c r="D246" s="3156">
        <v>5860</v>
      </c>
      <c r="E246" s="3156">
        <v>7300</v>
      </c>
      <c r="F246" s="3162">
        <v>1110</v>
      </c>
      <c r="G246" s="3162">
        <v>3590</v>
      </c>
      <c r="I246" s="972"/>
      <c r="J246" s="3191"/>
      <c r="K246" s="3191"/>
      <c r="L246" s="3191"/>
      <c r="M246" s="3191"/>
      <c r="N246" s="3191"/>
      <c r="O246" s="3191"/>
      <c r="P246" s="3191"/>
      <c r="Q246" s="3191"/>
      <c r="R246" s="3191"/>
      <c r="S246" s="3191"/>
      <c r="T246" s="3191"/>
      <c r="U246" s="3191"/>
    </row>
    <row r="247" spans="1:21" s="961" customFormat="1" ht="14.25" customHeight="1">
      <c r="A247" s="3156" t="s">
        <v>1155</v>
      </c>
      <c r="B247" s="3156" t="s">
        <v>2928</v>
      </c>
      <c r="C247" s="3156">
        <v>6480</v>
      </c>
      <c r="D247" s="3156">
        <v>6450</v>
      </c>
      <c r="E247" s="3156">
        <v>8010</v>
      </c>
      <c r="F247" s="3162">
        <v>1170</v>
      </c>
      <c r="G247" s="3162">
        <v>3960</v>
      </c>
      <c r="I247" s="972"/>
      <c r="J247" s="3191"/>
      <c r="K247" s="3191"/>
      <c r="L247" s="3191"/>
      <c r="M247" s="3191"/>
      <c r="N247" s="3191"/>
      <c r="O247" s="3191"/>
      <c r="P247" s="3191"/>
      <c r="Q247" s="3191"/>
      <c r="R247" s="3191"/>
      <c r="S247" s="3191"/>
      <c r="T247" s="3191"/>
      <c r="U247" s="3191"/>
    </row>
    <row r="248" spans="1:21" s="961" customFormat="1" ht="14.25" customHeight="1">
      <c r="A248" s="3156" t="s">
        <v>1155</v>
      </c>
      <c r="B248" s="3156" t="s">
        <v>1075</v>
      </c>
      <c r="C248" s="3156">
        <v>6860</v>
      </c>
      <c r="D248" s="3156">
        <v>6840</v>
      </c>
      <c r="E248" s="3156">
        <v>8520</v>
      </c>
      <c r="F248" s="3162">
        <v>1240</v>
      </c>
      <c r="G248" s="3162">
        <v>4200</v>
      </c>
      <c r="I248" s="972"/>
      <c r="J248" s="3191"/>
      <c r="K248" s="3191"/>
      <c r="L248" s="3191"/>
      <c r="M248" s="3191"/>
      <c r="N248" s="3191"/>
      <c r="O248" s="3191"/>
      <c r="P248" s="3191"/>
      <c r="Q248" s="3191"/>
      <c r="R248" s="3191"/>
      <c r="S248" s="3191"/>
      <c r="T248" s="3191"/>
      <c r="U248" s="3191"/>
    </row>
    <row r="249" spans="1:21" s="961" customFormat="1" ht="14.25" customHeight="1">
      <c r="A249" s="3156" t="s">
        <v>1155</v>
      </c>
      <c r="B249" s="3156" t="s">
        <v>2929</v>
      </c>
      <c r="C249" s="3156">
        <v>7180</v>
      </c>
      <c r="D249" s="3156">
        <v>7140</v>
      </c>
      <c r="E249" s="3156">
        <v>8900</v>
      </c>
      <c r="F249" s="3162">
        <v>1350</v>
      </c>
      <c r="G249" s="3162">
        <v>4380</v>
      </c>
      <c r="I249" s="972"/>
      <c r="J249" s="3191"/>
      <c r="K249" s="3191"/>
      <c r="L249" s="3191"/>
      <c r="M249" s="3191"/>
      <c r="N249" s="3191"/>
      <c r="O249" s="3191"/>
      <c r="P249" s="3191"/>
      <c r="Q249" s="3191"/>
      <c r="R249" s="3191"/>
      <c r="S249" s="3191"/>
      <c r="T249" s="3191"/>
      <c r="U249" s="3191"/>
    </row>
    <row r="250" spans="1:21" s="961" customFormat="1" ht="14.25" customHeight="1">
      <c r="A250" s="3156" t="s">
        <v>1155</v>
      </c>
      <c r="B250" s="3156" t="s">
        <v>1089</v>
      </c>
      <c r="C250" s="3156">
        <v>6880</v>
      </c>
      <c r="D250" s="3156">
        <v>6860</v>
      </c>
      <c r="E250" s="3156">
        <v>8550</v>
      </c>
      <c r="F250" s="3162">
        <v>1220</v>
      </c>
      <c r="G250" s="3162">
        <v>4210</v>
      </c>
      <c r="I250" s="972"/>
      <c r="J250" s="3191"/>
      <c r="K250" s="3191"/>
      <c r="L250" s="3191"/>
      <c r="M250" s="3191"/>
      <c r="N250" s="3191"/>
      <c r="O250" s="3191"/>
      <c r="P250" s="3191"/>
      <c r="Q250" s="3191"/>
      <c r="R250" s="3191"/>
      <c r="S250" s="3191"/>
      <c r="T250" s="3191"/>
      <c r="U250" s="3191"/>
    </row>
    <row r="251" spans="1:21" s="961" customFormat="1" ht="14.25" customHeight="1">
      <c r="A251" s="3156" t="s">
        <v>1155</v>
      </c>
      <c r="B251" s="3156" t="s">
        <v>1097</v>
      </c>
      <c r="C251" s="3156"/>
      <c r="D251" s="3156"/>
      <c r="E251" s="3156"/>
      <c r="F251" s="3162">
        <v>1100</v>
      </c>
      <c r="G251" s="3162"/>
      <c r="I251" s="972"/>
      <c r="J251" s="3191"/>
      <c r="K251" s="3191"/>
      <c r="L251" s="3191"/>
      <c r="M251" s="3191"/>
      <c r="N251" s="3191"/>
      <c r="O251" s="3191"/>
      <c r="P251" s="3191"/>
      <c r="Q251" s="3191"/>
      <c r="R251" s="3191"/>
      <c r="S251" s="3191"/>
      <c r="T251" s="3191"/>
      <c r="U251" s="3191"/>
    </row>
    <row r="252" spans="1:21" s="961" customFormat="1" ht="14.25" customHeight="1">
      <c r="A252" s="3156" t="s">
        <v>1155</v>
      </c>
      <c r="B252" s="3156" t="s">
        <v>2930</v>
      </c>
      <c r="C252" s="3156">
        <v>7240</v>
      </c>
      <c r="D252" s="3156">
        <v>7200</v>
      </c>
      <c r="E252" s="3156">
        <v>9040</v>
      </c>
      <c r="F252" s="3162">
        <v>1380</v>
      </c>
      <c r="G252" s="3162">
        <v>4420</v>
      </c>
      <c r="I252" s="972"/>
      <c r="J252" s="3191"/>
      <c r="K252" s="3191"/>
      <c r="L252" s="3191"/>
      <c r="M252" s="3191"/>
      <c r="N252" s="3191"/>
      <c r="O252" s="3191"/>
      <c r="P252" s="3191"/>
      <c r="Q252" s="3191"/>
      <c r="R252" s="3191"/>
      <c r="S252" s="3191"/>
      <c r="T252" s="3191"/>
      <c r="U252" s="3191"/>
    </row>
    <row r="253" spans="1:21" s="961" customFormat="1" ht="14.25" customHeight="1">
      <c r="A253" s="3156" t="s">
        <v>1155</v>
      </c>
      <c r="B253" s="3156" t="s">
        <v>1132</v>
      </c>
      <c r="C253" s="3156">
        <v>6670</v>
      </c>
      <c r="D253" s="3156">
        <v>6650</v>
      </c>
      <c r="E253" s="3156">
        <v>8350</v>
      </c>
      <c r="F253" s="3162">
        <v>1260</v>
      </c>
      <c r="G253" s="3162">
        <v>4080</v>
      </c>
      <c r="I253" s="972"/>
      <c r="J253" s="3191"/>
      <c r="K253" s="3191"/>
      <c r="L253" s="3191"/>
      <c r="M253" s="3191"/>
      <c r="N253" s="3191"/>
      <c r="O253" s="3191"/>
      <c r="P253" s="3191"/>
      <c r="Q253" s="3191"/>
      <c r="R253" s="3191"/>
      <c r="S253" s="3191"/>
      <c r="T253" s="3191"/>
      <c r="U253" s="3191"/>
    </row>
    <row r="254" spans="1:21" s="961" customFormat="1" ht="14.25" customHeight="1">
      <c r="A254" s="3156" t="s">
        <v>1155</v>
      </c>
      <c r="B254" s="3156" t="s">
        <v>1135</v>
      </c>
      <c r="C254" s="3165">
        <v>7630</v>
      </c>
      <c r="D254" s="3165">
        <v>7590</v>
      </c>
      <c r="E254" s="3165">
        <v>9380</v>
      </c>
      <c r="F254" s="3164">
        <v>1320</v>
      </c>
      <c r="G254" s="3162">
        <v>4660</v>
      </c>
      <c r="I254" s="972"/>
      <c r="J254" s="3191"/>
      <c r="K254" s="3191"/>
      <c r="L254" s="3191"/>
      <c r="M254" s="3191"/>
      <c r="N254" s="3191"/>
      <c r="O254" s="3191"/>
      <c r="P254" s="3191"/>
      <c r="Q254" s="3191"/>
      <c r="R254" s="3191"/>
      <c r="S254" s="3191"/>
      <c r="T254" s="3191"/>
      <c r="U254" s="3191"/>
    </row>
    <row r="255" spans="1:21" s="961" customFormat="1" ht="14.25" customHeight="1">
      <c r="A255" s="3156" t="s">
        <v>1155</v>
      </c>
      <c r="B255" s="3156" t="s">
        <v>1138</v>
      </c>
      <c r="C255" s="3165">
        <v>6940</v>
      </c>
      <c r="D255" s="3165">
        <v>6890</v>
      </c>
      <c r="E255" s="3165">
        <v>8650</v>
      </c>
      <c r="F255" s="3164">
        <v>1210</v>
      </c>
      <c r="G255" s="3162">
        <v>4230</v>
      </c>
      <c r="I255" s="972"/>
      <c r="J255" s="3191"/>
      <c r="K255" s="3191"/>
      <c r="L255" s="3191"/>
      <c r="M255" s="3191"/>
      <c r="N255" s="3191"/>
      <c r="O255" s="3191"/>
      <c r="P255" s="3191"/>
      <c r="Q255" s="3191"/>
      <c r="R255" s="3191"/>
      <c r="S255" s="3191"/>
      <c r="T255" s="3191"/>
      <c r="U255" s="3191"/>
    </row>
    <row r="256" spans="1:21" s="961" customFormat="1" ht="14.25" customHeight="1">
      <c r="A256" s="3156" t="s">
        <v>1155</v>
      </c>
      <c r="B256" s="3156" t="s">
        <v>2931</v>
      </c>
      <c r="C256" s="3156">
        <v>7520</v>
      </c>
      <c r="D256" s="3156">
        <v>7490</v>
      </c>
      <c r="E256" s="3156">
        <v>9240</v>
      </c>
      <c r="F256" s="3162">
        <v>1270</v>
      </c>
      <c r="G256" s="3162">
        <v>4590</v>
      </c>
      <c r="I256" s="972"/>
      <c r="J256" s="3191"/>
      <c r="K256" s="3191"/>
      <c r="L256" s="3191"/>
      <c r="M256" s="3191"/>
      <c r="N256" s="3191"/>
      <c r="O256" s="3191"/>
      <c r="P256" s="3191"/>
      <c r="Q256" s="3191"/>
      <c r="R256" s="3191"/>
      <c r="S256" s="3191"/>
      <c r="T256" s="3191"/>
      <c r="U256" s="3191"/>
    </row>
    <row r="257" spans="1:21" s="961" customFormat="1" ht="14.25" customHeight="1">
      <c r="A257" s="3156" t="s">
        <v>1155</v>
      </c>
      <c r="B257" s="3156" t="s">
        <v>1124</v>
      </c>
      <c r="C257" s="3156">
        <v>6280</v>
      </c>
      <c r="D257" s="3156">
        <v>6230</v>
      </c>
      <c r="E257" s="3156">
        <v>7740</v>
      </c>
      <c r="F257" s="3162">
        <v>1080</v>
      </c>
      <c r="G257" s="3162">
        <v>3830</v>
      </c>
      <c r="I257" s="972"/>
      <c r="J257" s="3191"/>
      <c r="K257" s="3191"/>
      <c r="L257" s="3191"/>
      <c r="M257" s="3191"/>
      <c r="N257" s="3191"/>
      <c r="O257" s="3191"/>
      <c r="P257" s="3191"/>
      <c r="Q257" s="3191"/>
      <c r="R257" s="3191"/>
      <c r="S257" s="3191"/>
      <c r="T257" s="3191"/>
      <c r="U257" s="3191"/>
    </row>
    <row r="258" spans="1:21" s="961" customFormat="1" ht="14.25" customHeight="1">
      <c r="A258" s="3156" t="s">
        <v>1155</v>
      </c>
      <c r="B258" s="3156" t="s">
        <v>2932</v>
      </c>
      <c r="C258" s="3156">
        <v>6190</v>
      </c>
      <c r="D258" s="3156">
        <v>6160</v>
      </c>
      <c r="E258" s="3156">
        <v>7680</v>
      </c>
      <c r="F258" s="3162">
        <v>1170</v>
      </c>
      <c r="G258" s="3162">
        <v>3780</v>
      </c>
      <c r="I258" s="972"/>
      <c r="J258" s="3191"/>
      <c r="K258" s="3191"/>
      <c r="L258" s="3191"/>
      <c r="M258" s="3191"/>
      <c r="N258" s="3191"/>
      <c r="O258" s="3191"/>
      <c r="P258" s="3191"/>
      <c r="Q258" s="3191"/>
      <c r="R258" s="3191"/>
      <c r="S258" s="3191"/>
      <c r="T258" s="3191"/>
      <c r="U258" s="3191"/>
    </row>
    <row r="259" spans="1:21" s="961" customFormat="1" ht="14.25" customHeight="1">
      <c r="A259" s="3156" t="s">
        <v>1155</v>
      </c>
      <c r="B259" s="3156" t="s">
        <v>2933</v>
      </c>
      <c r="C259" s="3156">
        <v>7610</v>
      </c>
      <c r="D259" s="3156">
        <v>7570</v>
      </c>
      <c r="E259" s="3156">
        <v>9350</v>
      </c>
      <c r="F259" s="3162">
        <v>1350</v>
      </c>
      <c r="G259" s="3162">
        <v>4650</v>
      </c>
      <c r="I259" s="972"/>
      <c r="J259" s="3191"/>
      <c r="K259" s="3191"/>
      <c r="L259" s="3191"/>
      <c r="M259" s="3191"/>
      <c r="N259" s="3191"/>
      <c r="O259" s="3191"/>
      <c r="P259" s="3191"/>
      <c r="Q259" s="3191"/>
      <c r="R259" s="3191"/>
      <c r="S259" s="3191"/>
      <c r="T259" s="3191"/>
      <c r="U259" s="3191"/>
    </row>
    <row r="260" spans="1:21" s="961" customFormat="1" ht="14.25" customHeight="1">
      <c r="A260" s="3156" t="s">
        <v>1155</v>
      </c>
      <c r="B260" s="3156" t="s">
        <v>2934</v>
      </c>
      <c r="C260" s="3156">
        <v>6920</v>
      </c>
      <c r="D260" s="3156">
        <v>6880</v>
      </c>
      <c r="E260" s="3156">
        <v>8380</v>
      </c>
      <c r="F260" s="3162">
        <v>1160</v>
      </c>
      <c r="G260" s="3162">
        <v>4220</v>
      </c>
      <c r="I260" s="972"/>
      <c r="J260" s="3191"/>
      <c r="K260" s="3191"/>
      <c r="L260" s="3191"/>
      <c r="M260" s="3191"/>
      <c r="N260" s="3191"/>
      <c r="O260" s="3191"/>
      <c r="P260" s="3191"/>
      <c r="Q260" s="3191"/>
      <c r="R260" s="3191"/>
      <c r="S260" s="3191"/>
      <c r="T260" s="3191"/>
      <c r="U260" s="3191"/>
    </row>
    <row r="261" spans="1:21" s="961" customFormat="1" ht="14.25" customHeight="1">
      <c r="A261" s="3156" t="s">
        <v>1155</v>
      </c>
      <c r="B261" s="3156" t="s">
        <v>2935</v>
      </c>
      <c r="C261" s="3156">
        <v>6850</v>
      </c>
      <c r="D261" s="3156">
        <v>6810</v>
      </c>
      <c r="E261" s="3156">
        <v>8290</v>
      </c>
      <c r="F261" s="3162">
        <v>1130</v>
      </c>
      <c r="G261" s="3162">
        <v>4180</v>
      </c>
      <c r="I261" s="972"/>
      <c r="J261" s="3191"/>
      <c r="K261" s="3191"/>
      <c r="L261" s="3191"/>
      <c r="M261" s="3191"/>
      <c r="N261" s="3191"/>
      <c r="O261" s="3191"/>
      <c r="P261" s="3191"/>
      <c r="Q261" s="3191"/>
      <c r="R261" s="3191"/>
      <c r="S261" s="3191"/>
      <c r="T261" s="3191"/>
      <c r="U261" s="3191"/>
    </row>
    <row r="262" spans="1:21" s="961" customFormat="1" ht="14.25" customHeight="1">
      <c r="A262" s="3156" t="s">
        <v>1155</v>
      </c>
      <c r="B262" s="3156" t="s">
        <v>2936</v>
      </c>
      <c r="C262" s="3156">
        <v>5860</v>
      </c>
      <c r="D262" s="3156">
        <v>5820</v>
      </c>
      <c r="E262" s="3156">
        <v>7640</v>
      </c>
      <c r="F262" s="3162">
        <v>1070</v>
      </c>
      <c r="G262" s="3164">
        <v>3570</v>
      </c>
      <c r="I262" s="972"/>
      <c r="J262" s="3191"/>
      <c r="K262" s="3191"/>
      <c r="L262" s="3191"/>
      <c r="M262" s="3191"/>
      <c r="N262" s="3191"/>
      <c r="O262" s="3191"/>
      <c r="P262" s="3191"/>
      <c r="Q262" s="3191"/>
      <c r="R262" s="3191"/>
      <c r="S262" s="3191"/>
      <c r="T262" s="3191"/>
      <c r="U262" s="3191"/>
    </row>
    <row r="263" spans="1:21" s="961" customFormat="1" ht="14.25" customHeight="1">
      <c r="A263" s="3156" t="s">
        <v>1155</v>
      </c>
      <c r="B263" s="3156" t="s">
        <v>2937</v>
      </c>
      <c r="C263" s="3156">
        <v>5870</v>
      </c>
      <c r="D263" s="3156">
        <v>5840</v>
      </c>
      <c r="E263" s="3156">
        <v>7270</v>
      </c>
      <c r="F263" s="3162">
        <v>1190</v>
      </c>
      <c r="G263" s="3162">
        <v>3580</v>
      </c>
      <c r="I263" s="972"/>
      <c r="J263" s="3191"/>
      <c r="K263" s="3191"/>
      <c r="L263" s="3191"/>
      <c r="M263" s="3191"/>
      <c r="N263" s="3191"/>
      <c r="O263" s="3191"/>
      <c r="P263" s="3191"/>
      <c r="Q263" s="3191"/>
      <c r="R263" s="3191"/>
      <c r="S263" s="3191"/>
      <c r="T263" s="3191"/>
      <c r="U263" s="3191"/>
    </row>
    <row r="264" spans="1:21" s="961" customFormat="1" ht="14.25" customHeight="1">
      <c r="A264" s="3156" t="s">
        <v>1155</v>
      </c>
      <c r="B264" s="3156" t="s">
        <v>1148</v>
      </c>
      <c r="C264" s="3156">
        <v>6190</v>
      </c>
      <c r="D264" s="3156">
        <v>6150</v>
      </c>
      <c r="E264" s="3156">
        <v>7660</v>
      </c>
      <c r="F264" s="3162">
        <v>1160</v>
      </c>
      <c r="G264" s="3162">
        <v>3770</v>
      </c>
      <c r="I264" s="972"/>
      <c r="J264" s="3191"/>
      <c r="K264" s="3191"/>
      <c r="L264" s="3191"/>
      <c r="M264" s="3191"/>
      <c r="N264" s="3191"/>
      <c r="O264" s="3191"/>
      <c r="P264" s="3191"/>
      <c r="Q264" s="3191"/>
      <c r="R264" s="3191"/>
      <c r="S264" s="3191"/>
      <c r="T264" s="3191"/>
      <c r="U264" s="3191"/>
    </row>
    <row r="265" spans="1:21" s="961" customFormat="1" ht="14.25" customHeight="1">
      <c r="A265" s="3156" t="s">
        <v>1155</v>
      </c>
      <c r="B265" s="3156" t="s">
        <v>2938</v>
      </c>
      <c r="C265" s="3156"/>
      <c r="D265" s="3156"/>
      <c r="E265" s="3156"/>
      <c r="F265" s="3162">
        <v>1500</v>
      </c>
      <c r="G265" s="3162"/>
      <c r="I265" s="972"/>
      <c r="J265" s="3191"/>
      <c r="K265" s="3191"/>
      <c r="L265" s="3191"/>
      <c r="M265" s="3191"/>
      <c r="N265" s="3191"/>
      <c r="O265" s="3191"/>
      <c r="P265" s="3191"/>
      <c r="Q265" s="3191"/>
      <c r="R265" s="3191"/>
      <c r="S265" s="3191"/>
      <c r="T265" s="3191"/>
      <c r="U265" s="3191"/>
    </row>
    <row r="266" spans="1:21" s="961" customFormat="1" ht="14.25" customHeight="1">
      <c r="A266" s="3156" t="s">
        <v>1155</v>
      </c>
      <c r="B266" s="3156" t="s">
        <v>2939</v>
      </c>
      <c r="C266" s="3156"/>
      <c r="D266" s="3156"/>
      <c r="E266" s="3156"/>
      <c r="F266" s="3162">
        <v>1500</v>
      </c>
      <c r="G266" s="3162"/>
      <c r="I266" s="972"/>
      <c r="J266" s="3191"/>
      <c r="K266" s="3191"/>
      <c r="L266" s="3191"/>
      <c r="M266" s="3191"/>
      <c r="N266" s="3191"/>
      <c r="O266" s="3191"/>
      <c r="P266" s="3191"/>
      <c r="Q266" s="3191"/>
      <c r="R266" s="3191"/>
      <c r="S266" s="3191"/>
      <c r="T266" s="3191"/>
      <c r="U266" s="3191"/>
    </row>
    <row r="267" spans="1:21" s="961" customFormat="1" ht="14.25" customHeight="1">
      <c r="A267" s="3156" t="s">
        <v>1155</v>
      </c>
      <c r="B267" s="3156" t="s">
        <v>2940</v>
      </c>
      <c r="C267" s="3156"/>
      <c r="D267" s="3156"/>
      <c r="E267" s="3156"/>
      <c r="F267" s="3162">
        <v>1500</v>
      </c>
      <c r="G267" s="3164"/>
      <c r="I267" s="972"/>
      <c r="J267" s="3191"/>
      <c r="K267" s="3191"/>
      <c r="L267" s="3191"/>
      <c r="M267" s="3191"/>
      <c r="N267" s="3191"/>
      <c r="O267" s="3191"/>
      <c r="P267" s="3191"/>
      <c r="Q267" s="3191"/>
      <c r="R267" s="3191"/>
      <c r="S267" s="3191"/>
      <c r="T267" s="3191"/>
      <c r="U267" s="3191"/>
    </row>
    <row r="268" spans="1:21" s="961" customFormat="1" ht="14.25" customHeight="1">
      <c r="A268" s="3156" t="s">
        <v>1155</v>
      </c>
      <c r="B268" s="3156" t="s">
        <v>2941</v>
      </c>
      <c r="C268" s="3156"/>
      <c r="D268" s="3156"/>
      <c r="E268" s="3156"/>
      <c r="F268" s="3162">
        <v>1290</v>
      </c>
      <c r="G268" s="3162"/>
      <c r="I268" s="972"/>
      <c r="J268" s="3191"/>
      <c r="K268" s="3191"/>
      <c r="L268" s="3191"/>
      <c r="M268" s="3191"/>
      <c r="N268" s="3191"/>
      <c r="O268" s="3191"/>
      <c r="P268" s="3191"/>
      <c r="Q268" s="3191"/>
      <c r="R268" s="3191"/>
      <c r="S268" s="3191"/>
      <c r="T268" s="3191"/>
      <c r="U268" s="3191"/>
    </row>
    <row r="269" spans="1:21" s="961" customFormat="1" ht="14.25" customHeight="1">
      <c r="A269" s="3156" t="s">
        <v>1155</v>
      </c>
      <c r="B269" s="3156" t="s">
        <v>2942</v>
      </c>
      <c r="C269" s="3156"/>
      <c r="D269" s="3156"/>
      <c r="E269" s="3156"/>
      <c r="F269" s="3162">
        <v>1150</v>
      </c>
      <c r="G269" s="3162"/>
      <c r="I269" s="972"/>
      <c r="J269" s="3191"/>
      <c r="K269" s="3191"/>
      <c r="L269" s="3191"/>
      <c r="M269" s="3191"/>
      <c r="N269" s="3191"/>
      <c r="O269" s="3191"/>
      <c r="P269" s="3191"/>
      <c r="Q269" s="3191"/>
      <c r="R269" s="3191"/>
      <c r="S269" s="3191"/>
      <c r="T269" s="3191"/>
      <c r="U269" s="3191"/>
    </row>
    <row r="270" spans="1:21" s="961" customFormat="1" ht="14.25" customHeight="1">
      <c r="A270" s="3156" t="s">
        <v>1155</v>
      </c>
      <c r="B270" s="3156" t="s">
        <v>2943</v>
      </c>
      <c r="C270" s="3156"/>
      <c r="D270" s="3156"/>
      <c r="E270" s="3156"/>
      <c r="F270" s="3162">
        <v>1380</v>
      </c>
      <c r="G270" s="3162"/>
      <c r="I270" s="972"/>
      <c r="J270" s="3191"/>
      <c r="K270" s="3191"/>
      <c r="L270" s="3191"/>
      <c r="M270" s="3191"/>
      <c r="N270" s="3191"/>
      <c r="O270" s="3191"/>
      <c r="P270" s="3191"/>
      <c r="Q270" s="3191"/>
      <c r="R270" s="3191"/>
      <c r="S270" s="3191"/>
      <c r="T270" s="3191"/>
      <c r="U270" s="3191"/>
    </row>
    <row r="271" spans="1:21" s="961" customFormat="1" ht="14.25" customHeight="1">
      <c r="A271" s="3156" t="s">
        <v>1155</v>
      </c>
      <c r="B271" s="3156" t="s">
        <v>2944</v>
      </c>
      <c r="C271" s="3156"/>
      <c r="D271" s="3156"/>
      <c r="E271" s="3156"/>
      <c r="F271" s="3162">
        <v>1460</v>
      </c>
      <c r="G271" s="3162"/>
      <c r="I271" s="972"/>
      <c r="J271" s="3191"/>
      <c r="K271" s="3191"/>
      <c r="L271" s="3191"/>
      <c r="M271" s="3191"/>
      <c r="N271" s="3191"/>
      <c r="O271" s="3191"/>
      <c r="P271" s="3191"/>
      <c r="Q271" s="3191"/>
      <c r="R271" s="3191"/>
      <c r="S271" s="3191"/>
      <c r="T271" s="3191"/>
      <c r="U271" s="3191"/>
    </row>
    <row r="272" spans="1:21" s="961" customFormat="1" ht="14.25" customHeight="1">
      <c r="A272" s="3156" t="s">
        <v>1155</v>
      </c>
      <c r="B272" s="3156" t="s">
        <v>2945</v>
      </c>
      <c r="C272" s="3165"/>
      <c r="D272" s="3165"/>
      <c r="E272" s="3165"/>
      <c r="F272" s="3164">
        <v>1460</v>
      </c>
      <c r="G272" s="3162"/>
      <c r="I272" s="972"/>
      <c r="J272" s="3191"/>
      <c r="K272" s="3191"/>
      <c r="L272" s="3191"/>
      <c r="M272" s="3191"/>
      <c r="N272" s="3191"/>
      <c r="O272" s="3191"/>
      <c r="P272" s="3191"/>
      <c r="Q272" s="3191"/>
      <c r="R272" s="3191"/>
      <c r="S272" s="3191"/>
      <c r="T272" s="3191"/>
      <c r="U272" s="3191"/>
    </row>
    <row r="273" spans="1:21" s="961" customFormat="1" ht="14.25" customHeight="1">
      <c r="A273" s="3156" t="s">
        <v>1155</v>
      </c>
      <c r="B273" s="3156" t="s">
        <v>2946</v>
      </c>
      <c r="C273" s="3156"/>
      <c r="D273" s="3156"/>
      <c r="E273" s="3156"/>
      <c r="F273" s="3162">
        <v>1490</v>
      </c>
      <c r="G273" s="3162"/>
      <c r="I273" s="972"/>
      <c r="J273" s="3191"/>
      <c r="K273" s="3191"/>
      <c r="L273" s="3191"/>
      <c r="M273" s="3191"/>
      <c r="N273" s="3191"/>
      <c r="O273" s="3191"/>
      <c r="P273" s="3191"/>
      <c r="Q273" s="3191"/>
      <c r="R273" s="3191"/>
      <c r="S273" s="3191"/>
      <c r="T273" s="3191"/>
      <c r="U273" s="3191"/>
    </row>
    <row r="274" spans="1:21" s="961" customFormat="1" ht="14.25" customHeight="1">
      <c r="A274" s="3156" t="s">
        <v>1155</v>
      </c>
      <c r="B274" s="3156" t="s">
        <v>2947</v>
      </c>
      <c r="C274" s="3156"/>
      <c r="D274" s="3156"/>
      <c r="E274" s="3156"/>
      <c r="F274" s="3162">
        <v>1490</v>
      </c>
      <c r="G274" s="3162"/>
      <c r="I274" s="972"/>
      <c r="J274" s="3191"/>
      <c r="K274" s="3191"/>
      <c r="L274" s="3191"/>
      <c r="M274" s="3191"/>
      <c r="N274" s="3191"/>
      <c r="O274" s="3191"/>
      <c r="P274" s="3191"/>
      <c r="Q274" s="3191"/>
      <c r="R274" s="3191"/>
      <c r="S274" s="3191"/>
      <c r="T274" s="3191"/>
      <c r="U274" s="3191"/>
    </row>
    <row r="275" spans="1:21" s="961" customFormat="1" ht="14.25" customHeight="1">
      <c r="A275" s="3156" t="s">
        <v>1155</v>
      </c>
      <c r="B275" s="3156" t="s">
        <v>2948</v>
      </c>
      <c r="C275" s="3156"/>
      <c r="D275" s="3156"/>
      <c r="E275" s="3156"/>
      <c r="F275" s="3162">
        <v>1220</v>
      </c>
      <c r="G275" s="3162"/>
      <c r="I275" s="972"/>
      <c r="J275" s="3191"/>
      <c r="K275" s="3191"/>
      <c r="L275" s="3191"/>
      <c r="M275" s="3191"/>
      <c r="N275" s="3191"/>
      <c r="O275" s="3191"/>
      <c r="P275" s="3191"/>
      <c r="Q275" s="3191"/>
      <c r="R275" s="3191"/>
      <c r="S275" s="3191"/>
      <c r="T275" s="3191"/>
      <c r="U275" s="3191"/>
    </row>
    <row r="276" spans="1:21" s="961" customFormat="1" ht="14.25" customHeight="1" thickBot="1">
      <c r="A276" s="3171" t="s">
        <v>1155</v>
      </c>
      <c r="B276" s="3159" t="s">
        <v>2949</v>
      </c>
      <c r="C276" s="3159"/>
      <c r="D276" s="3159"/>
      <c r="E276" s="3159"/>
      <c r="F276" s="3160">
        <v>1380</v>
      </c>
      <c r="G276" s="3172"/>
      <c r="I276" s="972"/>
      <c r="J276" s="3191"/>
      <c r="K276" s="3191"/>
      <c r="L276" s="3191"/>
      <c r="M276" s="3191"/>
      <c r="N276" s="3191"/>
      <c r="O276" s="3191"/>
      <c r="P276" s="3191"/>
      <c r="Q276" s="3191"/>
      <c r="R276" s="3191"/>
      <c r="S276" s="3191"/>
      <c r="T276" s="3191"/>
      <c r="U276" s="3191"/>
    </row>
    <row r="277" spans="1:21" s="961" customFormat="1" ht="14.25" customHeight="1">
      <c r="A277" s="3170" t="s">
        <v>1156</v>
      </c>
      <c r="B277" s="1215" t="s">
        <v>2950</v>
      </c>
      <c r="C277" s="1215">
        <v>5790</v>
      </c>
      <c r="D277" s="1215">
        <v>5740</v>
      </c>
      <c r="E277" s="1215">
        <v>6730</v>
      </c>
      <c r="F277" s="3157">
        <v>1110</v>
      </c>
      <c r="G277" s="3157">
        <v>3460</v>
      </c>
      <c r="I277" s="972"/>
      <c r="J277" s="3191"/>
      <c r="K277" s="3191"/>
      <c r="L277" s="3191"/>
      <c r="M277" s="3191"/>
      <c r="N277" s="3191"/>
      <c r="O277" s="3191"/>
      <c r="P277" s="3191"/>
      <c r="Q277" s="3191"/>
      <c r="R277" s="3191"/>
      <c r="S277" s="3191"/>
      <c r="T277" s="3191"/>
      <c r="U277" s="3191"/>
    </row>
    <row r="278" spans="1:21" s="961" customFormat="1" ht="14.25" customHeight="1">
      <c r="A278" s="3156" t="s">
        <v>1156</v>
      </c>
      <c r="B278" s="3156" t="s">
        <v>980</v>
      </c>
      <c r="C278" s="3156">
        <v>5740</v>
      </c>
      <c r="D278" s="3156">
        <v>5670</v>
      </c>
      <c r="E278" s="3156">
        <v>6680</v>
      </c>
      <c r="F278" s="3162">
        <v>1070</v>
      </c>
      <c r="G278" s="3162">
        <v>3420</v>
      </c>
      <c r="I278" s="972"/>
      <c r="J278" s="3191"/>
      <c r="K278" s="3191"/>
      <c r="L278" s="3191"/>
      <c r="M278" s="3191"/>
      <c r="N278" s="3191"/>
      <c r="O278" s="3191"/>
      <c r="P278" s="3191"/>
      <c r="Q278" s="3191"/>
      <c r="R278" s="3191"/>
      <c r="S278" s="3191"/>
      <c r="T278" s="3191"/>
      <c r="U278" s="3191"/>
    </row>
    <row r="279" spans="1:21" s="961" customFormat="1" ht="14.25" customHeight="1">
      <c r="A279" s="3156" t="s">
        <v>1156</v>
      </c>
      <c r="B279" s="3156" t="s">
        <v>2951</v>
      </c>
      <c r="C279" s="3156">
        <v>4760</v>
      </c>
      <c r="D279" s="3156">
        <v>4720</v>
      </c>
      <c r="E279" s="3156">
        <v>5540</v>
      </c>
      <c r="F279" s="3162">
        <v>810</v>
      </c>
      <c r="G279" s="3162">
        <v>2850</v>
      </c>
      <c r="I279" s="972"/>
      <c r="J279" s="3191"/>
      <c r="K279" s="3191"/>
      <c r="L279" s="3191"/>
      <c r="M279" s="3191"/>
      <c r="N279" s="3191"/>
      <c r="O279" s="3191"/>
      <c r="P279" s="3191"/>
      <c r="Q279" s="3191"/>
      <c r="R279" s="3191"/>
      <c r="S279" s="3191"/>
      <c r="T279" s="3191"/>
      <c r="U279" s="3191"/>
    </row>
    <row r="280" spans="1:21" s="961" customFormat="1" ht="14.25" customHeight="1">
      <c r="A280" s="3156" t="s">
        <v>1156</v>
      </c>
      <c r="B280" s="3156" t="s">
        <v>2952</v>
      </c>
      <c r="C280" s="3156">
        <v>4010</v>
      </c>
      <c r="D280" s="3156">
        <v>3950</v>
      </c>
      <c r="E280" s="3156">
        <v>4710</v>
      </c>
      <c r="F280" s="3162">
        <v>800</v>
      </c>
      <c r="G280" s="3162">
        <v>2390</v>
      </c>
      <c r="I280" s="972"/>
      <c r="J280" s="3191"/>
      <c r="K280" s="3191"/>
      <c r="L280" s="3191"/>
      <c r="M280" s="3191"/>
      <c r="N280" s="3191"/>
      <c r="O280" s="3191"/>
      <c r="P280" s="3191"/>
      <c r="Q280" s="3191"/>
      <c r="R280" s="3191"/>
      <c r="S280" s="3191"/>
      <c r="T280" s="3191"/>
      <c r="U280" s="3191"/>
    </row>
    <row r="281" spans="1:21" s="961" customFormat="1" ht="14.25" customHeight="1">
      <c r="A281" s="3156" t="s">
        <v>1156</v>
      </c>
      <c r="B281" s="3156" t="s">
        <v>2953</v>
      </c>
      <c r="C281" s="3156">
        <v>4480</v>
      </c>
      <c r="D281" s="3156">
        <v>4420</v>
      </c>
      <c r="E281" s="3156">
        <v>5230</v>
      </c>
      <c r="F281" s="3162">
        <v>870</v>
      </c>
      <c r="G281" s="3162">
        <v>2660</v>
      </c>
      <c r="I281" s="972"/>
      <c r="J281" s="3191"/>
      <c r="K281" s="3191"/>
      <c r="L281" s="3191"/>
      <c r="M281" s="3191"/>
      <c r="N281" s="3191"/>
      <c r="O281" s="3191"/>
      <c r="P281" s="3191"/>
      <c r="Q281" s="3191"/>
      <c r="R281" s="3191"/>
      <c r="S281" s="3191"/>
      <c r="T281" s="3191"/>
      <c r="U281" s="3191"/>
    </row>
    <row r="282" spans="1:21" s="961" customFormat="1" ht="14.25" customHeight="1">
      <c r="A282" s="3156" t="s">
        <v>1156</v>
      </c>
      <c r="B282" s="3156" t="s">
        <v>2954</v>
      </c>
      <c r="C282" s="3156">
        <v>5360</v>
      </c>
      <c r="D282" s="3156">
        <v>5300</v>
      </c>
      <c r="E282" s="3156">
        <v>6190</v>
      </c>
      <c r="F282" s="3162">
        <v>950</v>
      </c>
      <c r="G282" s="3162">
        <v>3190</v>
      </c>
      <c r="I282" s="972"/>
      <c r="J282" s="3191"/>
      <c r="K282" s="3191"/>
      <c r="L282" s="3191"/>
      <c r="M282" s="3191"/>
      <c r="N282" s="3191"/>
      <c r="O282" s="3191"/>
      <c r="P282" s="3191"/>
      <c r="Q282" s="3191"/>
      <c r="R282" s="3191"/>
      <c r="S282" s="3191"/>
      <c r="T282" s="3191"/>
      <c r="U282" s="3191"/>
    </row>
    <row r="283" spans="1:21" s="961" customFormat="1" ht="14.25" customHeight="1">
      <c r="A283" s="3156" t="s">
        <v>1156</v>
      </c>
      <c r="B283" s="3156" t="s">
        <v>1021</v>
      </c>
      <c r="C283" s="3156">
        <v>4950</v>
      </c>
      <c r="D283" s="3156">
        <v>4900</v>
      </c>
      <c r="E283" s="3156">
        <v>5720</v>
      </c>
      <c r="F283" s="3162">
        <v>920</v>
      </c>
      <c r="G283" s="3162">
        <v>2950</v>
      </c>
      <c r="I283" s="972"/>
      <c r="J283" s="3191"/>
      <c r="K283" s="3191"/>
      <c r="L283" s="3191"/>
      <c r="M283" s="3191"/>
      <c r="N283" s="3191"/>
      <c r="O283" s="3191"/>
      <c r="P283" s="3191"/>
      <c r="Q283" s="3191"/>
      <c r="R283" s="3191"/>
      <c r="S283" s="3191"/>
      <c r="T283" s="3191"/>
      <c r="U283" s="3191"/>
    </row>
    <row r="284" spans="1:21" s="961" customFormat="1" ht="14.25" customHeight="1">
      <c r="A284" s="3156" t="s">
        <v>1156</v>
      </c>
      <c r="B284" s="3156" t="s">
        <v>1029</v>
      </c>
      <c r="C284" s="3156">
        <v>5610</v>
      </c>
      <c r="D284" s="3156">
        <v>5560</v>
      </c>
      <c r="E284" s="3156">
        <v>6520</v>
      </c>
      <c r="F284" s="3162">
        <v>1030</v>
      </c>
      <c r="G284" s="3162">
        <v>3360</v>
      </c>
      <c r="I284" s="972"/>
      <c r="J284" s="3191"/>
      <c r="K284" s="3191"/>
      <c r="L284" s="3191"/>
      <c r="M284" s="3191"/>
      <c r="N284" s="3191"/>
      <c r="O284" s="3191"/>
      <c r="P284" s="3191"/>
      <c r="Q284" s="3191"/>
      <c r="R284" s="3191"/>
      <c r="S284" s="3191"/>
      <c r="T284" s="3191"/>
      <c r="U284" s="3191"/>
    </row>
    <row r="285" spans="1:21" s="961" customFormat="1" ht="14.25" customHeight="1">
      <c r="A285" s="3156" t="s">
        <v>1156</v>
      </c>
      <c r="B285" s="3156" t="s">
        <v>1039</v>
      </c>
      <c r="C285" s="3156">
        <v>5340</v>
      </c>
      <c r="D285" s="3156">
        <v>5290</v>
      </c>
      <c r="E285" s="3156">
        <v>6170</v>
      </c>
      <c r="F285" s="3162">
        <v>1080</v>
      </c>
      <c r="G285" s="3162">
        <v>3180</v>
      </c>
      <c r="I285" s="972"/>
      <c r="J285" s="3191"/>
      <c r="K285" s="3191"/>
      <c r="L285" s="3191"/>
      <c r="M285" s="3191"/>
      <c r="N285" s="3191"/>
      <c r="O285" s="3191"/>
      <c r="P285" s="3191"/>
      <c r="Q285" s="3191"/>
      <c r="R285" s="3191"/>
      <c r="S285" s="3191"/>
      <c r="T285" s="3191"/>
      <c r="U285" s="3191"/>
    </row>
    <row r="286" spans="1:21" s="961" customFormat="1" ht="14.25" customHeight="1">
      <c r="A286" s="3156" t="s">
        <v>1156</v>
      </c>
      <c r="B286" s="3156" t="s">
        <v>1046</v>
      </c>
      <c r="C286" s="3156">
        <v>4890</v>
      </c>
      <c r="D286" s="3156">
        <v>4840</v>
      </c>
      <c r="E286" s="3156">
        <v>5640</v>
      </c>
      <c r="F286" s="3162">
        <v>960</v>
      </c>
      <c r="G286" s="3162">
        <v>2910</v>
      </c>
      <c r="I286" s="972"/>
      <c r="J286" s="3191"/>
      <c r="K286" s="3191"/>
      <c r="L286" s="3191"/>
      <c r="M286" s="3191"/>
      <c r="N286" s="3191"/>
      <c r="O286" s="3191"/>
      <c r="P286" s="3191"/>
      <c r="Q286" s="3191"/>
      <c r="R286" s="3191"/>
      <c r="S286" s="3191"/>
      <c r="T286" s="3191"/>
      <c r="U286" s="3191"/>
    </row>
    <row r="287" spans="1:21" s="961" customFormat="1" ht="14.25" customHeight="1">
      <c r="A287" s="3156" t="s">
        <v>1156</v>
      </c>
      <c r="B287" s="3156" t="s">
        <v>2955</v>
      </c>
      <c r="C287" s="3156">
        <v>4960</v>
      </c>
      <c r="D287" s="3156">
        <v>4920</v>
      </c>
      <c r="E287" s="3156">
        <v>5730</v>
      </c>
      <c r="F287" s="3162">
        <v>930</v>
      </c>
      <c r="G287" s="3162">
        <v>2960</v>
      </c>
      <c r="I287" s="972"/>
      <c r="J287" s="3191"/>
      <c r="K287" s="3191"/>
      <c r="L287" s="3191"/>
      <c r="M287" s="3191"/>
      <c r="N287" s="3191"/>
      <c r="O287" s="3191"/>
      <c r="P287" s="3191"/>
      <c r="Q287" s="3191"/>
      <c r="R287" s="3191"/>
      <c r="S287" s="3191"/>
      <c r="T287" s="3191"/>
      <c r="U287" s="3191"/>
    </row>
    <row r="288" spans="1:21" s="961" customFormat="1" ht="14.25" customHeight="1">
      <c r="A288" s="3156" t="s">
        <v>1156</v>
      </c>
      <c r="B288" s="3156" t="s">
        <v>1067</v>
      </c>
      <c r="C288" s="3156">
        <v>4350</v>
      </c>
      <c r="D288" s="3156">
        <v>4300</v>
      </c>
      <c r="E288" s="3156">
        <v>4900</v>
      </c>
      <c r="F288" s="3162">
        <v>820</v>
      </c>
      <c r="G288" s="3162">
        <v>2590</v>
      </c>
      <c r="I288" s="972"/>
      <c r="J288" s="3191"/>
      <c r="K288" s="3191"/>
      <c r="L288" s="3191"/>
      <c r="M288" s="3191"/>
      <c r="N288" s="3191"/>
      <c r="O288" s="3191"/>
      <c r="P288" s="3191"/>
      <c r="Q288" s="3191"/>
      <c r="R288" s="3191"/>
      <c r="S288" s="3191"/>
      <c r="T288" s="3191"/>
      <c r="U288" s="3191"/>
    </row>
    <row r="289" spans="1:21" s="961" customFormat="1" ht="14.25" customHeight="1">
      <c r="A289" s="3156" t="s">
        <v>1156</v>
      </c>
      <c r="B289" s="3156" t="s">
        <v>2956</v>
      </c>
      <c r="C289" s="3156">
        <v>5230</v>
      </c>
      <c r="D289" s="3156">
        <v>5170</v>
      </c>
      <c r="E289" s="3156">
        <v>6060</v>
      </c>
      <c r="F289" s="3156">
        <v>900</v>
      </c>
      <c r="G289" s="3156">
        <v>3120</v>
      </c>
      <c r="H289" s="958"/>
      <c r="I289" s="972"/>
      <c r="J289" s="3191"/>
      <c r="K289" s="3191"/>
      <c r="L289" s="3191"/>
      <c r="M289" s="3191"/>
      <c r="N289" s="3191"/>
      <c r="O289" s="3191"/>
      <c r="P289" s="3191"/>
      <c r="Q289" s="3191"/>
      <c r="R289" s="3191"/>
      <c r="S289" s="3191"/>
      <c r="T289" s="3191"/>
      <c r="U289" s="3191"/>
    </row>
    <row r="290" spans="1:21" s="961" customFormat="1" ht="14.25" customHeight="1">
      <c r="A290" s="1215" t="s">
        <v>1156</v>
      </c>
      <c r="B290" s="1215" t="s">
        <v>1090</v>
      </c>
      <c r="C290" s="1215">
        <v>5550</v>
      </c>
      <c r="D290" s="1215">
        <v>5500</v>
      </c>
      <c r="E290" s="1215">
        <v>6440</v>
      </c>
      <c r="F290" s="3157">
        <v>960</v>
      </c>
      <c r="G290" s="3173">
        <v>3320</v>
      </c>
      <c r="I290" s="972"/>
      <c r="J290" s="3191"/>
      <c r="K290" s="3191"/>
      <c r="L290" s="3191"/>
      <c r="M290" s="3191"/>
      <c r="N290" s="3191"/>
      <c r="O290" s="3191"/>
      <c r="P290" s="3191"/>
      <c r="Q290" s="3191"/>
      <c r="R290" s="3191"/>
      <c r="S290" s="3191"/>
      <c r="T290" s="3191"/>
      <c r="U290" s="3191"/>
    </row>
    <row r="291" spans="1:21" s="961" customFormat="1" ht="14.25" customHeight="1">
      <c r="A291" s="3156" t="s">
        <v>1156</v>
      </c>
      <c r="B291" s="3156" t="s">
        <v>1098</v>
      </c>
      <c r="C291" s="3156">
        <v>5440</v>
      </c>
      <c r="D291" s="3156">
        <v>5400</v>
      </c>
      <c r="E291" s="3156">
        <v>6320</v>
      </c>
      <c r="F291" s="3162">
        <v>930</v>
      </c>
      <c r="G291" s="3164">
        <v>3250</v>
      </c>
      <c r="I291" s="972"/>
      <c r="J291" s="3191"/>
      <c r="K291" s="3191"/>
      <c r="L291" s="3191"/>
      <c r="M291" s="3191"/>
      <c r="N291" s="3191"/>
      <c r="O291" s="3191"/>
      <c r="P291" s="3191"/>
      <c r="Q291" s="3191"/>
      <c r="R291" s="3191"/>
      <c r="S291" s="3191"/>
      <c r="T291" s="3191"/>
      <c r="U291" s="3191"/>
    </row>
    <row r="292" spans="1:21" s="961" customFormat="1" ht="14.25" customHeight="1">
      <c r="A292" s="3156" t="s">
        <v>1156</v>
      </c>
      <c r="B292" s="3156" t="s">
        <v>1104</v>
      </c>
      <c r="C292" s="3156">
        <v>5400</v>
      </c>
      <c r="D292" s="3156">
        <v>5360</v>
      </c>
      <c r="E292" s="3156">
        <v>6270</v>
      </c>
      <c r="F292" s="3162">
        <v>1040</v>
      </c>
      <c r="G292" s="3162">
        <v>3230</v>
      </c>
      <c r="I292" s="972"/>
      <c r="J292" s="3191"/>
      <c r="K292" s="3191"/>
      <c r="L292" s="3191"/>
      <c r="M292" s="3191"/>
      <c r="N292" s="3191"/>
      <c r="O292" s="3191"/>
      <c r="P292" s="3191"/>
      <c r="Q292" s="3191"/>
      <c r="R292" s="3191"/>
      <c r="S292" s="3191"/>
      <c r="T292" s="3191"/>
      <c r="U292" s="3191"/>
    </row>
    <row r="293" spans="1:21" s="961" customFormat="1" ht="14.25" customHeight="1">
      <c r="A293" s="3156" t="s">
        <v>1156</v>
      </c>
      <c r="B293" s="3156" t="s">
        <v>2957</v>
      </c>
      <c r="C293" s="3156">
        <v>5320</v>
      </c>
      <c r="D293" s="3156">
        <v>5270</v>
      </c>
      <c r="E293" s="3156">
        <v>6160</v>
      </c>
      <c r="F293" s="3162">
        <v>990</v>
      </c>
      <c r="G293" s="3162">
        <v>3170</v>
      </c>
      <c r="I293" s="972"/>
      <c r="J293" s="3191"/>
      <c r="K293" s="3191"/>
      <c r="L293" s="3191"/>
      <c r="M293" s="3191"/>
      <c r="N293" s="3191"/>
      <c r="O293" s="3191"/>
      <c r="P293" s="3191"/>
      <c r="Q293" s="3191"/>
      <c r="R293" s="3191"/>
      <c r="S293" s="3191"/>
      <c r="T293" s="3191"/>
      <c r="U293" s="3191"/>
    </row>
    <row r="294" spans="1:21" s="961" customFormat="1" ht="14.25" customHeight="1">
      <c r="A294" s="3156" t="s">
        <v>1156</v>
      </c>
      <c r="B294" s="3156" t="s">
        <v>2958</v>
      </c>
      <c r="C294" s="3156">
        <v>5260</v>
      </c>
      <c r="D294" s="3156">
        <v>5210</v>
      </c>
      <c r="E294" s="3156">
        <v>6100</v>
      </c>
      <c r="F294" s="3162">
        <v>950</v>
      </c>
      <c r="G294" s="3162">
        <v>3150</v>
      </c>
      <c r="I294" s="972"/>
      <c r="J294" s="3191"/>
      <c r="K294" s="3191"/>
      <c r="L294" s="3191"/>
      <c r="M294" s="3191"/>
      <c r="N294" s="3191"/>
      <c r="O294" s="3191"/>
      <c r="P294" s="3191"/>
      <c r="Q294" s="3191"/>
      <c r="R294" s="3191"/>
      <c r="S294" s="3191"/>
      <c r="T294" s="3191"/>
      <c r="U294" s="3191"/>
    </row>
    <row r="295" spans="1:21" s="961" customFormat="1" ht="14.25" customHeight="1">
      <c r="A295" s="3156" t="s">
        <v>1156</v>
      </c>
      <c r="B295" s="3156" t="s">
        <v>1139</v>
      </c>
      <c r="C295" s="3156">
        <v>5610</v>
      </c>
      <c r="D295" s="3156">
        <v>5570</v>
      </c>
      <c r="E295" s="3156">
        <v>6530</v>
      </c>
      <c r="F295" s="3162">
        <v>960</v>
      </c>
      <c r="G295" s="3162">
        <v>3360</v>
      </c>
      <c r="I295" s="972"/>
      <c r="J295" s="3191"/>
      <c r="K295" s="3191"/>
      <c r="L295" s="3191"/>
      <c r="M295" s="3191"/>
      <c r="N295" s="3191"/>
      <c r="O295" s="3191"/>
      <c r="P295" s="3191"/>
      <c r="Q295" s="3191"/>
      <c r="R295" s="3191"/>
      <c r="S295" s="3191"/>
      <c r="T295" s="3191"/>
      <c r="U295" s="3191"/>
    </row>
    <row r="296" spans="1:21" s="961" customFormat="1" ht="14.25" customHeight="1">
      <c r="A296" s="3156" t="s">
        <v>1156</v>
      </c>
      <c r="B296" s="3156" t="s">
        <v>1142</v>
      </c>
      <c r="C296" s="3156">
        <v>5540</v>
      </c>
      <c r="D296" s="3156">
        <v>5490</v>
      </c>
      <c r="E296" s="3156">
        <v>6430</v>
      </c>
      <c r="F296" s="3162">
        <v>980</v>
      </c>
      <c r="G296" s="3162">
        <v>3310</v>
      </c>
      <c r="I296" s="972"/>
      <c r="J296" s="3191"/>
      <c r="K296" s="3191"/>
      <c r="L296" s="3191"/>
      <c r="M296" s="3191"/>
      <c r="N296" s="3191"/>
      <c r="O296" s="3191"/>
      <c r="P296" s="3191"/>
      <c r="Q296" s="3191"/>
      <c r="R296" s="3191"/>
      <c r="S296" s="3191"/>
      <c r="T296" s="3191"/>
      <c r="U296" s="3191"/>
    </row>
    <row r="297" spans="1:21" s="961" customFormat="1" ht="14.25" customHeight="1">
      <c r="A297" s="3156" t="s">
        <v>1156</v>
      </c>
      <c r="B297" s="3156" t="s">
        <v>1144</v>
      </c>
      <c r="C297" s="3156">
        <v>5480</v>
      </c>
      <c r="D297" s="3156">
        <v>5420</v>
      </c>
      <c r="E297" s="3156">
        <v>6370</v>
      </c>
      <c r="F297" s="3162">
        <v>990</v>
      </c>
      <c r="G297" s="3162">
        <v>3270</v>
      </c>
      <c r="I297" s="972"/>
      <c r="J297" s="3191"/>
      <c r="K297" s="3191"/>
      <c r="L297" s="3191"/>
      <c r="M297" s="3191"/>
      <c r="N297" s="3191"/>
      <c r="O297" s="3191"/>
      <c r="P297" s="3191"/>
      <c r="Q297" s="3191"/>
      <c r="R297" s="3191"/>
      <c r="S297" s="3191"/>
      <c r="T297" s="3191"/>
      <c r="U297" s="3191"/>
    </row>
    <row r="298" spans="1:21" s="961" customFormat="1" ht="14.25" customHeight="1">
      <c r="A298" s="3156" t="s">
        <v>1156</v>
      </c>
      <c r="B298" s="3156" t="s">
        <v>1147</v>
      </c>
      <c r="C298" s="3156">
        <v>5090</v>
      </c>
      <c r="D298" s="3156">
        <v>5050</v>
      </c>
      <c r="E298" s="3156">
        <v>5910</v>
      </c>
      <c r="F298" s="3162">
        <v>900</v>
      </c>
      <c r="G298" s="3162">
        <v>3040</v>
      </c>
      <c r="I298" s="972"/>
      <c r="J298" s="3191"/>
      <c r="K298" s="3191"/>
      <c r="L298" s="3191"/>
      <c r="M298" s="3191"/>
      <c r="N298" s="3191"/>
      <c r="O298" s="3191"/>
      <c r="P298" s="3191"/>
      <c r="Q298" s="3191"/>
      <c r="R298" s="3191"/>
      <c r="S298" s="3191"/>
      <c r="T298" s="3191"/>
      <c r="U298" s="3191"/>
    </row>
    <row r="299" spans="1:21" s="961" customFormat="1" ht="14.25" customHeight="1">
      <c r="A299" s="3156" t="s">
        <v>1156</v>
      </c>
      <c r="B299" s="3156" t="s">
        <v>2959</v>
      </c>
      <c r="C299" s="3156">
        <v>5430</v>
      </c>
      <c r="D299" s="3156">
        <v>5380</v>
      </c>
      <c r="E299" s="3156">
        <v>6280</v>
      </c>
      <c r="F299" s="3162">
        <v>1000</v>
      </c>
      <c r="G299" s="3164">
        <v>3240</v>
      </c>
      <c r="I299" s="972"/>
      <c r="J299" s="3191"/>
      <c r="K299" s="3191"/>
      <c r="L299" s="3191"/>
      <c r="M299" s="3191"/>
      <c r="N299" s="3191"/>
      <c r="O299" s="3191"/>
      <c r="P299" s="3191"/>
      <c r="Q299" s="3191"/>
      <c r="R299" s="3191"/>
      <c r="S299" s="3191"/>
      <c r="T299" s="3191"/>
      <c r="U299" s="3191"/>
    </row>
    <row r="300" spans="1:21" s="961" customFormat="1" ht="14.25" customHeight="1">
      <c r="A300" s="3156" t="s">
        <v>1156</v>
      </c>
      <c r="B300" s="3156" t="s">
        <v>1119</v>
      </c>
      <c r="C300" s="3156">
        <v>4740</v>
      </c>
      <c r="D300" s="3156">
        <v>4680</v>
      </c>
      <c r="E300" s="3156">
        <v>5450</v>
      </c>
      <c r="F300" s="3162">
        <v>900</v>
      </c>
      <c r="G300" s="3162">
        <v>2830</v>
      </c>
      <c r="I300" s="972"/>
      <c r="J300" s="3191"/>
      <c r="K300" s="3191"/>
      <c r="L300" s="3191"/>
      <c r="M300" s="3191"/>
      <c r="N300" s="3191"/>
      <c r="O300" s="3191"/>
      <c r="P300" s="3191"/>
      <c r="Q300" s="3191"/>
      <c r="R300" s="3191"/>
      <c r="S300" s="3191"/>
      <c r="T300" s="3191"/>
      <c r="U300" s="3191"/>
    </row>
    <row r="301" spans="1:21" s="961" customFormat="1" ht="14.25" customHeight="1">
      <c r="A301" s="3156" t="s">
        <v>1156</v>
      </c>
      <c r="B301" s="3156" t="s">
        <v>1125</v>
      </c>
      <c r="C301" s="3156">
        <v>4870</v>
      </c>
      <c r="D301" s="3156">
        <v>4810</v>
      </c>
      <c r="E301" s="3156">
        <v>5560</v>
      </c>
      <c r="F301" s="3162">
        <v>990</v>
      </c>
      <c r="G301" s="3164">
        <v>2910</v>
      </c>
      <c r="I301" s="972"/>
      <c r="J301" s="3191"/>
      <c r="K301" s="3191"/>
      <c r="L301" s="3191"/>
      <c r="M301" s="3191"/>
      <c r="N301" s="3191"/>
      <c r="O301" s="3191"/>
      <c r="P301" s="3191"/>
      <c r="Q301" s="3191"/>
      <c r="R301" s="3191"/>
      <c r="S301" s="3191"/>
      <c r="T301" s="3191"/>
      <c r="U301" s="3191"/>
    </row>
    <row r="302" spans="1:21" s="961" customFormat="1" ht="14.25" customHeight="1">
      <c r="A302" s="3156" t="s">
        <v>1156</v>
      </c>
      <c r="B302" s="3156" t="s">
        <v>2960</v>
      </c>
      <c r="C302" s="3156">
        <v>5520</v>
      </c>
      <c r="D302" s="3156">
        <v>5470</v>
      </c>
      <c r="E302" s="3156">
        <v>6410</v>
      </c>
      <c r="F302" s="3162">
        <v>950</v>
      </c>
      <c r="G302" s="3162">
        <v>3300</v>
      </c>
      <c r="I302" s="972"/>
      <c r="J302" s="3191"/>
      <c r="K302" s="3191"/>
      <c r="L302" s="3191"/>
      <c r="M302" s="3191"/>
      <c r="N302" s="3191"/>
      <c r="O302" s="3191"/>
      <c r="P302" s="3191"/>
      <c r="Q302" s="3191"/>
      <c r="R302" s="3191"/>
      <c r="S302" s="3191"/>
      <c r="T302" s="3191"/>
      <c r="U302" s="3191"/>
    </row>
    <row r="303" spans="1:21" s="961" customFormat="1" ht="14.25" customHeight="1">
      <c r="A303" s="3156" t="s">
        <v>1156</v>
      </c>
      <c r="B303" s="3156" t="s">
        <v>2961</v>
      </c>
      <c r="C303" s="3156">
        <v>5630</v>
      </c>
      <c r="D303" s="3156">
        <v>5590</v>
      </c>
      <c r="E303" s="3156">
        <v>6550</v>
      </c>
      <c r="F303" s="3162">
        <v>1010</v>
      </c>
      <c r="G303" s="3162">
        <v>3370</v>
      </c>
      <c r="I303" s="972"/>
      <c r="J303" s="3191"/>
      <c r="K303" s="3191"/>
      <c r="L303" s="3191"/>
      <c r="M303" s="3191"/>
      <c r="N303" s="3191"/>
      <c r="O303" s="3191"/>
      <c r="P303" s="3191"/>
      <c r="Q303" s="3191"/>
      <c r="R303" s="3191"/>
      <c r="S303" s="3191"/>
      <c r="T303" s="3191"/>
      <c r="U303" s="3191"/>
    </row>
    <row r="304" spans="1:21" s="961" customFormat="1" ht="14.25" customHeight="1">
      <c r="A304" s="3156" t="s">
        <v>1156</v>
      </c>
      <c r="B304" s="3156" t="s">
        <v>2962</v>
      </c>
      <c r="C304" s="3156">
        <v>5680</v>
      </c>
      <c r="D304" s="3156">
        <v>5620</v>
      </c>
      <c r="E304" s="3156">
        <v>6620</v>
      </c>
      <c r="F304" s="3162">
        <v>1050</v>
      </c>
      <c r="G304" s="3164">
        <v>3390</v>
      </c>
      <c r="I304" s="972"/>
      <c r="J304" s="3191"/>
      <c r="K304" s="3191"/>
      <c r="L304" s="3191"/>
      <c r="M304" s="3191"/>
      <c r="N304" s="3191"/>
      <c r="O304" s="3191"/>
      <c r="P304" s="3191"/>
      <c r="Q304" s="3191"/>
      <c r="R304" s="3191"/>
      <c r="S304" s="3191"/>
      <c r="T304" s="3191"/>
      <c r="U304" s="3191"/>
    </row>
    <row r="305" spans="1:21" s="961" customFormat="1" ht="14.25" customHeight="1">
      <c r="A305" s="3156" t="s">
        <v>1156</v>
      </c>
      <c r="B305" s="3156" t="s">
        <v>2963</v>
      </c>
      <c r="C305" s="3156">
        <v>5590</v>
      </c>
      <c r="D305" s="3156">
        <v>5530</v>
      </c>
      <c r="E305" s="3156">
        <v>6460</v>
      </c>
      <c r="F305" s="3162">
        <v>900</v>
      </c>
      <c r="G305" s="3162">
        <v>3340</v>
      </c>
      <c r="I305" s="972"/>
      <c r="J305" s="3191"/>
      <c r="K305" s="3191"/>
      <c r="L305" s="3191"/>
      <c r="M305" s="3191"/>
      <c r="N305" s="3191"/>
      <c r="O305" s="3191"/>
      <c r="P305" s="3191"/>
      <c r="Q305" s="3191"/>
      <c r="R305" s="3191"/>
      <c r="S305" s="3191"/>
      <c r="T305" s="3191"/>
      <c r="U305" s="3191"/>
    </row>
    <row r="306" spans="1:21" s="961" customFormat="1" ht="14.25" customHeight="1">
      <c r="A306" s="3156" t="s">
        <v>1156</v>
      </c>
      <c r="B306" s="3156" t="s">
        <v>2964</v>
      </c>
      <c r="C306" s="3156">
        <v>5560</v>
      </c>
      <c r="D306" s="3156">
        <v>5510</v>
      </c>
      <c r="E306" s="3156">
        <v>6440</v>
      </c>
      <c r="F306" s="3162">
        <v>900</v>
      </c>
      <c r="G306" s="3164">
        <v>3320</v>
      </c>
      <c r="I306" s="972"/>
      <c r="J306" s="3191"/>
      <c r="K306" s="3191"/>
      <c r="L306" s="3191"/>
      <c r="M306" s="3191"/>
      <c r="N306" s="3191"/>
      <c r="O306" s="3191"/>
      <c r="P306" s="3191"/>
      <c r="Q306" s="3191"/>
      <c r="R306" s="3191"/>
      <c r="S306" s="3191"/>
      <c r="T306" s="3191"/>
      <c r="U306" s="3191"/>
    </row>
    <row r="307" spans="1:21" s="961" customFormat="1" ht="14.25" customHeight="1">
      <c r="A307" s="3156" t="s">
        <v>1156</v>
      </c>
      <c r="B307" s="3156" t="s">
        <v>2965</v>
      </c>
      <c r="C307" s="3156">
        <v>5650</v>
      </c>
      <c r="D307" s="3156">
        <v>5600</v>
      </c>
      <c r="E307" s="3156">
        <v>6590</v>
      </c>
      <c r="F307" s="3162">
        <v>930</v>
      </c>
      <c r="G307" s="3162">
        <v>3380</v>
      </c>
      <c r="I307" s="972"/>
      <c r="J307" s="3191"/>
      <c r="K307" s="3191"/>
      <c r="L307" s="3191"/>
      <c r="M307" s="3191"/>
      <c r="N307" s="3191"/>
      <c r="O307" s="3191"/>
      <c r="P307" s="3191"/>
      <c r="Q307" s="3191"/>
      <c r="R307" s="3191"/>
      <c r="S307" s="3191"/>
      <c r="T307" s="3191"/>
      <c r="U307" s="3191"/>
    </row>
    <row r="308" spans="1:21" s="961" customFormat="1" ht="14.25" customHeight="1">
      <c r="A308" s="3156" t="s">
        <v>1156</v>
      </c>
      <c r="B308" s="3156" t="s">
        <v>2966</v>
      </c>
      <c r="C308" s="3156">
        <v>5620</v>
      </c>
      <c r="D308" s="3156">
        <v>5580</v>
      </c>
      <c r="E308" s="3156">
        <v>6540</v>
      </c>
      <c r="F308" s="3162">
        <v>910</v>
      </c>
      <c r="G308" s="3162">
        <v>3370</v>
      </c>
      <c r="I308" s="972"/>
      <c r="J308" s="3191"/>
      <c r="K308" s="3191"/>
      <c r="L308" s="3191"/>
      <c r="M308" s="3191"/>
      <c r="N308" s="3191"/>
      <c r="O308" s="3191"/>
      <c r="P308" s="3191"/>
      <c r="Q308" s="3191"/>
      <c r="R308" s="3191"/>
      <c r="S308" s="3191"/>
      <c r="T308" s="3191"/>
      <c r="U308" s="3191"/>
    </row>
    <row r="309" spans="1:21" s="961" customFormat="1" ht="14.25" customHeight="1">
      <c r="A309" s="3156" t="s">
        <v>1156</v>
      </c>
      <c r="B309" s="3156" t="s">
        <v>2967</v>
      </c>
      <c r="C309" s="3156">
        <v>5060</v>
      </c>
      <c r="D309" s="3156">
        <v>5020</v>
      </c>
      <c r="E309" s="3156">
        <v>6370</v>
      </c>
      <c r="F309" s="3162">
        <v>800</v>
      </c>
      <c r="G309" s="3164">
        <v>3020</v>
      </c>
      <c r="I309" s="972"/>
      <c r="J309" s="3191"/>
      <c r="K309" s="3191"/>
      <c r="L309" s="3191"/>
      <c r="M309" s="3191"/>
      <c r="N309" s="3191"/>
      <c r="O309" s="3191"/>
      <c r="P309" s="3191"/>
      <c r="Q309" s="3191"/>
      <c r="R309" s="3191"/>
      <c r="S309" s="3191"/>
      <c r="T309" s="3191"/>
      <c r="U309" s="3191"/>
    </row>
    <row r="310" spans="1:21" s="961" customFormat="1" ht="14.25" customHeight="1">
      <c r="A310" s="3156" t="s">
        <v>1156</v>
      </c>
      <c r="B310" s="3156" t="s">
        <v>2968</v>
      </c>
      <c r="C310" s="3156">
        <v>5150</v>
      </c>
      <c r="D310" s="3156">
        <v>5110</v>
      </c>
      <c r="E310" s="3156">
        <v>6500</v>
      </c>
      <c r="F310" s="3162">
        <v>880</v>
      </c>
      <c r="G310" s="3162">
        <v>3080</v>
      </c>
      <c r="I310" s="972"/>
      <c r="J310" s="3191"/>
      <c r="K310" s="3191"/>
      <c r="L310" s="3191"/>
      <c r="M310" s="3191"/>
      <c r="N310" s="3191"/>
      <c r="O310" s="3191"/>
      <c r="P310" s="3191"/>
      <c r="Q310" s="3191"/>
      <c r="R310" s="3191"/>
      <c r="S310" s="3191"/>
      <c r="T310" s="3191"/>
      <c r="U310" s="3191"/>
    </row>
    <row r="311" spans="1:21" s="961" customFormat="1" ht="14.25" customHeight="1">
      <c r="A311" s="3156" t="s">
        <v>1156</v>
      </c>
      <c r="B311" s="3156" t="s">
        <v>2969</v>
      </c>
      <c r="C311" s="3156">
        <v>4750</v>
      </c>
      <c r="D311" s="3156">
        <v>4710</v>
      </c>
      <c r="E311" s="3156">
        <v>5510</v>
      </c>
      <c r="F311" s="3162">
        <v>880</v>
      </c>
      <c r="G311" s="3162">
        <v>2840</v>
      </c>
      <c r="I311" s="972"/>
      <c r="J311" s="3191"/>
      <c r="K311" s="3191"/>
      <c r="L311" s="3191"/>
      <c r="M311" s="3191"/>
      <c r="N311" s="3191"/>
      <c r="O311" s="3191"/>
      <c r="P311" s="3191"/>
      <c r="Q311" s="3191"/>
      <c r="R311" s="3191"/>
      <c r="S311" s="3191"/>
      <c r="T311" s="3191"/>
      <c r="U311" s="3191"/>
    </row>
    <row r="312" spans="1:21" s="961" customFormat="1" ht="14.25" customHeight="1">
      <c r="A312" s="3156" t="s">
        <v>1156</v>
      </c>
      <c r="B312" s="3156" t="s">
        <v>2970</v>
      </c>
      <c r="C312" s="3156">
        <v>4690</v>
      </c>
      <c r="D312" s="3156">
        <v>4640</v>
      </c>
      <c r="E312" s="3156">
        <v>5420</v>
      </c>
      <c r="F312" s="3162">
        <v>800</v>
      </c>
      <c r="G312" s="3162">
        <v>2800</v>
      </c>
      <c r="I312" s="972"/>
      <c r="J312" s="3191"/>
      <c r="K312" s="3191"/>
      <c r="L312" s="3191"/>
      <c r="M312" s="3191"/>
      <c r="N312" s="3191"/>
      <c r="O312" s="3191"/>
      <c r="P312" s="3191"/>
      <c r="Q312" s="3191"/>
      <c r="R312" s="3191"/>
      <c r="S312" s="3191"/>
      <c r="T312" s="3191"/>
      <c r="U312" s="3191"/>
    </row>
    <row r="313" spans="1:21" s="961" customFormat="1" ht="14.25" customHeight="1">
      <c r="A313" s="3156" t="s">
        <v>1156</v>
      </c>
      <c r="B313" s="3156" t="s">
        <v>2971</v>
      </c>
      <c r="C313" s="3156">
        <v>4810</v>
      </c>
      <c r="D313" s="3156">
        <v>4760</v>
      </c>
      <c r="E313" s="3156">
        <v>5550</v>
      </c>
      <c r="F313" s="3162">
        <v>920</v>
      </c>
      <c r="G313" s="3162">
        <v>2870</v>
      </c>
      <c r="I313" s="972"/>
      <c r="J313" s="3191"/>
      <c r="K313" s="3191"/>
      <c r="L313" s="3191"/>
      <c r="M313" s="3191"/>
      <c r="N313" s="3191"/>
      <c r="O313" s="3191"/>
      <c r="P313" s="3191"/>
      <c r="Q313" s="3191"/>
      <c r="R313" s="3191"/>
      <c r="S313" s="3191"/>
      <c r="T313" s="3191"/>
      <c r="U313" s="3191"/>
    </row>
    <row r="314" spans="1:21" s="961" customFormat="1" ht="14.25" customHeight="1">
      <c r="A314" s="3156" t="s">
        <v>1156</v>
      </c>
      <c r="B314" s="3156" t="s">
        <v>2972</v>
      </c>
      <c r="C314" s="3156"/>
      <c r="D314" s="3156"/>
      <c r="E314" s="3156"/>
      <c r="F314" s="3162">
        <v>1020</v>
      </c>
      <c r="G314" s="3162"/>
      <c r="I314" s="972"/>
      <c r="J314" s="3191"/>
      <c r="K314" s="3191"/>
      <c r="L314" s="3191"/>
      <c r="M314" s="3191"/>
      <c r="N314" s="3191"/>
      <c r="O314" s="3191"/>
      <c r="P314" s="3191"/>
      <c r="Q314" s="3191"/>
      <c r="R314" s="3191"/>
      <c r="S314" s="3191"/>
      <c r="T314" s="3191"/>
      <c r="U314" s="3191"/>
    </row>
    <row r="315" spans="1:21" s="961" customFormat="1" ht="14.25" customHeight="1">
      <c r="A315" s="3156" t="s">
        <v>1156</v>
      </c>
      <c r="B315" s="3156" t="s">
        <v>2973</v>
      </c>
      <c r="C315" s="3156"/>
      <c r="D315" s="3156"/>
      <c r="E315" s="3156"/>
      <c r="F315" s="3162">
        <v>1050</v>
      </c>
      <c r="G315" s="3162"/>
      <c r="I315" s="972"/>
      <c r="J315" s="3191"/>
      <c r="K315" s="3191"/>
      <c r="L315" s="3191"/>
      <c r="M315" s="3191"/>
      <c r="N315" s="3191"/>
      <c r="O315" s="3191"/>
      <c r="P315" s="3191"/>
      <c r="Q315" s="3191"/>
      <c r="R315" s="3191"/>
      <c r="S315" s="3191"/>
      <c r="T315" s="3191"/>
      <c r="U315" s="3191"/>
    </row>
    <row r="316" spans="1:21" s="961" customFormat="1" ht="14.25" customHeight="1">
      <c r="A316" s="3156" t="s">
        <v>1156</v>
      </c>
      <c r="B316" s="3156" t="s">
        <v>2974</v>
      </c>
      <c r="C316" s="3156"/>
      <c r="D316" s="3156"/>
      <c r="E316" s="3156"/>
      <c r="F316" s="3162">
        <v>900</v>
      </c>
      <c r="G316" s="3169"/>
      <c r="I316" s="972"/>
      <c r="J316" s="3191"/>
      <c r="K316" s="3191"/>
      <c r="L316" s="3191"/>
      <c r="M316" s="3191"/>
      <c r="N316" s="3191"/>
      <c r="O316" s="3191"/>
      <c r="P316" s="3191"/>
      <c r="Q316" s="3191"/>
      <c r="R316" s="3191"/>
      <c r="S316" s="3191"/>
      <c r="T316" s="3191"/>
      <c r="U316" s="3191"/>
    </row>
    <row r="317" spans="1:21" s="961" customFormat="1" ht="14.25" customHeight="1">
      <c r="A317" s="1215" t="s">
        <v>1156</v>
      </c>
      <c r="B317" s="1215" t="s">
        <v>2975</v>
      </c>
      <c r="C317" s="1215"/>
      <c r="D317" s="1215"/>
      <c r="E317" s="1215"/>
      <c r="F317" s="3157">
        <v>920</v>
      </c>
      <c r="G317" s="3157"/>
      <c r="I317" s="958"/>
      <c r="J317" s="3191"/>
      <c r="K317" s="3191"/>
      <c r="L317" s="3191"/>
      <c r="M317" s="3191"/>
      <c r="N317" s="3191"/>
      <c r="O317" s="3191"/>
      <c r="P317" s="3191"/>
      <c r="Q317" s="3191"/>
      <c r="R317" s="3191"/>
      <c r="S317" s="3191"/>
      <c r="T317" s="3191"/>
      <c r="U317" s="3191"/>
    </row>
    <row r="318" spans="1:21" s="961" customFormat="1" ht="14.25" customHeight="1">
      <c r="A318" s="3156" t="s">
        <v>1156</v>
      </c>
      <c r="B318" s="3156" t="s">
        <v>2976</v>
      </c>
      <c r="C318" s="3156"/>
      <c r="D318" s="3156"/>
      <c r="E318" s="3156"/>
      <c r="F318" s="3162">
        <v>1080</v>
      </c>
      <c r="G318" s="3164"/>
      <c r="I318" s="958"/>
      <c r="J318" s="3191"/>
      <c r="K318" s="3191"/>
      <c r="L318" s="3191"/>
      <c r="M318" s="3191"/>
      <c r="N318" s="3191"/>
      <c r="O318" s="3191"/>
      <c r="P318" s="3191"/>
      <c r="Q318" s="3191"/>
      <c r="R318" s="3191"/>
      <c r="S318" s="3191"/>
      <c r="T318" s="3191"/>
      <c r="U318" s="3191"/>
    </row>
    <row r="319" spans="1:21" s="961" customFormat="1" ht="14.25" customHeight="1">
      <c r="A319" s="3156" t="s">
        <v>1156</v>
      </c>
      <c r="B319" s="3156" t="s">
        <v>2977</v>
      </c>
      <c r="C319" s="3156"/>
      <c r="D319" s="3156"/>
      <c r="E319" s="3156"/>
      <c r="F319" s="3162">
        <v>1020</v>
      </c>
      <c r="G319" s="3162"/>
      <c r="I319" s="958"/>
      <c r="J319" s="3191"/>
      <c r="K319" s="3191"/>
      <c r="L319" s="3191"/>
      <c r="M319" s="3191"/>
      <c r="N319" s="3191"/>
      <c r="O319" s="3191"/>
      <c r="P319" s="3191"/>
      <c r="Q319" s="3191"/>
      <c r="R319" s="3191"/>
      <c r="S319" s="3191"/>
      <c r="T319" s="3191"/>
      <c r="U319" s="3191"/>
    </row>
    <row r="320" spans="1:21" s="961" customFormat="1" ht="14.25" customHeight="1">
      <c r="A320" s="3156" t="s">
        <v>1156</v>
      </c>
      <c r="B320" s="3156" t="s">
        <v>2978</v>
      </c>
      <c r="C320" s="3156"/>
      <c r="D320" s="3156"/>
      <c r="E320" s="3156"/>
      <c r="F320" s="3162">
        <v>1050</v>
      </c>
      <c r="G320" s="3164"/>
      <c r="I320" s="958"/>
      <c r="J320" s="3191"/>
      <c r="K320" s="3191"/>
      <c r="L320" s="3191"/>
      <c r="M320" s="3191"/>
      <c r="N320" s="3191"/>
      <c r="O320" s="3191"/>
      <c r="P320" s="3191"/>
      <c r="Q320" s="3191"/>
      <c r="R320" s="3191"/>
      <c r="S320" s="3191"/>
      <c r="T320" s="3191"/>
      <c r="U320" s="3191"/>
    </row>
    <row r="321" spans="1:21" s="961" customFormat="1" ht="14.25" customHeight="1">
      <c r="A321" s="3156" t="s">
        <v>1156</v>
      </c>
      <c r="B321" s="3156" t="s">
        <v>2979</v>
      </c>
      <c r="C321" s="3156"/>
      <c r="D321" s="3156"/>
      <c r="E321" s="3156"/>
      <c r="F321" s="3162">
        <v>960</v>
      </c>
      <c r="G321" s="3164"/>
      <c r="I321" s="958"/>
      <c r="J321" s="3191"/>
      <c r="K321" s="3191"/>
      <c r="L321" s="3191"/>
      <c r="M321" s="3191"/>
      <c r="N321" s="3191"/>
      <c r="O321" s="3191"/>
      <c r="P321" s="3191"/>
      <c r="Q321" s="3191"/>
      <c r="R321" s="3191"/>
      <c r="S321" s="3191"/>
      <c r="T321" s="3191"/>
      <c r="U321" s="3191"/>
    </row>
    <row r="322" spans="1:21" s="961" customFormat="1" ht="14.25" customHeight="1">
      <c r="A322" s="3156" t="s">
        <v>1156</v>
      </c>
      <c r="B322" s="3156" t="s">
        <v>2980</v>
      </c>
      <c r="C322" s="3156"/>
      <c r="D322" s="3156"/>
      <c r="E322" s="3156"/>
      <c r="F322" s="3162">
        <v>960</v>
      </c>
      <c r="G322" s="3162"/>
      <c r="I322" s="958"/>
      <c r="J322" s="3191"/>
      <c r="K322" s="3191"/>
      <c r="L322" s="3191"/>
      <c r="M322" s="3191"/>
      <c r="N322" s="3191"/>
      <c r="O322" s="3191"/>
      <c r="P322" s="3191"/>
      <c r="Q322" s="3191"/>
      <c r="R322" s="3191"/>
      <c r="S322" s="3191"/>
      <c r="T322" s="3191"/>
      <c r="U322" s="3191"/>
    </row>
    <row r="323" spans="1:21" s="961" customFormat="1" ht="14.25" customHeight="1">
      <c r="A323" s="3156" t="s">
        <v>1156</v>
      </c>
      <c r="B323" s="3156" t="s">
        <v>2981</v>
      </c>
      <c r="C323" s="3156"/>
      <c r="D323" s="3156"/>
      <c r="E323" s="3156"/>
      <c r="F323" s="3162">
        <v>880</v>
      </c>
      <c r="G323" s="3164"/>
      <c r="I323" s="958"/>
      <c r="J323" s="3191"/>
      <c r="K323" s="3191"/>
      <c r="L323" s="3191"/>
      <c r="M323" s="3191"/>
      <c r="N323" s="3191"/>
      <c r="O323" s="3191"/>
      <c r="P323" s="3191"/>
      <c r="Q323" s="3191"/>
      <c r="R323" s="3191"/>
      <c r="S323" s="3191"/>
      <c r="T323" s="3191"/>
      <c r="U323" s="3191"/>
    </row>
    <row r="324" spans="1:21" s="961" customFormat="1" ht="14.25" customHeight="1">
      <c r="A324" s="3156" t="s">
        <v>1156</v>
      </c>
      <c r="B324" s="3156" t="s">
        <v>2982</v>
      </c>
      <c r="C324" s="3156"/>
      <c r="D324" s="3156"/>
      <c r="E324" s="3156"/>
      <c r="F324" s="3162">
        <v>930</v>
      </c>
      <c r="G324" s="3164"/>
      <c r="I324" s="958"/>
      <c r="J324" s="3191"/>
      <c r="K324" s="3191"/>
      <c r="L324" s="3191"/>
      <c r="M324" s="3191"/>
      <c r="N324" s="3191"/>
      <c r="O324" s="3191"/>
      <c r="P324" s="3191"/>
      <c r="Q324" s="3191"/>
      <c r="R324" s="3191"/>
      <c r="S324" s="3191"/>
      <c r="T324" s="3191"/>
      <c r="U324" s="3191"/>
    </row>
    <row r="325" spans="1:21" s="961" customFormat="1" ht="14.25" customHeight="1">
      <c r="A325" s="3156" t="s">
        <v>1156</v>
      </c>
      <c r="B325" s="3156" t="s">
        <v>2983</v>
      </c>
      <c r="C325" s="3156"/>
      <c r="D325" s="3156"/>
      <c r="E325" s="3156"/>
      <c r="F325" s="3162">
        <v>900</v>
      </c>
      <c r="G325" s="3162"/>
      <c r="I325" s="958"/>
      <c r="J325" s="3191"/>
      <c r="K325" s="3191"/>
      <c r="L325" s="3191"/>
      <c r="M325" s="3191"/>
      <c r="N325" s="3191"/>
      <c r="O325" s="3191"/>
      <c r="P325" s="3191"/>
      <c r="Q325" s="3191"/>
      <c r="R325" s="3191"/>
      <c r="S325" s="3191"/>
      <c r="T325" s="3191"/>
      <c r="U325" s="3191"/>
    </row>
    <row r="326" spans="1:21" s="961" customFormat="1" ht="14.25" customHeight="1" thickBot="1">
      <c r="A326" s="3171" t="s">
        <v>1156</v>
      </c>
      <c r="B326" s="3159" t="s">
        <v>2984</v>
      </c>
      <c r="C326" s="3159"/>
      <c r="D326" s="3159"/>
      <c r="E326" s="3159"/>
      <c r="F326" s="3160">
        <v>790</v>
      </c>
      <c r="G326" s="3175"/>
      <c r="I326" s="958"/>
      <c r="J326" s="3191"/>
      <c r="K326" s="3191"/>
      <c r="L326" s="3191"/>
      <c r="M326" s="3191"/>
      <c r="N326" s="3191"/>
      <c r="O326" s="3191"/>
      <c r="P326" s="3191"/>
      <c r="Q326" s="3191"/>
      <c r="R326" s="3191"/>
      <c r="S326" s="3191"/>
      <c r="T326" s="3191"/>
      <c r="U326" s="3191"/>
    </row>
    <row r="327" spans="1:21" s="961" customFormat="1" ht="14.25" customHeight="1">
      <c r="A327" s="3170" t="s">
        <v>1157</v>
      </c>
      <c r="B327" s="2405" t="s">
        <v>2985</v>
      </c>
      <c r="C327" s="2405">
        <v>3750</v>
      </c>
      <c r="D327" s="2405">
        <v>3710</v>
      </c>
      <c r="E327" s="2405">
        <v>4080</v>
      </c>
      <c r="F327" s="3178">
        <v>860</v>
      </c>
      <c r="G327" s="3178">
        <v>2210</v>
      </c>
      <c r="I327" s="958"/>
      <c r="J327" s="3191"/>
      <c r="K327" s="3191"/>
      <c r="L327" s="3191"/>
      <c r="M327" s="3191"/>
      <c r="N327" s="3191"/>
      <c r="O327" s="3191"/>
      <c r="P327" s="3191"/>
      <c r="Q327" s="3191"/>
      <c r="R327" s="3191"/>
      <c r="S327" s="3191"/>
      <c r="T327" s="3191"/>
      <c r="U327" s="3191"/>
    </row>
    <row r="328" spans="1:21" s="961" customFormat="1" ht="14.25" customHeight="1">
      <c r="A328" s="3156" t="s">
        <v>1157</v>
      </c>
      <c r="B328" s="3156" t="s">
        <v>981</v>
      </c>
      <c r="C328" s="3156">
        <v>3330</v>
      </c>
      <c r="D328" s="3156">
        <v>3290</v>
      </c>
      <c r="E328" s="3156">
        <v>3610</v>
      </c>
      <c r="F328" s="3156">
        <v>850</v>
      </c>
      <c r="G328" s="3156">
        <v>1960</v>
      </c>
      <c r="H328" s="958"/>
      <c r="I328" s="958"/>
      <c r="J328" s="3191"/>
      <c r="K328" s="3191"/>
      <c r="L328" s="3191"/>
      <c r="M328" s="3191"/>
      <c r="N328" s="3191"/>
      <c r="O328" s="3191"/>
      <c r="P328" s="3191"/>
      <c r="Q328" s="3191"/>
      <c r="R328" s="3191"/>
      <c r="S328" s="3191"/>
      <c r="T328" s="3191"/>
      <c r="U328" s="3191"/>
    </row>
    <row r="329" spans="1:21" s="961" customFormat="1" ht="14.25" customHeight="1">
      <c r="A329" s="3156" t="s">
        <v>1157</v>
      </c>
      <c r="B329" s="3156" t="s">
        <v>2986</v>
      </c>
      <c r="C329" s="3156">
        <v>2730</v>
      </c>
      <c r="D329" s="3156">
        <v>2690</v>
      </c>
      <c r="E329" s="3156">
        <v>3100</v>
      </c>
      <c r="F329" s="3156">
        <v>660</v>
      </c>
      <c r="G329" s="3156">
        <v>1610</v>
      </c>
      <c r="H329" s="958"/>
      <c r="I329" s="958"/>
      <c r="J329" s="3191"/>
      <c r="K329" s="3191"/>
      <c r="L329" s="3191"/>
      <c r="M329" s="3191"/>
      <c r="N329" s="3191"/>
      <c r="O329" s="3191"/>
      <c r="P329" s="3191"/>
      <c r="Q329" s="3191"/>
      <c r="R329" s="3191"/>
      <c r="S329" s="3191"/>
      <c r="T329" s="3191"/>
      <c r="U329" s="3191"/>
    </row>
    <row r="330" spans="1:21" s="961" customFormat="1" ht="14.25" customHeight="1">
      <c r="A330" s="3156" t="s">
        <v>1157</v>
      </c>
      <c r="B330" s="3156" t="s">
        <v>2987</v>
      </c>
      <c r="C330" s="3156">
        <v>3270</v>
      </c>
      <c r="D330" s="3156">
        <v>3240</v>
      </c>
      <c r="E330" s="3156">
        <v>3560</v>
      </c>
      <c r="F330" s="3156">
        <v>680</v>
      </c>
      <c r="G330" s="3165">
        <v>1940</v>
      </c>
      <c r="H330" s="958"/>
      <c r="I330" s="958"/>
      <c r="J330" s="3191"/>
      <c r="K330" s="3191"/>
      <c r="L330" s="3191"/>
      <c r="M330" s="3191"/>
      <c r="N330" s="3191"/>
      <c r="O330" s="3191"/>
      <c r="P330" s="3191"/>
      <c r="Q330" s="3191"/>
      <c r="R330" s="3191"/>
      <c r="S330" s="3191"/>
      <c r="T330" s="3191"/>
      <c r="U330" s="3191"/>
    </row>
    <row r="331" spans="1:21" s="961" customFormat="1" ht="14.25" customHeight="1">
      <c r="A331" s="3156" t="s">
        <v>1157</v>
      </c>
      <c r="B331" s="3156" t="s">
        <v>1008</v>
      </c>
      <c r="C331" s="3156">
        <v>3770</v>
      </c>
      <c r="D331" s="3156">
        <v>3740</v>
      </c>
      <c r="E331" s="3156">
        <v>4110</v>
      </c>
      <c r="F331" s="3156">
        <v>730</v>
      </c>
      <c r="G331" s="3156">
        <v>2230</v>
      </c>
      <c r="H331" s="958"/>
      <c r="I331" s="958"/>
      <c r="J331" s="3191"/>
      <c r="K331" s="3191"/>
      <c r="L331" s="3191"/>
      <c r="M331" s="3191"/>
      <c r="N331" s="3191"/>
      <c r="O331" s="3191"/>
      <c r="P331" s="3191"/>
      <c r="Q331" s="3191"/>
      <c r="R331" s="3191"/>
      <c r="S331" s="3191"/>
      <c r="T331" s="3191"/>
      <c r="U331" s="3191"/>
    </row>
    <row r="332" spans="1:21" s="961" customFormat="1" ht="14.25" customHeight="1">
      <c r="A332" s="3156" t="s">
        <v>1157</v>
      </c>
      <c r="B332" s="3156" t="s">
        <v>2988</v>
      </c>
      <c r="C332" s="3156">
        <v>3520</v>
      </c>
      <c r="D332" s="3156">
        <v>3480</v>
      </c>
      <c r="E332" s="3156">
        <v>3830</v>
      </c>
      <c r="F332" s="3156">
        <v>720</v>
      </c>
      <c r="G332" s="3156">
        <v>2090</v>
      </c>
      <c r="H332" s="958"/>
      <c r="I332" s="958"/>
      <c r="J332" s="3191"/>
      <c r="K332" s="3191"/>
      <c r="L332" s="3191"/>
      <c r="M332" s="3191"/>
      <c r="N332" s="3191"/>
      <c r="O332" s="3191"/>
      <c r="P332" s="3191"/>
      <c r="Q332" s="3191"/>
      <c r="R332" s="3191"/>
      <c r="S332" s="3191"/>
      <c r="T332" s="3191"/>
      <c r="U332" s="3191"/>
    </row>
    <row r="333" spans="1:21" s="961" customFormat="1" ht="14.25" customHeight="1">
      <c r="A333" s="3156" t="s">
        <v>1157</v>
      </c>
      <c r="B333" s="3156" t="s">
        <v>2989</v>
      </c>
      <c r="C333" s="3156">
        <v>3840</v>
      </c>
      <c r="D333" s="3156">
        <v>3800</v>
      </c>
      <c r="E333" s="3156">
        <v>4200</v>
      </c>
      <c r="F333" s="3156">
        <v>760</v>
      </c>
      <c r="G333" s="3156">
        <v>2270</v>
      </c>
      <c r="H333" s="958"/>
      <c r="I333" s="958"/>
      <c r="J333" s="3191"/>
      <c r="K333" s="3191"/>
      <c r="L333" s="3191"/>
      <c r="M333" s="3191"/>
      <c r="N333" s="3191"/>
      <c r="O333" s="3191"/>
      <c r="P333" s="3191"/>
      <c r="Q333" s="3191"/>
      <c r="R333" s="3191"/>
      <c r="S333" s="3191"/>
      <c r="T333" s="3191"/>
      <c r="U333" s="3191"/>
    </row>
    <row r="334" spans="1:21" s="961" customFormat="1" ht="14.25" customHeight="1">
      <c r="A334" s="3156" t="s">
        <v>1157</v>
      </c>
      <c r="B334" s="3156" t="s">
        <v>1030</v>
      </c>
      <c r="C334" s="3156">
        <v>3960</v>
      </c>
      <c r="D334" s="3156">
        <v>3910</v>
      </c>
      <c r="E334" s="3156">
        <v>4340</v>
      </c>
      <c r="F334" s="3156">
        <v>780</v>
      </c>
      <c r="G334" s="3156">
        <v>2340</v>
      </c>
      <c r="H334" s="958"/>
      <c r="I334" s="958"/>
      <c r="J334" s="3191"/>
      <c r="K334" s="3191"/>
      <c r="L334" s="3191"/>
      <c r="M334" s="3191"/>
      <c r="N334" s="3191"/>
      <c r="O334" s="3191"/>
      <c r="P334" s="3191"/>
      <c r="Q334" s="3191"/>
      <c r="R334" s="3191"/>
      <c r="S334" s="3191"/>
      <c r="T334" s="3191"/>
      <c r="U334" s="3191"/>
    </row>
    <row r="335" spans="1:21" s="961" customFormat="1" ht="14.25" customHeight="1">
      <c r="A335" s="3156" t="s">
        <v>1157</v>
      </c>
      <c r="B335" s="3156" t="s">
        <v>1040</v>
      </c>
      <c r="C335" s="3156">
        <v>3710</v>
      </c>
      <c r="D335" s="3156">
        <v>3670</v>
      </c>
      <c r="E335" s="3156">
        <v>4030</v>
      </c>
      <c r="F335" s="3156">
        <v>750</v>
      </c>
      <c r="G335" s="3165">
        <v>2200</v>
      </c>
      <c r="H335" s="958"/>
      <c r="I335" s="958"/>
      <c r="J335" s="3191"/>
      <c r="K335" s="3191"/>
      <c r="L335" s="3191"/>
      <c r="M335" s="3191"/>
      <c r="N335" s="3191"/>
      <c r="O335" s="3191"/>
      <c r="P335" s="3191"/>
      <c r="Q335" s="3191"/>
      <c r="R335" s="3191"/>
      <c r="S335" s="3191"/>
      <c r="T335" s="3191"/>
      <c r="U335" s="3191"/>
    </row>
    <row r="336" spans="1:21" s="961" customFormat="1" ht="14.25" customHeight="1">
      <c r="A336" s="3156" t="s">
        <v>1157</v>
      </c>
      <c r="B336" s="3156" t="s">
        <v>2990</v>
      </c>
      <c r="C336" s="3156">
        <v>3570</v>
      </c>
      <c r="D336" s="3156">
        <v>3530</v>
      </c>
      <c r="E336" s="3156">
        <v>3880</v>
      </c>
      <c r="F336" s="3156">
        <v>770</v>
      </c>
      <c r="G336" s="3156">
        <v>2110</v>
      </c>
      <c r="H336" s="958"/>
      <c r="I336" s="958"/>
      <c r="J336" s="3191"/>
      <c r="K336" s="3191"/>
      <c r="L336" s="3191"/>
      <c r="M336" s="3191"/>
      <c r="N336" s="3191"/>
      <c r="O336" s="3191"/>
      <c r="P336" s="3191"/>
      <c r="Q336" s="3191"/>
      <c r="R336" s="3191"/>
      <c r="S336" s="3191"/>
      <c r="T336" s="3191"/>
      <c r="U336" s="3191"/>
    </row>
    <row r="337" spans="1:21" s="961" customFormat="1" ht="14.25" customHeight="1">
      <c r="A337" s="3156" t="s">
        <v>1157</v>
      </c>
      <c r="B337" s="3156" t="s">
        <v>2991</v>
      </c>
      <c r="C337" s="3156">
        <v>3780</v>
      </c>
      <c r="D337" s="3156">
        <v>3750</v>
      </c>
      <c r="E337" s="3156">
        <v>4130</v>
      </c>
      <c r="F337" s="3156">
        <v>750</v>
      </c>
      <c r="G337" s="3156">
        <v>2240</v>
      </c>
      <c r="H337" s="958"/>
      <c r="I337" s="958"/>
      <c r="J337" s="3191"/>
      <c r="K337" s="3191"/>
      <c r="L337" s="3191"/>
      <c r="M337" s="3191"/>
      <c r="N337" s="3191"/>
      <c r="O337" s="3191"/>
      <c r="P337" s="3191"/>
      <c r="Q337" s="3191"/>
      <c r="R337" s="3191"/>
      <c r="S337" s="3191"/>
      <c r="T337" s="3191"/>
      <c r="U337" s="3191"/>
    </row>
    <row r="338" spans="1:21" s="961" customFormat="1" ht="14.25" customHeight="1">
      <c r="A338" s="3156" t="s">
        <v>1157</v>
      </c>
      <c r="B338" s="3156" t="s">
        <v>1068</v>
      </c>
      <c r="C338" s="3156">
        <v>3600</v>
      </c>
      <c r="D338" s="3156">
        <v>3570</v>
      </c>
      <c r="E338" s="3156">
        <v>3920</v>
      </c>
      <c r="F338" s="3156">
        <v>790</v>
      </c>
      <c r="G338" s="3165">
        <v>2140</v>
      </c>
      <c r="H338" s="958"/>
      <c r="I338" s="958"/>
      <c r="J338" s="3191"/>
      <c r="K338" s="3191"/>
      <c r="L338" s="3191"/>
      <c r="M338" s="3191"/>
      <c r="N338" s="3191"/>
      <c r="O338" s="3191"/>
      <c r="P338" s="3191"/>
      <c r="Q338" s="3191"/>
      <c r="R338" s="3191"/>
      <c r="S338" s="3191"/>
      <c r="T338" s="3191"/>
      <c r="U338" s="3191"/>
    </row>
    <row r="339" spans="1:21" s="961" customFormat="1" ht="14.25" customHeight="1">
      <c r="A339" s="3156" t="s">
        <v>1157</v>
      </c>
      <c r="B339" s="3156" t="s">
        <v>1076</v>
      </c>
      <c r="C339" s="3156">
        <v>3540</v>
      </c>
      <c r="D339" s="3156">
        <v>3500</v>
      </c>
      <c r="E339" s="3156">
        <v>3850</v>
      </c>
      <c r="F339" s="3156">
        <v>780</v>
      </c>
      <c r="G339" s="3165">
        <v>2100</v>
      </c>
      <c r="H339" s="958"/>
      <c r="I339" s="958"/>
      <c r="J339" s="3191"/>
      <c r="K339" s="3191"/>
      <c r="L339" s="3191"/>
      <c r="M339" s="3191"/>
      <c r="N339" s="3191"/>
      <c r="O339" s="3191"/>
      <c r="P339" s="3191"/>
      <c r="Q339" s="3191"/>
      <c r="R339" s="3191"/>
      <c r="S339" s="3191"/>
      <c r="T339" s="3191"/>
      <c r="U339" s="3191"/>
    </row>
    <row r="340" spans="1:21" s="961" customFormat="1" ht="14.25" customHeight="1">
      <c r="A340" s="3156" t="s">
        <v>1157</v>
      </c>
      <c r="B340" s="3156" t="s">
        <v>2992</v>
      </c>
      <c r="C340" s="3156">
        <v>3850</v>
      </c>
      <c r="D340" s="3156">
        <v>3810</v>
      </c>
      <c r="E340" s="3156">
        <v>4210</v>
      </c>
      <c r="F340" s="3156">
        <v>750</v>
      </c>
      <c r="G340" s="3165">
        <v>2280</v>
      </c>
      <c r="H340" s="958"/>
      <c r="I340" s="958"/>
      <c r="J340" s="3191"/>
      <c r="K340" s="3191"/>
      <c r="L340" s="3191"/>
      <c r="M340" s="3191"/>
      <c r="N340" s="3191"/>
      <c r="O340" s="3191"/>
      <c r="P340" s="3191"/>
      <c r="Q340" s="3191"/>
      <c r="R340" s="3191"/>
      <c r="S340" s="3191"/>
      <c r="T340" s="3191"/>
      <c r="U340" s="3191"/>
    </row>
    <row r="341" spans="1:21" s="961" customFormat="1" ht="14.25" customHeight="1">
      <c r="A341" s="3156" t="s">
        <v>1157</v>
      </c>
      <c r="B341" s="3156" t="s">
        <v>1054</v>
      </c>
      <c r="C341" s="3156">
        <v>3780</v>
      </c>
      <c r="D341" s="3156">
        <v>3750</v>
      </c>
      <c r="E341" s="3156">
        <v>4140</v>
      </c>
      <c r="F341" s="3156">
        <v>720</v>
      </c>
      <c r="G341" s="3156">
        <v>2240</v>
      </c>
      <c r="H341" s="958"/>
      <c r="I341" s="958"/>
      <c r="J341" s="3191"/>
      <c r="K341" s="3191"/>
      <c r="L341" s="3191"/>
      <c r="M341" s="3191"/>
      <c r="N341" s="3191"/>
      <c r="O341" s="3191"/>
      <c r="P341" s="3191"/>
      <c r="Q341" s="3191"/>
      <c r="R341" s="3191"/>
      <c r="S341" s="3191"/>
      <c r="T341" s="3191"/>
      <c r="U341" s="3191"/>
    </row>
    <row r="342" spans="1:21" s="961" customFormat="1" ht="14.25" customHeight="1">
      <c r="A342" s="3156" t="s">
        <v>1157</v>
      </c>
      <c r="B342" s="3156" t="s">
        <v>2993</v>
      </c>
      <c r="C342" s="3156">
        <v>3670</v>
      </c>
      <c r="D342" s="3156">
        <v>3620</v>
      </c>
      <c r="E342" s="3156">
        <v>3990</v>
      </c>
      <c r="F342" s="3156">
        <v>760</v>
      </c>
      <c r="G342" s="3156">
        <v>2170</v>
      </c>
      <c r="H342" s="958"/>
      <c r="I342" s="958"/>
      <c r="J342" s="3191"/>
      <c r="K342" s="3191"/>
      <c r="L342" s="3191"/>
      <c r="M342" s="3191"/>
      <c r="N342" s="3191"/>
      <c r="O342" s="3191"/>
      <c r="P342" s="3191"/>
      <c r="Q342" s="3191"/>
      <c r="R342" s="3191"/>
      <c r="S342" s="3191"/>
      <c r="T342" s="3191"/>
      <c r="U342" s="3191"/>
    </row>
    <row r="343" spans="1:21" s="961" customFormat="1" ht="14.25" customHeight="1">
      <c r="A343" s="3156" t="s">
        <v>1157</v>
      </c>
      <c r="B343" s="3156" t="s">
        <v>1105</v>
      </c>
      <c r="C343" s="3156">
        <v>3760</v>
      </c>
      <c r="D343" s="3156">
        <v>3720</v>
      </c>
      <c r="E343" s="3156">
        <v>4090</v>
      </c>
      <c r="F343" s="3156">
        <v>780</v>
      </c>
      <c r="G343" s="3156">
        <v>2220</v>
      </c>
      <c r="H343" s="958"/>
      <c r="I343" s="958"/>
      <c r="J343" s="3191"/>
      <c r="K343" s="3191"/>
      <c r="L343" s="3191"/>
      <c r="M343" s="3191"/>
      <c r="N343" s="3191"/>
      <c r="O343" s="3191"/>
      <c r="P343" s="3191"/>
      <c r="Q343" s="3191"/>
      <c r="R343" s="3191"/>
      <c r="S343" s="3191"/>
      <c r="T343" s="3191"/>
      <c r="U343" s="3191"/>
    </row>
    <row r="344" spans="1:21" s="961" customFormat="1" ht="14.25" customHeight="1">
      <c r="A344" s="3156" t="s">
        <v>1157</v>
      </c>
      <c r="B344" s="3156" t="s">
        <v>1113</v>
      </c>
      <c r="C344" s="3156">
        <v>3680</v>
      </c>
      <c r="D344" s="3156">
        <v>3640</v>
      </c>
      <c r="E344" s="3156">
        <v>4010</v>
      </c>
      <c r="F344" s="3156">
        <v>750</v>
      </c>
      <c r="G344" s="3156">
        <v>2180</v>
      </c>
      <c r="H344" s="958"/>
      <c r="I344" s="958"/>
      <c r="J344" s="3191"/>
      <c r="K344" s="3191"/>
      <c r="L344" s="3191"/>
      <c r="M344" s="3191"/>
      <c r="N344" s="3191"/>
      <c r="O344" s="3191"/>
      <c r="P344" s="3191"/>
      <c r="Q344" s="3191"/>
      <c r="R344" s="3191"/>
      <c r="S344" s="3191"/>
      <c r="T344" s="3191"/>
      <c r="U344" s="3191"/>
    </row>
    <row r="345" spans="1:21">
      <c r="A345" s="3165" t="s">
        <v>1157</v>
      </c>
      <c r="B345" s="3165" t="s">
        <v>2994</v>
      </c>
      <c r="C345" s="3165">
        <v>3190</v>
      </c>
      <c r="D345" s="3165">
        <v>3140</v>
      </c>
      <c r="E345" s="3165">
        <v>3450</v>
      </c>
      <c r="F345" s="3165">
        <v>720</v>
      </c>
      <c r="G345" s="3165">
        <v>1880</v>
      </c>
      <c r="H345" s="958"/>
    </row>
    <row r="346" spans="1:21">
      <c r="A346" s="3165" t="s">
        <v>1157</v>
      </c>
      <c r="B346" s="3165" t="s">
        <v>2995</v>
      </c>
      <c r="C346" s="3165">
        <v>3630</v>
      </c>
      <c r="D346" s="3165">
        <v>3590</v>
      </c>
      <c r="E346" s="3165">
        <v>3940</v>
      </c>
      <c r="F346" s="3165">
        <v>730</v>
      </c>
      <c r="G346" s="3165">
        <v>2150</v>
      </c>
      <c r="H346" s="958"/>
    </row>
    <row r="347" spans="1:21">
      <c r="A347" s="3165" t="s">
        <v>1157</v>
      </c>
      <c r="B347" s="3165" t="s">
        <v>1091</v>
      </c>
      <c r="C347" s="3165">
        <v>3860</v>
      </c>
      <c r="D347" s="3165">
        <v>3820</v>
      </c>
      <c r="E347" s="3165">
        <v>4220</v>
      </c>
      <c r="F347" s="3165">
        <v>750</v>
      </c>
      <c r="G347" s="3165">
        <v>2280</v>
      </c>
      <c r="H347" s="958"/>
    </row>
    <row r="348" spans="1:21">
      <c r="A348" s="3165" t="s">
        <v>1157</v>
      </c>
      <c r="B348" s="3165" t="s">
        <v>2996</v>
      </c>
      <c r="C348" s="3165">
        <v>4000</v>
      </c>
      <c r="D348" s="3165">
        <v>3950</v>
      </c>
      <c r="E348" s="3165">
        <v>4430</v>
      </c>
      <c r="F348" s="3165">
        <v>760</v>
      </c>
      <c r="G348" s="3165">
        <v>2360</v>
      </c>
      <c r="H348" s="958"/>
    </row>
    <row r="349" spans="1:21">
      <c r="A349" s="3165" t="s">
        <v>1157</v>
      </c>
      <c r="B349" s="3165" t="s">
        <v>2997</v>
      </c>
      <c r="C349" s="3165">
        <v>3820</v>
      </c>
      <c r="D349" s="3165">
        <v>3780</v>
      </c>
      <c r="E349" s="3165">
        <v>4170</v>
      </c>
      <c r="F349" s="3165">
        <v>710</v>
      </c>
      <c r="G349" s="3165">
        <v>2260</v>
      </c>
      <c r="H349" s="958"/>
    </row>
    <row r="350" spans="1:21">
      <c r="A350" s="3165" t="s">
        <v>1157</v>
      </c>
      <c r="B350" s="3165" t="s">
        <v>2998</v>
      </c>
      <c r="C350" s="3165">
        <v>3760</v>
      </c>
      <c r="D350" s="3165">
        <v>3730</v>
      </c>
      <c r="E350" s="3165">
        <v>4100</v>
      </c>
      <c r="F350" s="3165">
        <v>800</v>
      </c>
      <c r="G350" s="3165">
        <v>2230</v>
      </c>
      <c r="H350" s="958"/>
    </row>
    <row r="351" spans="1:21">
      <c r="A351" s="3165" t="s">
        <v>1157</v>
      </c>
      <c r="B351" s="3165" t="s">
        <v>2999</v>
      </c>
      <c r="C351" s="3165">
        <v>3610</v>
      </c>
      <c r="D351" s="3165">
        <v>3580</v>
      </c>
      <c r="E351" s="3165">
        <v>3930</v>
      </c>
      <c r="F351" s="3165">
        <v>700</v>
      </c>
      <c r="G351" s="3165">
        <v>2140</v>
      </c>
      <c r="H351" s="958"/>
    </row>
    <row r="352" spans="1:21">
      <c r="A352" s="3165" t="s">
        <v>1157</v>
      </c>
      <c r="B352" s="3165" t="s">
        <v>3000</v>
      </c>
      <c r="C352" s="3165">
        <v>3670</v>
      </c>
      <c r="D352" s="3165">
        <v>3630</v>
      </c>
      <c r="E352" s="3165">
        <v>4000</v>
      </c>
      <c r="F352" s="3165">
        <v>750</v>
      </c>
      <c r="G352" s="3165">
        <v>2180</v>
      </c>
      <c r="H352" s="958"/>
    </row>
    <row r="353" spans="1:8">
      <c r="A353" s="3165" t="s">
        <v>1157</v>
      </c>
      <c r="B353" s="3165" t="s">
        <v>3001</v>
      </c>
      <c r="C353" s="3165">
        <v>3190</v>
      </c>
      <c r="D353" s="3165">
        <v>3150</v>
      </c>
      <c r="E353" s="3165">
        <v>3640</v>
      </c>
      <c r="F353" s="3165">
        <v>630</v>
      </c>
      <c r="G353" s="3165">
        <v>1890</v>
      </c>
      <c r="H353" s="958"/>
    </row>
    <row r="354" spans="1:8">
      <c r="A354" s="3165" t="s">
        <v>1157</v>
      </c>
      <c r="B354" s="3165" t="s">
        <v>1129</v>
      </c>
      <c r="C354" s="3165">
        <v>3450</v>
      </c>
      <c r="D354" s="3165">
        <v>3420</v>
      </c>
      <c r="E354" s="3165">
        <v>3960</v>
      </c>
      <c r="F354" s="3165">
        <v>660</v>
      </c>
      <c r="G354" s="3165">
        <v>2050</v>
      </c>
      <c r="H354" s="958"/>
    </row>
    <row r="355" spans="1:8">
      <c r="A355" s="3165" t="s">
        <v>1157</v>
      </c>
      <c r="B355" s="3165" t="s">
        <v>3002</v>
      </c>
      <c r="C355" s="3165">
        <v>3650</v>
      </c>
      <c r="D355" s="3165">
        <v>3610</v>
      </c>
      <c r="E355" s="3165">
        <v>4200</v>
      </c>
      <c r="F355" s="3165">
        <v>640</v>
      </c>
      <c r="G355" s="3165">
        <v>2160</v>
      </c>
      <c r="H355" s="958"/>
    </row>
    <row r="356" spans="1:8">
      <c r="A356" s="3165" t="s">
        <v>1157</v>
      </c>
      <c r="B356" s="3165" t="s">
        <v>3003</v>
      </c>
      <c r="C356" s="3165">
        <v>3260</v>
      </c>
      <c r="D356" s="3165">
        <v>3230</v>
      </c>
      <c r="E356" s="3165">
        <v>3740</v>
      </c>
      <c r="F356" s="3165">
        <v>600</v>
      </c>
      <c r="G356" s="3165">
        <v>1930</v>
      </c>
      <c r="H356" s="958"/>
    </row>
    <row r="357" spans="1:8" ht="15" thickBot="1">
      <c r="A357" s="3180" t="s">
        <v>1157</v>
      </c>
      <c r="B357" s="3180" t="s">
        <v>3004</v>
      </c>
      <c r="C357" s="3180">
        <v>3690</v>
      </c>
      <c r="D357" s="3180">
        <v>3650</v>
      </c>
      <c r="E357" s="3180">
        <v>4020</v>
      </c>
      <c r="F357" s="3180">
        <v>700</v>
      </c>
      <c r="G357" s="3180">
        <v>2190</v>
      </c>
      <c r="H357" s="958"/>
    </row>
    <row r="358" spans="1:8">
      <c r="A358" s="3181" t="s">
        <v>2762</v>
      </c>
      <c r="B358" s="3182" t="s">
        <v>3005</v>
      </c>
      <c r="C358" s="3182">
        <v>2080</v>
      </c>
      <c r="D358" s="3182">
        <v>2040</v>
      </c>
      <c r="E358" s="3182">
        <v>2010</v>
      </c>
      <c r="F358" s="3182">
        <v>530</v>
      </c>
      <c r="G358" s="3183">
        <v>1230</v>
      </c>
      <c r="H358" s="958"/>
    </row>
    <row r="359" spans="1:8">
      <c r="A359" s="3184" t="s">
        <v>2762</v>
      </c>
      <c r="B359" s="3165" t="s">
        <v>3006</v>
      </c>
      <c r="C359" s="3165">
        <v>1850</v>
      </c>
      <c r="D359" s="3165">
        <v>1820</v>
      </c>
      <c r="E359" s="3165">
        <v>1780</v>
      </c>
      <c r="F359" s="3165">
        <v>520</v>
      </c>
      <c r="G359" s="3177">
        <v>1100</v>
      </c>
      <c r="H359" s="958"/>
    </row>
    <row r="360" spans="1:8">
      <c r="A360" s="3184" t="s">
        <v>2762</v>
      </c>
      <c r="B360" s="3165" t="s">
        <v>3007</v>
      </c>
      <c r="C360" s="3165">
        <v>2020</v>
      </c>
      <c r="D360" s="3165">
        <v>1990</v>
      </c>
      <c r="E360" s="3165">
        <v>1950</v>
      </c>
      <c r="F360" s="3165">
        <v>500</v>
      </c>
      <c r="G360" s="3177">
        <v>1200</v>
      </c>
      <c r="H360" s="958"/>
    </row>
    <row r="361" spans="1:8">
      <c r="A361" s="3184" t="s">
        <v>2762</v>
      </c>
      <c r="B361" s="3165" t="s">
        <v>999</v>
      </c>
      <c r="C361" s="3165">
        <v>2260</v>
      </c>
      <c r="D361" s="3165">
        <v>2220</v>
      </c>
      <c r="E361" s="3165">
        <v>2180</v>
      </c>
      <c r="F361" s="3165">
        <v>580</v>
      </c>
      <c r="G361" s="3177">
        <v>1340</v>
      </c>
      <c r="H361" s="958"/>
    </row>
    <row r="362" spans="1:8">
      <c r="A362" s="3184" t="s">
        <v>2762</v>
      </c>
      <c r="B362" s="3165" t="s">
        <v>3008</v>
      </c>
      <c r="C362" s="3165">
        <v>2650</v>
      </c>
      <c r="D362" s="3165">
        <v>2610</v>
      </c>
      <c r="E362" s="3165">
        <v>2570</v>
      </c>
      <c r="F362" s="3165">
        <v>630</v>
      </c>
      <c r="G362" s="3177">
        <v>1570</v>
      </c>
      <c r="H362" s="958"/>
    </row>
    <row r="363" spans="1:8">
      <c r="A363" s="3184" t="s">
        <v>2762</v>
      </c>
      <c r="B363" s="3165" t="s">
        <v>3009</v>
      </c>
      <c r="C363" s="3165">
        <v>2390</v>
      </c>
      <c r="D363" s="3165">
        <v>2360</v>
      </c>
      <c r="E363" s="3165">
        <v>2320</v>
      </c>
      <c r="F363" s="3165">
        <v>600</v>
      </c>
      <c r="G363" s="3177">
        <v>1420</v>
      </c>
      <c r="H363" s="958"/>
    </row>
    <row r="364" spans="1:8">
      <c r="A364" s="3184" t="s">
        <v>2762</v>
      </c>
      <c r="B364" s="3165" t="s">
        <v>3010</v>
      </c>
      <c r="C364" s="3165">
        <v>2050</v>
      </c>
      <c r="D364" s="3165">
        <v>2030</v>
      </c>
      <c r="E364" s="3165">
        <v>1990</v>
      </c>
      <c r="F364" s="3165">
        <v>550</v>
      </c>
      <c r="G364" s="3177">
        <v>1220</v>
      </c>
      <c r="H364" s="958"/>
    </row>
    <row r="365" spans="1:8">
      <c r="A365" s="3184" t="s">
        <v>2762</v>
      </c>
      <c r="B365" s="3165" t="s">
        <v>1047</v>
      </c>
      <c r="C365" s="3165">
        <v>2140</v>
      </c>
      <c r="D365" s="3165">
        <v>2100</v>
      </c>
      <c r="E365" s="3165">
        <v>2060</v>
      </c>
      <c r="F365" s="3165">
        <v>540</v>
      </c>
      <c r="G365" s="3177">
        <v>1270</v>
      </c>
      <c r="H365" s="958"/>
    </row>
    <row r="366" spans="1:8">
      <c r="A366" s="3184" t="s">
        <v>2762</v>
      </c>
      <c r="B366" s="3165" t="s">
        <v>3011</v>
      </c>
      <c r="C366" s="3165">
        <v>2410</v>
      </c>
      <c r="D366" s="3165">
        <v>2370</v>
      </c>
      <c r="E366" s="3165">
        <v>2330</v>
      </c>
      <c r="F366" s="3165">
        <v>570</v>
      </c>
      <c r="G366" s="3177">
        <v>1440</v>
      </c>
      <c r="H366" s="958"/>
    </row>
    <row r="367" spans="1:8">
      <c r="A367" s="3184" t="s">
        <v>2762</v>
      </c>
      <c r="B367" s="3165" t="s">
        <v>3012</v>
      </c>
      <c r="C367" s="3165">
        <v>2300</v>
      </c>
      <c r="D367" s="3165">
        <v>2260</v>
      </c>
      <c r="E367" s="3165">
        <v>2220</v>
      </c>
      <c r="F367" s="3165">
        <v>560</v>
      </c>
      <c r="G367" s="3177">
        <v>1370</v>
      </c>
      <c r="H367" s="958"/>
    </row>
    <row r="368" spans="1:8">
      <c r="A368" s="3184" t="s">
        <v>2762</v>
      </c>
      <c r="B368" s="3165" t="s">
        <v>3013</v>
      </c>
      <c r="C368" s="3165">
        <v>2430</v>
      </c>
      <c r="D368" s="3165">
        <v>2390</v>
      </c>
      <c r="E368" s="3165">
        <v>2350</v>
      </c>
      <c r="F368" s="3165">
        <v>570</v>
      </c>
      <c r="G368" s="3177">
        <v>1450</v>
      </c>
      <c r="H368" s="958"/>
    </row>
    <row r="369" spans="1:8">
      <c r="A369" s="3184" t="s">
        <v>2762</v>
      </c>
      <c r="B369" s="3165" t="s">
        <v>1061</v>
      </c>
      <c r="C369" s="3165">
        <v>2320</v>
      </c>
      <c r="D369" s="3165">
        <v>2290</v>
      </c>
      <c r="E369" s="3165">
        <v>2250</v>
      </c>
      <c r="F369" s="3165">
        <v>550</v>
      </c>
      <c r="G369" s="3177">
        <v>1380</v>
      </c>
      <c r="H369" s="958"/>
    </row>
    <row r="370" spans="1:8">
      <c r="A370" s="3184" t="s">
        <v>2762</v>
      </c>
      <c r="B370" s="3165" t="s">
        <v>1069</v>
      </c>
      <c r="C370" s="3165">
        <v>2190</v>
      </c>
      <c r="D370" s="3165">
        <v>2170</v>
      </c>
      <c r="E370" s="3165">
        <v>2130</v>
      </c>
      <c r="F370" s="3165">
        <v>530</v>
      </c>
      <c r="G370" s="3177">
        <v>1310</v>
      </c>
      <c r="H370" s="958"/>
    </row>
    <row r="371" spans="1:8">
      <c r="A371" s="3184" t="s">
        <v>2762</v>
      </c>
      <c r="B371" s="3165" t="s">
        <v>1077</v>
      </c>
      <c r="C371" s="3165">
        <v>2460</v>
      </c>
      <c r="D371" s="3165">
        <v>2420</v>
      </c>
      <c r="E371" s="3165">
        <v>2370</v>
      </c>
      <c r="F371" s="3165">
        <v>560</v>
      </c>
      <c r="G371" s="3177">
        <v>1470</v>
      </c>
      <c r="H371" s="958"/>
    </row>
    <row r="372" spans="1:8">
      <c r="A372" s="3184" t="s">
        <v>2762</v>
      </c>
      <c r="B372" s="3165" t="s">
        <v>3014</v>
      </c>
      <c r="C372" s="3165">
        <v>2250</v>
      </c>
      <c r="D372" s="3165">
        <v>2210</v>
      </c>
      <c r="E372" s="3165">
        <v>2180</v>
      </c>
      <c r="F372" s="3165">
        <v>550</v>
      </c>
      <c r="G372" s="3177">
        <v>1340</v>
      </c>
      <c r="H372" s="958"/>
    </row>
    <row r="373" spans="1:8">
      <c r="A373" s="3184" t="s">
        <v>2762</v>
      </c>
      <c r="B373" s="3165" t="s">
        <v>1106</v>
      </c>
      <c r="C373" s="3165">
        <v>2210</v>
      </c>
      <c r="D373" s="3165">
        <v>2190</v>
      </c>
      <c r="E373" s="3165">
        <v>2150</v>
      </c>
      <c r="F373" s="3165">
        <v>530</v>
      </c>
      <c r="G373" s="3177">
        <v>1320</v>
      </c>
      <c r="H373" s="958"/>
    </row>
    <row r="374" spans="1:8">
      <c r="A374" s="3184" t="s">
        <v>2762</v>
      </c>
      <c r="B374" s="3165" t="s">
        <v>1114</v>
      </c>
      <c r="C374" s="3165">
        <v>2320</v>
      </c>
      <c r="D374" s="3165">
        <v>2280</v>
      </c>
      <c r="E374" s="3165">
        <v>2230</v>
      </c>
      <c r="F374" s="3165">
        <v>580</v>
      </c>
      <c r="G374" s="3177">
        <v>1380</v>
      </c>
      <c r="H374" s="958"/>
    </row>
    <row r="375" spans="1:8">
      <c r="A375" s="3184" t="s">
        <v>2762</v>
      </c>
      <c r="B375" s="3165" t="s">
        <v>3015</v>
      </c>
      <c r="C375" s="3165">
        <v>2090</v>
      </c>
      <c r="D375" s="3165">
        <v>2050</v>
      </c>
      <c r="E375" s="3165">
        <v>2020</v>
      </c>
      <c r="F375" s="3165">
        <v>520</v>
      </c>
      <c r="G375" s="3177">
        <v>1240</v>
      </c>
      <c r="H375" s="958"/>
    </row>
    <row r="376" spans="1:8">
      <c r="A376" s="3184" t="s">
        <v>2762</v>
      </c>
      <c r="B376" s="3165" t="s">
        <v>1126</v>
      </c>
      <c r="C376" s="3165">
        <v>2010</v>
      </c>
      <c r="D376" s="3165">
        <v>1980</v>
      </c>
      <c r="E376" s="3165">
        <v>1940</v>
      </c>
      <c r="F376" s="3165">
        <v>540</v>
      </c>
      <c r="G376" s="3177">
        <v>1190</v>
      </c>
      <c r="H376" s="958"/>
    </row>
    <row r="377" spans="1:8" ht="15" thickBot="1">
      <c r="A377" s="3186" t="s">
        <v>2762</v>
      </c>
      <c r="B377" s="3180" t="s">
        <v>3016</v>
      </c>
      <c r="C377" s="3180">
        <v>1930</v>
      </c>
      <c r="D377" s="3180">
        <v>1890</v>
      </c>
      <c r="E377" s="3180">
        <v>1860</v>
      </c>
      <c r="F377" s="3180">
        <v>530</v>
      </c>
      <c r="G377" s="3187">
        <v>1150</v>
      </c>
      <c r="H377" s="958"/>
    </row>
    <row r="378" spans="1:8">
      <c r="A378" s="3181" t="s">
        <v>2763</v>
      </c>
      <c r="B378" s="3182" t="s">
        <v>3017</v>
      </c>
      <c r="C378" s="3182">
        <v>1520</v>
      </c>
      <c r="D378" s="3182">
        <v>1490</v>
      </c>
      <c r="E378" s="3182">
        <v>1460</v>
      </c>
      <c r="F378" s="3182">
        <v>460</v>
      </c>
      <c r="G378" s="3183">
        <v>940</v>
      </c>
      <c r="H378" s="958"/>
    </row>
    <row r="379" spans="1:8">
      <c r="A379" s="3184" t="s">
        <v>2763</v>
      </c>
      <c r="B379" s="3165" t="s">
        <v>3018</v>
      </c>
      <c r="C379" s="3165">
        <v>1500</v>
      </c>
      <c r="D379" s="3165">
        <v>1470</v>
      </c>
      <c r="E379" s="3165">
        <v>1430</v>
      </c>
      <c r="F379" s="3165">
        <v>460</v>
      </c>
      <c r="G379" s="3177">
        <v>920</v>
      </c>
      <c r="H379" s="958"/>
    </row>
    <row r="380" spans="1:8">
      <c r="A380" s="3184" t="s">
        <v>2763</v>
      </c>
      <c r="B380" s="3165" t="s">
        <v>3019</v>
      </c>
      <c r="C380" s="3165">
        <v>1620</v>
      </c>
      <c r="D380" s="3165">
        <v>1590</v>
      </c>
      <c r="E380" s="3165">
        <v>1560</v>
      </c>
      <c r="F380" s="3165">
        <v>480</v>
      </c>
      <c r="G380" s="3177">
        <v>1000</v>
      </c>
      <c r="H380" s="958"/>
    </row>
    <row r="381" spans="1:8">
      <c r="A381" s="3184" t="s">
        <v>2763</v>
      </c>
      <c r="B381" s="3165" t="s">
        <v>3020</v>
      </c>
      <c r="C381" s="3165">
        <v>1460</v>
      </c>
      <c r="D381" s="3165">
        <v>1430</v>
      </c>
      <c r="E381" s="3165">
        <v>1390</v>
      </c>
      <c r="F381" s="3165">
        <v>450</v>
      </c>
      <c r="G381" s="3177">
        <v>900</v>
      </c>
      <c r="H381" s="958"/>
    </row>
    <row r="382" spans="1:8">
      <c r="A382" s="3184" t="s">
        <v>2763</v>
      </c>
      <c r="B382" s="3165" t="s">
        <v>3021</v>
      </c>
      <c r="C382" s="3165">
        <v>1310</v>
      </c>
      <c r="D382" s="3165">
        <v>1280</v>
      </c>
      <c r="E382" s="3165">
        <v>1250</v>
      </c>
      <c r="F382" s="3165">
        <v>440</v>
      </c>
      <c r="G382" s="3177">
        <v>800</v>
      </c>
      <c r="H382" s="958"/>
    </row>
    <row r="383" spans="1:8">
      <c r="A383" s="3184" t="s">
        <v>2763</v>
      </c>
      <c r="B383" s="3165" t="s">
        <v>3022</v>
      </c>
      <c r="C383" s="3165">
        <v>1260</v>
      </c>
      <c r="D383" s="3165">
        <v>1230</v>
      </c>
      <c r="E383" s="3165">
        <v>1200</v>
      </c>
      <c r="F383" s="3165">
        <v>420</v>
      </c>
      <c r="G383" s="3177">
        <v>770</v>
      </c>
      <c r="H383" s="958"/>
    </row>
    <row r="384" spans="1:8" ht="15" thickBot="1">
      <c r="A384" s="3185" t="s">
        <v>2763</v>
      </c>
      <c r="B384" s="3179" t="s">
        <v>3023</v>
      </c>
      <c r="C384" s="3179">
        <v>1170</v>
      </c>
      <c r="D384" s="3179">
        <v>1140</v>
      </c>
      <c r="E384" s="3179">
        <v>1120</v>
      </c>
      <c r="F384" s="3179">
        <v>400</v>
      </c>
      <c r="G384" s="3175">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4.4"/>
  <sheetData>
    <row r="1" spans="1:6">
      <c r="A1" s="3696" t="s">
        <v>3186</v>
      </c>
      <c r="B1" s="3696"/>
      <c r="C1" s="3696"/>
      <c r="D1" s="3696"/>
      <c r="E1" s="3696"/>
      <c r="F1" s="3697"/>
    </row>
    <row r="2" spans="1:6">
      <c r="A2" s="3230" t="s">
        <v>3187</v>
      </c>
      <c r="B2" s="1489"/>
      <c r="C2" s="1489"/>
      <c r="D2" s="1489"/>
      <c r="E2" s="1489"/>
      <c r="F2" s="1489"/>
    </row>
    <row r="3" spans="1:6">
      <c r="A3" s="3230" t="s">
        <v>3188</v>
      </c>
      <c r="B3" s="1489"/>
      <c r="C3" s="1489"/>
      <c r="D3" s="1489"/>
      <c r="E3" s="1489"/>
      <c r="F3" s="3231" t="s">
        <v>3189</v>
      </c>
    </row>
    <row r="4" spans="1:6">
      <c r="A4" s="3232" t="s">
        <v>3184</v>
      </c>
      <c r="B4" s="3232" t="s">
        <v>2738</v>
      </c>
      <c r="C4" s="3232" t="s">
        <v>1212</v>
      </c>
      <c r="D4" s="3232" t="s">
        <v>3185</v>
      </c>
      <c r="E4" s="3232" t="s">
        <v>905</v>
      </c>
      <c r="F4" s="3232" t="s">
        <v>3190</v>
      </c>
    </row>
    <row r="5" spans="1:6">
      <c r="A5" s="3233" t="s">
        <v>2761</v>
      </c>
      <c r="B5" s="3232"/>
      <c r="C5" s="3232"/>
      <c r="D5" s="3232"/>
      <c r="E5" s="3232"/>
      <c r="F5" s="3234"/>
    </row>
    <row r="6" spans="1:6">
      <c r="A6" s="3233" t="s">
        <v>990</v>
      </c>
      <c r="B6" s="3235">
        <v>35380</v>
      </c>
      <c r="C6" s="3235">
        <v>35180</v>
      </c>
      <c r="D6" s="3235">
        <v>35030</v>
      </c>
      <c r="E6" s="3235">
        <v>13780</v>
      </c>
      <c r="F6" s="3235">
        <v>25980</v>
      </c>
    </row>
    <row r="7" spans="1:6">
      <c r="A7" s="3233" t="s">
        <v>1031</v>
      </c>
      <c r="B7" s="3235">
        <v>29960</v>
      </c>
      <c r="C7" s="3235">
        <v>29800</v>
      </c>
      <c r="D7" s="3235">
        <v>29690</v>
      </c>
      <c r="E7" s="3235">
        <v>10100</v>
      </c>
      <c r="F7" s="3235">
        <v>21690</v>
      </c>
    </row>
    <row r="8" spans="1:6">
      <c r="A8" s="3233" t="s">
        <v>1145</v>
      </c>
      <c r="B8" s="3235">
        <v>24480</v>
      </c>
      <c r="C8" s="3235">
        <v>24380</v>
      </c>
      <c r="D8" s="3235">
        <v>25590</v>
      </c>
      <c r="E8" s="3235">
        <v>7010</v>
      </c>
      <c r="F8" s="3235">
        <v>17060</v>
      </c>
    </row>
    <row r="9" spans="1:6">
      <c r="A9" s="3233" t="s">
        <v>853</v>
      </c>
      <c r="B9" s="3235">
        <v>19370</v>
      </c>
      <c r="C9" s="3235">
        <v>19290</v>
      </c>
      <c r="D9" s="3235">
        <v>21280</v>
      </c>
      <c r="E9" s="3235">
        <v>4910</v>
      </c>
      <c r="F9" s="3235">
        <v>13090</v>
      </c>
    </row>
    <row r="10" spans="1:6">
      <c r="A10" s="3233" t="s">
        <v>1152</v>
      </c>
      <c r="B10" s="3235">
        <v>15050</v>
      </c>
      <c r="C10" s="3235">
        <v>14980</v>
      </c>
      <c r="D10" s="3235">
        <v>17300</v>
      </c>
      <c r="E10" s="3235">
        <v>3450</v>
      </c>
      <c r="F10" s="3235">
        <v>9900</v>
      </c>
    </row>
    <row r="11" spans="1:6">
      <c r="A11" s="3233" t="s">
        <v>1153</v>
      </c>
      <c r="B11" s="3235">
        <v>11550</v>
      </c>
      <c r="C11" s="3235">
        <v>11490</v>
      </c>
      <c r="D11" s="3235">
        <v>13850</v>
      </c>
      <c r="E11" s="3235">
        <v>2400</v>
      </c>
      <c r="F11" s="3235">
        <v>7390</v>
      </c>
    </row>
    <row r="12" spans="1:6">
      <c r="A12" s="3233" t="s">
        <v>1154</v>
      </c>
      <c r="B12" s="3235">
        <v>8630</v>
      </c>
      <c r="C12" s="3235">
        <v>8580</v>
      </c>
      <c r="D12" s="3235">
        <v>10740</v>
      </c>
      <c r="E12" s="3235">
        <v>1720</v>
      </c>
      <c r="F12" s="3235">
        <v>5420</v>
      </c>
    </row>
    <row r="13" spans="1:6">
      <c r="A13" s="3233" t="s">
        <v>1155</v>
      </c>
      <c r="B13" s="3235">
        <v>6620</v>
      </c>
      <c r="C13" s="3235">
        <v>6580</v>
      </c>
      <c r="D13" s="3235">
        <v>7830</v>
      </c>
      <c r="E13" s="3235">
        <v>1260</v>
      </c>
      <c r="F13" s="3235">
        <v>4040</v>
      </c>
    </row>
    <row r="14" spans="1:6">
      <c r="A14" s="3233" t="s">
        <v>1156</v>
      </c>
      <c r="B14" s="3235">
        <v>4900</v>
      </c>
      <c r="C14" s="3235">
        <v>4860</v>
      </c>
      <c r="D14" s="3235">
        <v>5540</v>
      </c>
      <c r="E14" s="3235">
        <v>950</v>
      </c>
      <c r="F14" s="3235">
        <v>2930</v>
      </c>
    </row>
    <row r="15" spans="1:6">
      <c r="A15" s="3233" t="s">
        <v>1157</v>
      </c>
      <c r="B15" s="3235">
        <v>3380</v>
      </c>
      <c r="C15" s="3235">
        <v>3340</v>
      </c>
      <c r="D15" s="3235">
        <v>3630</v>
      </c>
      <c r="E15" s="3235">
        <v>730</v>
      </c>
      <c r="F15" s="3235">
        <v>1990</v>
      </c>
    </row>
    <row r="16" spans="1:6">
      <c r="A16" s="3233" t="s">
        <v>2762</v>
      </c>
      <c r="B16" s="3235">
        <v>2230</v>
      </c>
      <c r="C16" s="3235">
        <v>2200</v>
      </c>
      <c r="D16" s="3235">
        <v>2180</v>
      </c>
      <c r="E16" s="3235">
        <v>570</v>
      </c>
      <c r="F16" s="3235">
        <v>1330</v>
      </c>
    </row>
    <row r="17" spans="1:6">
      <c r="A17" s="3233" t="s">
        <v>2763</v>
      </c>
      <c r="B17" s="3235">
        <v>1390</v>
      </c>
      <c r="C17" s="3235">
        <v>1360</v>
      </c>
      <c r="D17" s="3235">
        <v>1340</v>
      </c>
      <c r="E17" s="3235">
        <v>450</v>
      </c>
      <c r="F17" s="3235">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4.4"/>
  <cols>
    <col min="1" max="1" width="9" style="940"/>
    <col min="2" max="16384" width="9" style="922"/>
  </cols>
  <sheetData>
    <row r="1" spans="1:14" ht="15.6">
      <c r="A1" s="3083" t="s">
        <v>2775</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2762</v>
      </c>
      <c r="M2" s="926" t="s">
        <v>2763</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5.6">
      <c r="A93" s="3083" t="s">
        <v>2776</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2762</v>
      </c>
      <c r="M94" s="932" t="s">
        <v>2763</v>
      </c>
      <c r="N94" s="922" t="e">
        <f>SUMPRODUCT((A95:A184=ROUNDDOWN([2]基准地价修正!G3,1))*(B94:M94=[2]基准地价修正!G2)*(B95:M184))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5.6">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5.6">
      <c r="A185" s="3083" t="s">
        <v>2777</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2762</v>
      </c>
      <c r="M186" s="932" t="s">
        <v>2763</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5.6">
      <c r="A277" s="3083" t="s">
        <v>2778</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2762</v>
      </c>
      <c r="M278" s="932" t="s">
        <v>2763</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5.6">
      <c r="A369" s="3083" t="s">
        <v>2779</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2762</v>
      </c>
      <c r="M370" s="932" t="s">
        <v>2763</v>
      </c>
      <c r="N370" s="922" t="e">
        <f>SUMPRODUCT((A371:A460=ROUNDDOWN([2]基准地价修正!G3,1))*(B370:M370=[2]基准地价修正!G2)*(B371:M460))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8671875" defaultRowHeight="14.4"/>
  <cols>
    <col min="1" max="1" width="7.44140625" style="3195" customWidth="1"/>
    <col min="2" max="2" width="13.88671875" style="3195" customWidth="1"/>
    <col min="3" max="7" width="8.88671875" style="3195"/>
    <col min="8" max="16384" width="8.88671875" style="1489"/>
  </cols>
  <sheetData>
    <row r="1" spans="1:7">
      <c r="A1" s="3698" t="s">
        <v>3024</v>
      </c>
      <c r="B1" s="3698"/>
    </row>
    <row r="2" spans="1:7" ht="15" thickBot="1">
      <c r="A2" s="3196"/>
      <c r="B2" s="3196"/>
    </row>
    <row r="3" spans="1:7" ht="15" thickBot="1">
      <c r="A3" s="3196"/>
      <c r="B3" s="3196"/>
      <c r="C3" s="3197" t="s">
        <v>3025</v>
      </c>
      <c r="D3" s="3197" t="s">
        <v>3026</v>
      </c>
      <c r="E3" s="3197" t="s">
        <v>3027</v>
      </c>
      <c r="F3" s="3197" t="s">
        <v>3028</v>
      </c>
      <c r="G3" s="3197" t="s">
        <v>3029</v>
      </c>
    </row>
    <row r="4" spans="1:7" ht="15" thickBot="1">
      <c r="A4" s="3198" t="s">
        <v>3030</v>
      </c>
      <c r="B4" s="3199" t="s">
        <v>3031</v>
      </c>
      <c r="C4" s="3197"/>
      <c r="D4" s="3197"/>
      <c r="E4" s="3197"/>
      <c r="F4" s="3197"/>
      <c r="G4" s="3197"/>
    </row>
    <row r="5" spans="1:7">
      <c r="A5" s="3200" t="s">
        <v>3032</v>
      </c>
      <c r="B5" s="3201" t="s">
        <v>3033</v>
      </c>
      <c r="C5" s="3202">
        <v>9.8000000000000004E-2</v>
      </c>
      <c r="D5" s="3202">
        <v>8.6999999999999994E-2</v>
      </c>
      <c r="E5" s="3202">
        <v>8.6999999999999994E-2</v>
      </c>
      <c r="F5" s="3202">
        <v>9.8000000000000004E-2</v>
      </c>
      <c r="G5" s="3203">
        <v>9.5000000000000001E-2</v>
      </c>
    </row>
    <row r="6" spans="1:7">
      <c r="A6" s="3204" t="s">
        <v>990</v>
      </c>
      <c r="B6" s="3205" t="s">
        <v>3034</v>
      </c>
      <c r="C6" s="3206">
        <v>9.8000000000000004E-2</v>
      </c>
      <c r="D6" s="3206">
        <v>9.8000000000000004E-2</v>
      </c>
      <c r="E6" s="3206">
        <v>9.8000000000000004E-2</v>
      </c>
      <c r="F6" s="3206">
        <v>0.1</v>
      </c>
      <c r="G6" s="3207">
        <v>9.9000000000000005E-2</v>
      </c>
    </row>
    <row r="7" spans="1:7">
      <c r="A7" s="3204" t="s">
        <v>990</v>
      </c>
      <c r="B7" s="3205" t="s">
        <v>982</v>
      </c>
      <c r="C7" s="3206">
        <v>9.7000000000000003E-2</v>
      </c>
      <c r="D7" s="3206">
        <v>9.7000000000000003E-2</v>
      </c>
      <c r="E7" s="3206">
        <v>9.6000000000000002E-2</v>
      </c>
      <c r="F7" s="3206">
        <v>0.1</v>
      </c>
      <c r="G7" s="3207">
        <v>9.8000000000000004E-2</v>
      </c>
    </row>
    <row r="8" spans="1:7">
      <c r="A8" s="3204" t="s">
        <v>990</v>
      </c>
      <c r="B8" s="3205" t="s">
        <v>991</v>
      </c>
      <c r="C8" s="3206">
        <v>8.1000000000000003E-2</v>
      </c>
      <c r="D8" s="3206">
        <v>8.2000000000000003E-2</v>
      </c>
      <c r="E8" s="3206">
        <v>7.0000000000000007E-2</v>
      </c>
      <c r="F8" s="3206">
        <v>9.6000000000000002E-2</v>
      </c>
      <c r="G8" s="3207">
        <v>8.8999999999999996E-2</v>
      </c>
    </row>
    <row r="9" spans="1:7" ht="15" thickBot="1">
      <c r="A9" s="3208" t="s">
        <v>990</v>
      </c>
      <c r="B9" s="3209" t="s">
        <v>1001</v>
      </c>
      <c r="C9" s="3210">
        <v>0.1</v>
      </c>
      <c r="D9" s="3210">
        <v>0.1</v>
      </c>
      <c r="E9" s="3210">
        <v>0.1</v>
      </c>
      <c r="F9" s="3211"/>
      <c r="G9" s="3212">
        <v>0.1</v>
      </c>
    </row>
    <row r="10" spans="1:7">
      <c r="A10" s="3200" t="s">
        <v>1031</v>
      </c>
      <c r="B10" s="3201" t="s">
        <v>3035</v>
      </c>
      <c r="C10" s="3202">
        <v>6.7000000000000004E-2</v>
      </c>
      <c r="D10" s="3202">
        <v>7.9000000000000001E-2</v>
      </c>
      <c r="E10" s="3202">
        <v>7.9000000000000001E-2</v>
      </c>
      <c r="F10" s="3202">
        <v>0.1</v>
      </c>
      <c r="G10" s="3203">
        <v>9.0999999999999998E-2</v>
      </c>
    </row>
    <row r="11" spans="1:7">
      <c r="A11" s="3204" t="s">
        <v>1031</v>
      </c>
      <c r="B11" s="3205" t="s">
        <v>973</v>
      </c>
      <c r="C11" s="3206">
        <v>0.05</v>
      </c>
      <c r="D11" s="3206">
        <v>5.2999999999999999E-2</v>
      </c>
      <c r="E11" s="3206">
        <v>6.3E-2</v>
      </c>
      <c r="F11" s="3206">
        <v>0.1</v>
      </c>
      <c r="G11" s="3207">
        <v>7.1999999999999995E-2</v>
      </c>
    </row>
    <row r="12" spans="1:7">
      <c r="A12" s="3204" t="s">
        <v>1031</v>
      </c>
      <c r="B12" s="3205" t="s">
        <v>983</v>
      </c>
      <c r="C12" s="3206">
        <v>5.2999999999999999E-2</v>
      </c>
      <c r="D12" s="3206">
        <v>0.09</v>
      </c>
      <c r="E12" s="3206">
        <v>7.1999999999999995E-2</v>
      </c>
      <c r="F12" s="3206">
        <v>0.1</v>
      </c>
      <c r="G12" s="3207">
        <v>9.7000000000000003E-2</v>
      </c>
    </row>
    <row r="13" spans="1:7">
      <c r="A13" s="3204" t="s">
        <v>1031</v>
      </c>
      <c r="B13" s="3205" t="s">
        <v>992</v>
      </c>
      <c r="C13" s="3206">
        <v>9.7000000000000003E-2</v>
      </c>
      <c r="D13" s="3206">
        <v>9.1999999999999998E-2</v>
      </c>
      <c r="E13" s="3206">
        <v>9.5000000000000001E-2</v>
      </c>
      <c r="F13" s="3206">
        <v>0.1</v>
      </c>
      <c r="G13" s="3207">
        <v>9.7000000000000003E-2</v>
      </c>
    </row>
    <row r="14" spans="1:7">
      <c r="A14" s="3204" t="s">
        <v>1031</v>
      </c>
      <c r="B14" s="3205" t="s">
        <v>1002</v>
      </c>
      <c r="C14" s="3206">
        <v>9.7000000000000003E-2</v>
      </c>
      <c r="D14" s="3206">
        <v>9.7000000000000003E-2</v>
      </c>
      <c r="E14" s="3206">
        <v>9.7000000000000003E-2</v>
      </c>
      <c r="F14" s="3206">
        <v>0.1</v>
      </c>
      <c r="G14" s="3207">
        <v>9.8000000000000004E-2</v>
      </c>
    </row>
    <row r="15" spans="1:7">
      <c r="A15" s="3204" t="s">
        <v>1031</v>
      </c>
      <c r="B15" s="3205" t="s">
        <v>1009</v>
      </c>
      <c r="C15" s="3206">
        <v>9.8000000000000004E-2</v>
      </c>
      <c r="D15" s="3206">
        <v>9.0999999999999998E-2</v>
      </c>
      <c r="E15" s="3206">
        <v>0.06</v>
      </c>
      <c r="F15" s="3206">
        <v>0.1</v>
      </c>
      <c r="G15" s="3207">
        <v>9.7000000000000003E-2</v>
      </c>
    </row>
    <row r="16" spans="1:7">
      <c r="A16" s="3204" t="s">
        <v>1031</v>
      </c>
      <c r="B16" s="3205" t="s">
        <v>1015</v>
      </c>
      <c r="C16" s="3206">
        <v>9.8000000000000004E-2</v>
      </c>
      <c r="D16" s="3206">
        <v>9.7000000000000003E-2</v>
      </c>
      <c r="E16" s="3206">
        <v>9.5000000000000001E-2</v>
      </c>
      <c r="F16" s="3206">
        <v>0.1</v>
      </c>
      <c r="G16" s="3207">
        <v>9.9000000000000005E-2</v>
      </c>
    </row>
    <row r="17" spans="1:7">
      <c r="A17" s="3204" t="s">
        <v>1031</v>
      </c>
      <c r="B17" s="3205" t="s">
        <v>1022</v>
      </c>
      <c r="C17" s="3206">
        <v>8.8999999999999996E-2</v>
      </c>
      <c r="D17" s="3206">
        <v>9.1999999999999998E-2</v>
      </c>
      <c r="E17" s="3206">
        <v>6.0999999999999999E-2</v>
      </c>
      <c r="F17" s="3206">
        <v>0.1</v>
      </c>
      <c r="G17" s="3207">
        <v>9.7000000000000003E-2</v>
      </c>
    </row>
    <row r="18" spans="1:7">
      <c r="A18" s="3204" t="s">
        <v>1031</v>
      </c>
      <c r="B18" s="3205" t="s">
        <v>1032</v>
      </c>
      <c r="C18" s="3206">
        <v>9.8000000000000004E-2</v>
      </c>
      <c r="D18" s="3206">
        <v>9.8000000000000004E-2</v>
      </c>
      <c r="E18" s="3206">
        <v>9.8000000000000004E-2</v>
      </c>
      <c r="F18" s="3213"/>
      <c r="G18" s="3207">
        <v>9.9000000000000005E-2</v>
      </c>
    </row>
    <row r="19" spans="1:7">
      <c r="A19" s="3204" t="s">
        <v>1031</v>
      </c>
      <c r="B19" s="3205" t="s">
        <v>1041</v>
      </c>
      <c r="C19" s="3206">
        <v>9.9000000000000005E-2</v>
      </c>
      <c r="D19" s="3206">
        <v>7.3999999999999996E-2</v>
      </c>
      <c r="E19" s="3206">
        <v>8.1000000000000003E-2</v>
      </c>
      <c r="F19" s="3213"/>
      <c r="G19" s="3207">
        <v>9.2999999999999999E-2</v>
      </c>
    </row>
    <row r="20" spans="1:7">
      <c r="A20" s="3204" t="s">
        <v>1031</v>
      </c>
      <c r="B20" s="3205" t="s">
        <v>1048</v>
      </c>
      <c r="C20" s="3206">
        <v>0.1</v>
      </c>
      <c r="D20" s="3206">
        <v>8.8999999999999996E-2</v>
      </c>
      <c r="E20" s="3206">
        <v>8.8999999999999996E-2</v>
      </c>
      <c r="F20" s="3213"/>
      <c r="G20" s="3207">
        <v>9.5000000000000001E-2</v>
      </c>
    </row>
    <row r="21" spans="1:7">
      <c r="A21" s="3204" t="s">
        <v>1031</v>
      </c>
      <c r="B21" s="3205" t="s">
        <v>1055</v>
      </c>
      <c r="C21" s="3206">
        <v>0.1</v>
      </c>
      <c r="D21" s="3206">
        <v>9.0999999999999998E-2</v>
      </c>
      <c r="E21" s="3206">
        <v>8.2000000000000003E-2</v>
      </c>
      <c r="F21" s="3213"/>
      <c r="G21" s="3207">
        <v>9.7000000000000003E-2</v>
      </c>
    </row>
    <row r="22" spans="1:7">
      <c r="A22" s="3204" t="s">
        <v>1031</v>
      </c>
      <c r="B22" s="3205" t="s">
        <v>3036</v>
      </c>
      <c r="C22" s="3206">
        <v>9.5000000000000001E-2</v>
      </c>
      <c r="D22" s="3206">
        <v>9.9000000000000005E-2</v>
      </c>
      <c r="E22" s="3206">
        <v>9.8000000000000004E-2</v>
      </c>
      <c r="F22" s="3213"/>
      <c r="G22" s="3207">
        <v>0.1</v>
      </c>
    </row>
    <row r="23" spans="1:7">
      <c r="A23" s="3204" t="s">
        <v>1031</v>
      </c>
      <c r="B23" s="3205" t="s">
        <v>1070</v>
      </c>
      <c r="C23" s="3206">
        <v>9.9000000000000005E-2</v>
      </c>
      <c r="D23" s="3206">
        <v>0.1</v>
      </c>
      <c r="E23" s="3206">
        <v>0.1</v>
      </c>
      <c r="F23" s="3213"/>
      <c r="G23" s="3207">
        <v>0.1</v>
      </c>
    </row>
    <row r="24" spans="1:7">
      <c r="A24" s="3204" t="s">
        <v>1031</v>
      </c>
      <c r="B24" s="3205" t="s">
        <v>1078</v>
      </c>
      <c r="C24" s="3206">
        <v>9.5000000000000001E-2</v>
      </c>
      <c r="D24" s="3206">
        <v>0.1</v>
      </c>
      <c r="E24" s="3206">
        <v>9.8000000000000004E-2</v>
      </c>
      <c r="F24" s="3213"/>
      <c r="G24" s="3207">
        <v>0.1</v>
      </c>
    </row>
    <row r="25" spans="1:7">
      <c r="A25" s="3204" t="s">
        <v>1031</v>
      </c>
      <c r="B25" s="3205" t="s">
        <v>1083</v>
      </c>
      <c r="C25" s="3206">
        <v>0.05</v>
      </c>
      <c r="D25" s="3206">
        <v>9.6000000000000002E-2</v>
      </c>
      <c r="E25" s="3206">
        <v>9.6000000000000002E-2</v>
      </c>
      <c r="F25" s="3213"/>
      <c r="G25" s="3207">
        <v>9.6000000000000002E-2</v>
      </c>
    </row>
    <row r="26" spans="1:7">
      <c r="A26" s="3204" t="s">
        <v>1031</v>
      </c>
      <c r="B26" s="3205" t="s">
        <v>1092</v>
      </c>
      <c r="C26" s="3206">
        <v>6.3E-2</v>
      </c>
      <c r="D26" s="3206">
        <v>9.9000000000000005E-2</v>
      </c>
      <c r="E26" s="3206">
        <v>9.8000000000000004E-2</v>
      </c>
      <c r="F26" s="3213"/>
      <c r="G26" s="3207">
        <v>0.1</v>
      </c>
    </row>
    <row r="27" spans="1:7">
      <c r="A27" s="3204" t="s">
        <v>1031</v>
      </c>
      <c r="B27" s="3205" t="s">
        <v>1099</v>
      </c>
      <c r="C27" s="3206">
        <v>5.1999999999999998E-2</v>
      </c>
      <c r="D27" s="3206">
        <v>9.5000000000000001E-2</v>
      </c>
      <c r="E27" s="3206">
        <v>6.4000000000000001E-2</v>
      </c>
      <c r="F27" s="3213"/>
      <c r="G27" s="3207">
        <v>9.7000000000000003E-2</v>
      </c>
    </row>
    <row r="28" spans="1:7">
      <c r="A28" s="3204" t="s">
        <v>1031</v>
      </c>
      <c r="B28" s="3205" t="s">
        <v>1107</v>
      </c>
      <c r="C28" s="3213"/>
      <c r="D28" s="3206">
        <v>6.3E-2</v>
      </c>
      <c r="E28" s="3206">
        <v>5.1999999999999998E-2</v>
      </c>
      <c r="F28" s="3213"/>
      <c r="G28" s="3207">
        <v>6.3E-2</v>
      </c>
    </row>
    <row r="29" spans="1:7" ht="15" thickBot="1">
      <c r="A29" s="3208" t="s">
        <v>1031</v>
      </c>
      <c r="B29" s="3209" t="s">
        <v>2822</v>
      </c>
      <c r="C29" s="3214"/>
      <c r="D29" s="3210">
        <v>5.1999999999999998E-2</v>
      </c>
      <c r="E29" s="3210">
        <v>7.0000000000000007E-2</v>
      </c>
      <c r="F29" s="3214"/>
      <c r="G29" s="3212">
        <v>7.0999999999999994E-2</v>
      </c>
    </row>
    <row r="30" spans="1:7">
      <c r="A30" s="3215" t="s">
        <v>1145</v>
      </c>
      <c r="B30" s="3201" t="s">
        <v>3037</v>
      </c>
      <c r="C30" s="3202">
        <v>6.6000000000000003E-2</v>
      </c>
      <c r="D30" s="3202">
        <v>6.6000000000000003E-2</v>
      </c>
      <c r="E30" s="3202">
        <v>5.7000000000000002E-2</v>
      </c>
      <c r="F30" s="3202">
        <v>0.1</v>
      </c>
      <c r="G30" s="3203">
        <v>6.8000000000000005E-2</v>
      </c>
    </row>
    <row r="31" spans="1:7">
      <c r="A31" s="3216" t="s">
        <v>1145</v>
      </c>
      <c r="B31" s="3205" t="s">
        <v>974</v>
      </c>
      <c r="C31" s="3206">
        <v>5.5E-2</v>
      </c>
      <c r="D31" s="3206">
        <v>8.2000000000000003E-2</v>
      </c>
      <c r="E31" s="3206">
        <v>6.4000000000000001E-2</v>
      </c>
      <c r="F31" s="3206">
        <v>0.1</v>
      </c>
      <c r="G31" s="3207">
        <v>9.5000000000000001E-2</v>
      </c>
    </row>
    <row r="32" spans="1:7">
      <c r="A32" s="3216" t="s">
        <v>1145</v>
      </c>
      <c r="B32" s="3205" t="s">
        <v>984</v>
      </c>
      <c r="C32" s="3206">
        <v>8.2000000000000003E-2</v>
      </c>
      <c r="D32" s="3206">
        <v>8.6999999999999994E-2</v>
      </c>
      <c r="E32" s="3206">
        <v>9.5000000000000001E-2</v>
      </c>
      <c r="F32" s="3206">
        <v>0.1</v>
      </c>
      <c r="G32" s="3207">
        <v>9.6000000000000002E-2</v>
      </c>
    </row>
    <row r="33" spans="1:7">
      <c r="A33" s="3216" t="s">
        <v>1145</v>
      </c>
      <c r="B33" s="3205" t="s">
        <v>993</v>
      </c>
      <c r="C33" s="3206">
        <v>9.9000000000000005E-2</v>
      </c>
      <c r="D33" s="3206">
        <v>9.1999999999999998E-2</v>
      </c>
      <c r="E33" s="3206">
        <v>8.6999999999999994E-2</v>
      </c>
      <c r="F33" s="3206">
        <v>0.1</v>
      </c>
      <c r="G33" s="3207">
        <v>9.7000000000000003E-2</v>
      </c>
    </row>
    <row r="34" spans="1:7">
      <c r="A34" s="3216" t="s">
        <v>1145</v>
      </c>
      <c r="B34" s="3205" t="s">
        <v>1003</v>
      </c>
      <c r="C34" s="3206">
        <v>8.4000000000000005E-2</v>
      </c>
      <c r="D34" s="3206">
        <v>9.7000000000000003E-2</v>
      </c>
      <c r="E34" s="3206">
        <v>7.0999999999999994E-2</v>
      </c>
      <c r="F34" s="3206">
        <v>0.1</v>
      </c>
      <c r="G34" s="3207">
        <v>9.8000000000000004E-2</v>
      </c>
    </row>
    <row r="35" spans="1:7">
      <c r="A35" s="3216" t="s">
        <v>1145</v>
      </c>
      <c r="B35" s="3205" t="s">
        <v>1010</v>
      </c>
      <c r="C35" s="3206">
        <v>8.3000000000000004E-2</v>
      </c>
      <c r="D35" s="3206">
        <v>9.7000000000000003E-2</v>
      </c>
      <c r="E35" s="3206">
        <v>6.0999999999999999E-2</v>
      </c>
      <c r="F35" s="3206">
        <v>0.1</v>
      </c>
      <c r="G35" s="3207">
        <v>9.9000000000000005E-2</v>
      </c>
    </row>
    <row r="36" spans="1:7">
      <c r="A36" s="3216" t="s">
        <v>1145</v>
      </c>
      <c r="B36" s="3205" t="s">
        <v>1016</v>
      </c>
      <c r="C36" s="3206">
        <v>9.7000000000000003E-2</v>
      </c>
      <c r="D36" s="3206">
        <v>9.7000000000000003E-2</v>
      </c>
      <c r="E36" s="3206">
        <v>7.8E-2</v>
      </c>
      <c r="F36" s="3206">
        <v>0.1</v>
      </c>
      <c r="G36" s="3207">
        <v>9.9000000000000005E-2</v>
      </c>
    </row>
    <row r="37" spans="1:7">
      <c r="A37" s="3216" t="s">
        <v>1145</v>
      </c>
      <c r="B37" s="3205" t="s">
        <v>1023</v>
      </c>
      <c r="C37" s="3206">
        <v>9.7000000000000003E-2</v>
      </c>
      <c r="D37" s="3206">
        <v>9.5000000000000001E-2</v>
      </c>
      <c r="E37" s="3206">
        <v>7.8E-2</v>
      </c>
      <c r="F37" s="3206">
        <v>0.1</v>
      </c>
      <c r="G37" s="3207">
        <v>9.7000000000000003E-2</v>
      </c>
    </row>
    <row r="38" spans="1:7">
      <c r="A38" s="3216" t="s">
        <v>1145</v>
      </c>
      <c r="B38" s="3205" t="s">
        <v>1033</v>
      </c>
      <c r="C38" s="3206">
        <v>9.7000000000000003E-2</v>
      </c>
      <c r="D38" s="3206">
        <v>7.6999999999999999E-2</v>
      </c>
      <c r="E38" s="3206">
        <v>7.0000000000000007E-2</v>
      </c>
      <c r="F38" s="3206">
        <v>0.1</v>
      </c>
      <c r="G38" s="3207">
        <v>7.6999999999999999E-2</v>
      </c>
    </row>
    <row r="39" spans="1:7">
      <c r="A39" s="3216" t="s">
        <v>1145</v>
      </c>
      <c r="B39" s="3205" t="s">
        <v>1042</v>
      </c>
      <c r="C39" s="3206">
        <v>9.5000000000000001E-2</v>
      </c>
      <c r="D39" s="3206">
        <v>7.6999999999999999E-2</v>
      </c>
      <c r="E39" s="3206">
        <v>6.6000000000000003E-2</v>
      </c>
      <c r="F39" s="3206">
        <v>0.1</v>
      </c>
      <c r="G39" s="3207">
        <v>8.5999999999999993E-2</v>
      </c>
    </row>
    <row r="40" spans="1:7">
      <c r="A40" s="3216" t="s">
        <v>1145</v>
      </c>
      <c r="B40" s="3205" t="s">
        <v>1049</v>
      </c>
      <c r="C40" s="3206">
        <v>7.6999999999999999E-2</v>
      </c>
      <c r="D40" s="3206">
        <v>7.8E-2</v>
      </c>
      <c r="E40" s="3206">
        <v>8.2000000000000003E-2</v>
      </c>
      <c r="F40" s="3217"/>
      <c r="G40" s="3207">
        <v>7.8E-2</v>
      </c>
    </row>
    <row r="41" spans="1:7">
      <c r="A41" s="3216" t="s">
        <v>1145</v>
      </c>
      <c r="B41" s="3205" t="s">
        <v>1056</v>
      </c>
      <c r="C41" s="3206">
        <v>7.8E-2</v>
      </c>
      <c r="D41" s="3206">
        <v>7.8E-2</v>
      </c>
      <c r="E41" s="3206">
        <v>8.2000000000000003E-2</v>
      </c>
      <c r="F41" s="3217"/>
      <c r="G41" s="3207">
        <v>8.5999999999999993E-2</v>
      </c>
    </row>
    <row r="42" spans="1:7">
      <c r="A42" s="3216" t="s">
        <v>1145</v>
      </c>
      <c r="B42" s="3205" t="s">
        <v>1063</v>
      </c>
      <c r="C42" s="3206">
        <v>7.8E-2</v>
      </c>
      <c r="D42" s="3206">
        <v>9.6000000000000002E-2</v>
      </c>
      <c r="E42" s="3206">
        <v>7.1999999999999995E-2</v>
      </c>
      <c r="F42" s="3217"/>
      <c r="G42" s="3207">
        <v>9.8000000000000004E-2</v>
      </c>
    </row>
    <row r="43" spans="1:7">
      <c r="A43" s="3216" t="s">
        <v>3038</v>
      </c>
      <c r="B43" s="3205" t="s">
        <v>1071</v>
      </c>
      <c r="C43" s="3206">
        <v>7.8E-2</v>
      </c>
      <c r="D43" s="3206">
        <v>9.9000000000000005E-2</v>
      </c>
      <c r="E43" s="3206">
        <v>9.6000000000000002E-2</v>
      </c>
      <c r="F43" s="3217"/>
      <c r="G43" s="3207">
        <v>0.1</v>
      </c>
    </row>
    <row r="44" spans="1:7">
      <c r="A44" s="3216" t="s">
        <v>1145</v>
      </c>
      <c r="B44" s="3205" t="s">
        <v>1079</v>
      </c>
      <c r="C44" s="3206">
        <v>9.6000000000000002E-2</v>
      </c>
      <c r="D44" s="3206">
        <v>0.1</v>
      </c>
      <c r="E44" s="3206">
        <v>9.8000000000000004E-2</v>
      </c>
      <c r="F44" s="3217"/>
      <c r="G44" s="3207">
        <v>0.1</v>
      </c>
    </row>
    <row r="45" spans="1:7">
      <c r="A45" s="3216" t="s">
        <v>1145</v>
      </c>
      <c r="B45" s="3205" t="s">
        <v>1084</v>
      </c>
      <c r="C45" s="3206">
        <v>9.9000000000000005E-2</v>
      </c>
      <c r="D45" s="3206">
        <v>9.8000000000000004E-2</v>
      </c>
      <c r="E45" s="3206">
        <v>9.5000000000000001E-2</v>
      </c>
      <c r="F45" s="3217"/>
      <c r="G45" s="3207">
        <v>9.8000000000000004E-2</v>
      </c>
    </row>
    <row r="46" spans="1:7">
      <c r="A46" s="3216" t="s">
        <v>1145</v>
      </c>
      <c r="B46" s="3205" t="s">
        <v>1093</v>
      </c>
      <c r="C46" s="3206">
        <v>0.1</v>
      </c>
      <c r="D46" s="3206">
        <v>9.9000000000000005E-2</v>
      </c>
      <c r="E46" s="3206">
        <v>9.6000000000000002E-2</v>
      </c>
      <c r="F46" s="3217"/>
      <c r="G46" s="3207">
        <v>0.1</v>
      </c>
    </row>
    <row r="47" spans="1:7">
      <c r="A47" s="3216" t="s">
        <v>1145</v>
      </c>
      <c r="B47" s="3205" t="s">
        <v>1100</v>
      </c>
      <c r="C47" s="3206">
        <v>9.8000000000000004E-2</v>
      </c>
      <c r="D47" s="3206">
        <v>8.6999999999999994E-2</v>
      </c>
      <c r="E47" s="3206">
        <v>5.8999999999999997E-2</v>
      </c>
      <c r="F47" s="3217"/>
      <c r="G47" s="3207">
        <v>9.6000000000000002E-2</v>
      </c>
    </row>
    <row r="48" spans="1:7">
      <c r="A48" s="3216" t="s">
        <v>1145</v>
      </c>
      <c r="B48" s="3205" t="s">
        <v>1108</v>
      </c>
      <c r="C48" s="3206">
        <v>9.9000000000000005E-2</v>
      </c>
      <c r="D48" s="3206">
        <v>9.8000000000000004E-2</v>
      </c>
      <c r="E48" s="3206">
        <v>9.5000000000000001E-2</v>
      </c>
      <c r="F48" s="3217"/>
      <c r="G48" s="3207">
        <v>9.8000000000000004E-2</v>
      </c>
    </row>
    <row r="49" spans="1:7">
      <c r="A49" s="3216" t="s">
        <v>1145</v>
      </c>
      <c r="B49" s="3205" t="s">
        <v>1115</v>
      </c>
      <c r="C49" s="3206">
        <v>8.7999999999999995E-2</v>
      </c>
      <c r="D49" s="3206">
        <v>9.9000000000000005E-2</v>
      </c>
      <c r="E49" s="3206">
        <v>7.0000000000000007E-2</v>
      </c>
      <c r="F49" s="3217"/>
      <c r="G49" s="3207">
        <v>0.1</v>
      </c>
    </row>
    <row r="50" spans="1:7">
      <c r="A50" s="3216" t="s">
        <v>1145</v>
      </c>
      <c r="B50" s="3205" t="s">
        <v>2824</v>
      </c>
      <c r="C50" s="3206">
        <v>9.8000000000000004E-2</v>
      </c>
      <c r="D50" s="3206">
        <v>7.2999999999999995E-2</v>
      </c>
      <c r="E50" s="3206">
        <v>7.0999999999999994E-2</v>
      </c>
      <c r="F50" s="3217"/>
      <c r="G50" s="3207">
        <v>7.2999999999999995E-2</v>
      </c>
    </row>
    <row r="51" spans="1:7">
      <c r="A51" s="3216" t="s">
        <v>1145</v>
      </c>
      <c r="B51" s="3205" t="s">
        <v>2825</v>
      </c>
      <c r="C51" s="3206">
        <v>9.9000000000000005E-2</v>
      </c>
      <c r="D51" s="3206">
        <v>8.5000000000000006E-2</v>
      </c>
      <c r="E51" s="3206">
        <v>6.3E-2</v>
      </c>
      <c r="F51" s="3217"/>
      <c r="G51" s="3207">
        <v>9.6000000000000002E-2</v>
      </c>
    </row>
    <row r="52" spans="1:7">
      <c r="A52" s="3216" t="s">
        <v>1145</v>
      </c>
      <c r="B52" s="3205" t="s">
        <v>2826</v>
      </c>
      <c r="C52" s="3206">
        <v>7.3999999999999996E-2</v>
      </c>
      <c r="D52" s="3206">
        <v>9.6000000000000002E-2</v>
      </c>
      <c r="E52" s="3206">
        <v>0.05</v>
      </c>
      <c r="F52" s="3217"/>
      <c r="G52" s="3207">
        <v>9.8000000000000004E-2</v>
      </c>
    </row>
    <row r="53" spans="1:7">
      <c r="A53" s="3216" t="s">
        <v>1145</v>
      </c>
      <c r="B53" s="3205" t="s">
        <v>2827</v>
      </c>
      <c r="C53" s="3206">
        <v>8.5999999999999993E-2</v>
      </c>
      <c r="D53" s="3217"/>
      <c r="E53" s="3206">
        <v>9.1999999999999998E-2</v>
      </c>
      <c r="F53" s="3217"/>
      <c r="G53" s="3218"/>
    </row>
    <row r="54" spans="1:7" ht="15" thickBot="1">
      <c r="A54" s="3219" t="s">
        <v>1145</v>
      </c>
      <c r="B54" s="3209" t="s">
        <v>2828</v>
      </c>
      <c r="C54" s="3210">
        <v>9.6000000000000002E-2</v>
      </c>
      <c r="D54" s="3211"/>
      <c r="E54" s="3220"/>
      <c r="F54" s="3211"/>
      <c r="G54" s="3221"/>
    </row>
    <row r="55" spans="1:7">
      <c r="A55" s="3215" t="s">
        <v>853</v>
      </c>
      <c r="B55" s="3201" t="s">
        <v>3039</v>
      </c>
      <c r="C55" s="3202">
        <v>9.6000000000000002E-2</v>
      </c>
      <c r="D55" s="3202">
        <v>8.4000000000000005E-2</v>
      </c>
      <c r="E55" s="3202">
        <v>9.1999999999999998E-2</v>
      </c>
      <c r="F55" s="3202">
        <v>0.1</v>
      </c>
      <c r="G55" s="3203">
        <v>9.5000000000000001E-2</v>
      </c>
    </row>
    <row r="56" spans="1:7">
      <c r="A56" s="3216" t="s">
        <v>853</v>
      </c>
      <c r="B56" s="3205" t="s">
        <v>975</v>
      </c>
      <c r="C56" s="3206">
        <v>8.4000000000000005E-2</v>
      </c>
      <c r="D56" s="3206">
        <v>9.1999999999999998E-2</v>
      </c>
      <c r="E56" s="3206">
        <v>9.5000000000000001E-2</v>
      </c>
      <c r="F56" s="3206">
        <v>9.1999999999999998E-2</v>
      </c>
      <c r="G56" s="3207">
        <v>9.6000000000000002E-2</v>
      </c>
    </row>
    <row r="57" spans="1:7">
      <c r="A57" s="3216" t="s">
        <v>853</v>
      </c>
      <c r="B57" s="3205" t="s">
        <v>985</v>
      </c>
      <c r="C57" s="3206">
        <v>9.9000000000000005E-2</v>
      </c>
      <c r="D57" s="3206">
        <v>9.6000000000000002E-2</v>
      </c>
      <c r="E57" s="3206">
        <v>9.1999999999999998E-2</v>
      </c>
      <c r="F57" s="3206">
        <v>0.1</v>
      </c>
      <c r="G57" s="3207">
        <v>9.8000000000000004E-2</v>
      </c>
    </row>
    <row r="58" spans="1:7">
      <c r="A58" s="3216" t="s">
        <v>853</v>
      </c>
      <c r="B58" s="3205" t="s">
        <v>994</v>
      </c>
      <c r="C58" s="3206">
        <v>9.8000000000000004E-2</v>
      </c>
      <c r="D58" s="3206">
        <v>9.5000000000000001E-2</v>
      </c>
      <c r="E58" s="3206">
        <v>5.7000000000000002E-2</v>
      </c>
      <c r="F58" s="3206">
        <v>0.1</v>
      </c>
      <c r="G58" s="3207">
        <v>9.6000000000000002E-2</v>
      </c>
    </row>
    <row r="59" spans="1:7">
      <c r="A59" s="3216" t="s">
        <v>853</v>
      </c>
      <c r="B59" s="3205" t="s">
        <v>1004</v>
      </c>
      <c r="C59" s="3206">
        <v>9.5000000000000001E-2</v>
      </c>
      <c r="D59" s="3206">
        <v>0.1</v>
      </c>
      <c r="E59" s="3206">
        <v>7.4999999999999997E-2</v>
      </c>
      <c r="F59" s="3206">
        <v>0.1</v>
      </c>
      <c r="G59" s="3207">
        <v>0.1</v>
      </c>
    </row>
    <row r="60" spans="1:7">
      <c r="A60" s="3216" t="s">
        <v>853</v>
      </c>
      <c r="B60" s="3205" t="s">
        <v>1011</v>
      </c>
      <c r="C60" s="3206">
        <v>0.1</v>
      </c>
      <c r="D60" s="3206">
        <v>9.7000000000000003E-2</v>
      </c>
      <c r="E60" s="3206">
        <v>0.1</v>
      </c>
      <c r="F60" s="3206">
        <v>0.1</v>
      </c>
      <c r="G60" s="3207">
        <v>9.7000000000000003E-2</v>
      </c>
    </row>
    <row r="61" spans="1:7">
      <c r="A61" s="3216" t="s">
        <v>853</v>
      </c>
      <c r="B61" s="3205" t="s">
        <v>1017</v>
      </c>
      <c r="C61" s="3206">
        <v>9.7000000000000003E-2</v>
      </c>
      <c r="D61" s="3206">
        <v>0.1</v>
      </c>
      <c r="E61" s="3206">
        <v>9.2999999999999999E-2</v>
      </c>
      <c r="F61" s="3206">
        <v>0.1</v>
      </c>
      <c r="G61" s="3207">
        <v>0.1</v>
      </c>
    </row>
    <row r="62" spans="1:7">
      <c r="A62" s="3216" t="s">
        <v>853</v>
      </c>
      <c r="B62" s="3205" t="s">
        <v>1024</v>
      </c>
      <c r="C62" s="3206">
        <v>0.1</v>
      </c>
      <c r="D62" s="3206">
        <v>9.7000000000000003E-2</v>
      </c>
      <c r="E62" s="3206">
        <v>8.8999999999999996E-2</v>
      </c>
      <c r="F62" s="3206">
        <v>0.1</v>
      </c>
      <c r="G62" s="3207">
        <v>9.8000000000000004E-2</v>
      </c>
    </row>
    <row r="63" spans="1:7">
      <c r="A63" s="3216" t="s">
        <v>853</v>
      </c>
      <c r="B63" s="3205" t="s">
        <v>1034</v>
      </c>
      <c r="C63" s="3206">
        <v>9.7000000000000003E-2</v>
      </c>
      <c r="D63" s="3206">
        <v>9.7000000000000003E-2</v>
      </c>
      <c r="E63" s="3206">
        <v>9.9000000000000005E-2</v>
      </c>
      <c r="F63" s="3206">
        <v>0.1</v>
      </c>
      <c r="G63" s="3207">
        <v>9.7000000000000003E-2</v>
      </c>
    </row>
    <row r="64" spans="1:7">
      <c r="A64" s="3216" t="s">
        <v>853</v>
      </c>
      <c r="B64" s="3205" t="s">
        <v>1043</v>
      </c>
      <c r="C64" s="3206">
        <v>9.7000000000000003E-2</v>
      </c>
      <c r="D64" s="3206">
        <v>7.3999999999999996E-2</v>
      </c>
      <c r="E64" s="3206">
        <v>7.8E-2</v>
      </c>
      <c r="F64" s="3206">
        <v>0.1</v>
      </c>
      <c r="G64" s="3207">
        <v>8.8999999999999996E-2</v>
      </c>
    </row>
    <row r="65" spans="1:7">
      <c r="A65" s="3216" t="s">
        <v>853</v>
      </c>
      <c r="B65" s="3205" t="s">
        <v>1050</v>
      </c>
      <c r="C65" s="3206">
        <v>7.2999999999999995E-2</v>
      </c>
      <c r="D65" s="3206">
        <v>9.8000000000000004E-2</v>
      </c>
      <c r="E65" s="3206">
        <v>9.5000000000000001E-2</v>
      </c>
      <c r="F65" s="3206">
        <v>0.1</v>
      </c>
      <c r="G65" s="3207">
        <v>9.9000000000000005E-2</v>
      </c>
    </row>
    <row r="66" spans="1:7">
      <c r="A66" s="3216" t="s">
        <v>853</v>
      </c>
      <c r="B66" s="3205" t="s">
        <v>1057</v>
      </c>
      <c r="C66" s="3206">
        <v>9.8000000000000004E-2</v>
      </c>
      <c r="D66" s="3206">
        <v>9.5000000000000001E-2</v>
      </c>
      <c r="E66" s="3206">
        <v>0.05</v>
      </c>
      <c r="F66" s="3206">
        <v>0.1</v>
      </c>
      <c r="G66" s="3207">
        <v>9.7000000000000003E-2</v>
      </c>
    </row>
    <row r="67" spans="1:7">
      <c r="A67" s="3216" t="s">
        <v>853</v>
      </c>
      <c r="B67" s="3205" t="s">
        <v>1064</v>
      </c>
      <c r="C67" s="3206">
        <v>9.5000000000000001E-2</v>
      </c>
      <c r="D67" s="3206">
        <v>9.7000000000000003E-2</v>
      </c>
      <c r="E67" s="3206">
        <v>9.7000000000000003E-2</v>
      </c>
      <c r="F67" s="3206">
        <v>0.1</v>
      </c>
      <c r="G67" s="3207">
        <v>9.9000000000000005E-2</v>
      </c>
    </row>
    <row r="68" spans="1:7">
      <c r="A68" s="3216" t="s">
        <v>853</v>
      </c>
      <c r="B68" s="3205" t="s">
        <v>1072</v>
      </c>
      <c r="C68" s="3206">
        <v>9.7000000000000003E-2</v>
      </c>
      <c r="D68" s="3206">
        <v>6.8000000000000005E-2</v>
      </c>
      <c r="E68" s="3206">
        <v>6.6000000000000003E-2</v>
      </c>
      <c r="F68" s="3206">
        <v>0.1</v>
      </c>
      <c r="G68" s="3207">
        <v>8.4000000000000005E-2</v>
      </c>
    </row>
    <row r="69" spans="1:7">
      <c r="A69" s="3216" t="s">
        <v>853</v>
      </c>
      <c r="B69" s="3205" t="s">
        <v>1080</v>
      </c>
      <c r="C69" s="3206">
        <v>6.8000000000000005E-2</v>
      </c>
      <c r="D69" s="3206">
        <v>9.8000000000000004E-2</v>
      </c>
      <c r="E69" s="3206">
        <v>9.5000000000000001E-2</v>
      </c>
      <c r="F69" s="3206">
        <v>0.1</v>
      </c>
      <c r="G69" s="3207">
        <v>0.1</v>
      </c>
    </row>
    <row r="70" spans="1:7">
      <c r="A70" s="3216" t="s">
        <v>853</v>
      </c>
      <c r="B70" s="3205" t="s">
        <v>1085</v>
      </c>
      <c r="C70" s="3206">
        <v>9.8000000000000004E-2</v>
      </c>
      <c r="D70" s="3206">
        <v>8.8999999999999996E-2</v>
      </c>
      <c r="E70" s="3206">
        <v>5.8999999999999997E-2</v>
      </c>
      <c r="F70" s="3206">
        <v>0.1</v>
      </c>
      <c r="G70" s="3207">
        <v>9.6000000000000002E-2</v>
      </c>
    </row>
    <row r="71" spans="1:7">
      <c r="A71" s="3216" t="s">
        <v>853</v>
      </c>
      <c r="B71" s="3205" t="s">
        <v>1094</v>
      </c>
      <c r="C71" s="3206">
        <v>8.8999999999999996E-2</v>
      </c>
      <c r="D71" s="3206">
        <v>9.9000000000000005E-2</v>
      </c>
      <c r="E71" s="3206">
        <v>9.6000000000000002E-2</v>
      </c>
      <c r="F71" s="3206">
        <v>0.1</v>
      </c>
      <c r="G71" s="3207">
        <v>0.1</v>
      </c>
    </row>
    <row r="72" spans="1:7">
      <c r="A72" s="3216" t="s">
        <v>853</v>
      </c>
      <c r="B72" s="3205" t="s">
        <v>1101</v>
      </c>
      <c r="C72" s="3206">
        <v>9.9000000000000005E-2</v>
      </c>
      <c r="D72" s="3206">
        <v>0.1</v>
      </c>
      <c r="E72" s="3206">
        <v>7.0000000000000007E-2</v>
      </c>
      <c r="F72" s="3217"/>
      <c r="G72" s="3207">
        <v>0.1</v>
      </c>
    </row>
    <row r="73" spans="1:7">
      <c r="A73" s="3216" t="s">
        <v>853</v>
      </c>
      <c r="B73" s="3205" t="s">
        <v>1109</v>
      </c>
      <c r="C73" s="3206">
        <v>0.1</v>
      </c>
      <c r="D73" s="3206">
        <v>0.1</v>
      </c>
      <c r="E73" s="3206">
        <v>9.6000000000000002E-2</v>
      </c>
      <c r="F73" s="3217"/>
      <c r="G73" s="3207">
        <v>0.1</v>
      </c>
    </row>
    <row r="74" spans="1:7">
      <c r="A74" s="3216" t="s">
        <v>853</v>
      </c>
      <c r="B74" s="3205" t="s">
        <v>1116</v>
      </c>
      <c r="C74" s="3206">
        <v>0.1</v>
      </c>
      <c r="D74" s="3206">
        <v>0.1</v>
      </c>
      <c r="E74" s="3206">
        <v>9.8000000000000004E-2</v>
      </c>
      <c r="F74" s="3217"/>
      <c r="G74" s="3207">
        <v>0.1</v>
      </c>
    </row>
    <row r="75" spans="1:7">
      <c r="A75" s="3216" t="s">
        <v>853</v>
      </c>
      <c r="B75" s="3205" t="s">
        <v>1120</v>
      </c>
      <c r="C75" s="3206">
        <v>0.1</v>
      </c>
      <c r="D75" s="3206">
        <v>9.9000000000000005E-2</v>
      </c>
      <c r="E75" s="3206">
        <v>9.8000000000000004E-2</v>
      </c>
      <c r="F75" s="3217"/>
      <c r="G75" s="3207">
        <v>0.1</v>
      </c>
    </row>
    <row r="76" spans="1:7">
      <c r="A76" s="3216" t="s">
        <v>853</v>
      </c>
      <c r="B76" s="3205" t="s">
        <v>1127</v>
      </c>
      <c r="C76" s="3206">
        <v>9.9000000000000005E-2</v>
      </c>
      <c r="D76" s="3206">
        <v>0.1</v>
      </c>
      <c r="E76" s="3206">
        <v>9.7000000000000003E-2</v>
      </c>
      <c r="F76" s="3217"/>
      <c r="G76" s="3207">
        <v>0.1</v>
      </c>
    </row>
    <row r="77" spans="1:7">
      <c r="A77" s="3216" t="s">
        <v>853</v>
      </c>
      <c r="B77" s="3205" t="s">
        <v>1130</v>
      </c>
      <c r="C77" s="3206">
        <v>0.1</v>
      </c>
      <c r="D77" s="3206">
        <v>0.1</v>
      </c>
      <c r="E77" s="3206">
        <v>9.6000000000000002E-2</v>
      </c>
      <c r="F77" s="3217"/>
      <c r="G77" s="3207">
        <v>0.1</v>
      </c>
    </row>
    <row r="78" spans="1:7">
      <c r="A78" s="3216" t="s">
        <v>853</v>
      </c>
      <c r="B78" s="3205" t="s">
        <v>2830</v>
      </c>
      <c r="C78" s="3206">
        <v>0.1</v>
      </c>
      <c r="D78" s="3206">
        <v>8.5000000000000006E-2</v>
      </c>
      <c r="E78" s="3206">
        <v>9.6000000000000002E-2</v>
      </c>
      <c r="F78" s="3217"/>
      <c r="G78" s="3207">
        <v>9.6000000000000002E-2</v>
      </c>
    </row>
    <row r="79" spans="1:7">
      <c r="A79" s="3216" t="s">
        <v>853</v>
      </c>
      <c r="B79" s="3205" t="s">
        <v>2831</v>
      </c>
      <c r="C79" s="3206">
        <v>0.05</v>
      </c>
      <c r="D79" s="3206">
        <v>9.6000000000000002E-2</v>
      </c>
      <c r="E79" s="3206">
        <v>9.5000000000000001E-2</v>
      </c>
      <c r="F79" s="3217"/>
      <c r="G79" s="3207">
        <v>9.8000000000000004E-2</v>
      </c>
    </row>
    <row r="80" spans="1:7">
      <c r="A80" s="3216" t="s">
        <v>853</v>
      </c>
      <c r="B80" s="3205" t="s">
        <v>2832</v>
      </c>
      <c r="C80" s="3206">
        <v>8.5999999999999993E-2</v>
      </c>
      <c r="D80" s="3222"/>
      <c r="E80" s="3206">
        <v>0.1</v>
      </c>
      <c r="F80" s="3217"/>
      <c r="G80" s="3218"/>
    </row>
    <row r="81" spans="1:7">
      <c r="A81" s="3216" t="s">
        <v>853</v>
      </c>
      <c r="B81" s="3205" t="s">
        <v>2833</v>
      </c>
      <c r="C81" s="3206">
        <v>9.6000000000000002E-2</v>
      </c>
      <c r="D81" s="3217"/>
      <c r="E81" s="3206">
        <v>9.8000000000000004E-2</v>
      </c>
      <c r="F81" s="3217"/>
      <c r="G81" s="3218"/>
    </row>
    <row r="82" spans="1:7">
      <c r="A82" s="3216" t="s">
        <v>853</v>
      </c>
      <c r="B82" s="3205" t="s">
        <v>2834</v>
      </c>
      <c r="C82" s="3222"/>
      <c r="D82" s="3217"/>
      <c r="E82" s="3206">
        <v>7.6999999999999999E-2</v>
      </c>
      <c r="F82" s="3217"/>
      <c r="G82" s="3218"/>
    </row>
    <row r="83" spans="1:7">
      <c r="A83" s="3216" t="s">
        <v>853</v>
      </c>
      <c r="B83" s="3205" t="s">
        <v>3040</v>
      </c>
      <c r="C83" s="3217"/>
      <c r="D83" s="3217"/>
      <c r="E83" s="3217"/>
      <c r="F83" s="3206">
        <v>0.1</v>
      </c>
      <c r="G83" s="3223"/>
    </row>
    <row r="84" spans="1:7">
      <c r="A84" s="3216" t="s">
        <v>853</v>
      </c>
      <c r="B84" s="3205" t="s">
        <v>3041</v>
      </c>
      <c r="C84" s="3217"/>
      <c r="D84" s="3217"/>
      <c r="E84" s="3217"/>
      <c r="F84" s="3206">
        <v>0.1</v>
      </c>
      <c r="G84" s="3223"/>
    </row>
    <row r="85" spans="1:7">
      <c r="A85" s="3216" t="s">
        <v>853</v>
      </c>
      <c r="B85" s="3205" t="s">
        <v>3042</v>
      </c>
      <c r="C85" s="3217"/>
      <c r="D85" s="3217"/>
      <c r="E85" s="3217"/>
      <c r="F85" s="3206">
        <v>0.1</v>
      </c>
      <c r="G85" s="3223"/>
    </row>
    <row r="86" spans="1:7" ht="15" thickBot="1">
      <c r="A86" s="3219" t="s">
        <v>853</v>
      </c>
      <c r="B86" s="3209" t="s">
        <v>3043</v>
      </c>
      <c r="C86" s="3210">
        <v>9.8000000000000004E-2</v>
      </c>
      <c r="D86" s="3210">
        <v>9.8000000000000004E-2</v>
      </c>
      <c r="E86" s="3210">
        <v>9.6000000000000002E-2</v>
      </c>
      <c r="F86" s="3220"/>
      <c r="G86" s="3212">
        <v>0.1</v>
      </c>
    </row>
    <row r="87" spans="1:7">
      <c r="A87" s="3215" t="s">
        <v>1152</v>
      </c>
      <c r="B87" s="3201" t="s">
        <v>3044</v>
      </c>
      <c r="C87" s="3202">
        <v>0.1</v>
      </c>
      <c r="D87" s="3202">
        <v>0.1</v>
      </c>
      <c r="E87" s="3202">
        <v>9.8000000000000004E-2</v>
      </c>
      <c r="F87" s="3202">
        <v>0.1</v>
      </c>
      <c r="G87" s="3203">
        <v>0.1</v>
      </c>
    </row>
    <row r="88" spans="1:7">
      <c r="A88" s="3216" t="s">
        <v>1152</v>
      </c>
      <c r="B88" s="3205" t="s">
        <v>976</v>
      </c>
      <c r="C88" s="3206">
        <v>9.0999999999999998E-2</v>
      </c>
      <c r="D88" s="3206">
        <v>9.1999999999999998E-2</v>
      </c>
      <c r="E88" s="3206">
        <v>0.1</v>
      </c>
      <c r="F88" s="3206">
        <v>0.1</v>
      </c>
      <c r="G88" s="3207">
        <v>9.6000000000000002E-2</v>
      </c>
    </row>
    <row r="89" spans="1:7">
      <c r="A89" s="3216" t="s">
        <v>1152</v>
      </c>
      <c r="B89" s="3205" t="s">
        <v>986</v>
      </c>
      <c r="C89" s="3206">
        <v>0.1</v>
      </c>
      <c r="D89" s="3206">
        <v>0.1</v>
      </c>
      <c r="E89" s="3206">
        <v>6.7000000000000004E-2</v>
      </c>
      <c r="F89" s="3206">
        <v>9.2999999999999999E-2</v>
      </c>
      <c r="G89" s="3207">
        <v>0.1</v>
      </c>
    </row>
    <row r="90" spans="1:7">
      <c r="A90" s="3216" t="s">
        <v>1152</v>
      </c>
      <c r="B90" s="3205" t="s">
        <v>995</v>
      </c>
      <c r="C90" s="3206">
        <v>9.6000000000000002E-2</v>
      </c>
      <c r="D90" s="3206">
        <v>9.6000000000000002E-2</v>
      </c>
      <c r="E90" s="3206">
        <v>0.1</v>
      </c>
      <c r="F90" s="3206">
        <v>0.1</v>
      </c>
      <c r="G90" s="3207">
        <v>9.8000000000000004E-2</v>
      </c>
    </row>
    <row r="91" spans="1:7">
      <c r="A91" s="3216" t="s">
        <v>1152</v>
      </c>
      <c r="B91" s="3205" t="s">
        <v>1005</v>
      </c>
      <c r="C91" s="3206">
        <v>7.6999999999999999E-2</v>
      </c>
      <c r="D91" s="3206">
        <v>7.6999999999999999E-2</v>
      </c>
      <c r="E91" s="3206">
        <v>9.6000000000000002E-2</v>
      </c>
      <c r="F91" s="3206">
        <v>0.1</v>
      </c>
      <c r="G91" s="3207">
        <v>7.6999999999999999E-2</v>
      </c>
    </row>
    <row r="92" spans="1:7">
      <c r="A92" s="3216" t="s">
        <v>1152</v>
      </c>
      <c r="B92" s="3205" t="s">
        <v>1012</v>
      </c>
      <c r="C92" s="3206">
        <v>0.1</v>
      </c>
      <c r="D92" s="3206">
        <v>0.1</v>
      </c>
      <c r="E92" s="3206">
        <v>9.1999999999999998E-2</v>
      </c>
      <c r="F92" s="3206">
        <v>0.1</v>
      </c>
      <c r="G92" s="3207">
        <v>0.1</v>
      </c>
    </row>
    <row r="93" spans="1:7">
      <c r="A93" s="3216" t="s">
        <v>1152</v>
      </c>
      <c r="B93" s="3205" t="s">
        <v>1018</v>
      </c>
      <c r="C93" s="3206">
        <v>9.8000000000000004E-2</v>
      </c>
      <c r="D93" s="3206">
        <v>9.8000000000000004E-2</v>
      </c>
      <c r="E93" s="3206">
        <v>9.6000000000000002E-2</v>
      </c>
      <c r="F93" s="3206">
        <v>0.1</v>
      </c>
      <c r="G93" s="3207">
        <v>9.9000000000000005E-2</v>
      </c>
    </row>
    <row r="94" spans="1:7">
      <c r="A94" s="3216" t="s">
        <v>1152</v>
      </c>
      <c r="B94" s="3205" t="s">
        <v>1025</v>
      </c>
      <c r="C94" s="3206">
        <v>8.7999999999999995E-2</v>
      </c>
      <c r="D94" s="3206">
        <v>8.7999999999999995E-2</v>
      </c>
      <c r="E94" s="3206">
        <v>9.6000000000000002E-2</v>
      </c>
      <c r="F94" s="3206">
        <v>0.1</v>
      </c>
      <c r="G94" s="3207">
        <v>8.7999999999999995E-2</v>
      </c>
    </row>
    <row r="95" spans="1:7">
      <c r="A95" s="3216" t="s">
        <v>1152</v>
      </c>
      <c r="B95" s="3205" t="s">
        <v>1035</v>
      </c>
      <c r="C95" s="3206">
        <v>9.6000000000000002E-2</v>
      </c>
      <c r="D95" s="3206">
        <v>9.6000000000000002E-2</v>
      </c>
      <c r="E95" s="3206">
        <v>0.1</v>
      </c>
      <c r="F95" s="3206">
        <v>0.1</v>
      </c>
      <c r="G95" s="3207">
        <v>9.8000000000000004E-2</v>
      </c>
    </row>
    <row r="96" spans="1:7">
      <c r="A96" s="3216" t="s">
        <v>1152</v>
      </c>
      <c r="B96" s="3205" t="s">
        <v>1044</v>
      </c>
      <c r="C96" s="3206">
        <v>9.7000000000000003E-2</v>
      </c>
      <c r="D96" s="3206">
        <v>9.7000000000000003E-2</v>
      </c>
      <c r="E96" s="3206">
        <v>0.1</v>
      </c>
      <c r="F96" s="3206">
        <v>0.1</v>
      </c>
      <c r="G96" s="3207">
        <v>9.8000000000000004E-2</v>
      </c>
    </row>
    <row r="97" spans="1:7">
      <c r="A97" s="3216" t="s">
        <v>1152</v>
      </c>
      <c r="B97" s="3205" t="s">
        <v>1051</v>
      </c>
      <c r="C97" s="3206">
        <v>9.6000000000000002E-2</v>
      </c>
      <c r="D97" s="3206">
        <v>9.6000000000000002E-2</v>
      </c>
      <c r="E97" s="3206">
        <v>9.9000000000000005E-2</v>
      </c>
      <c r="F97" s="3206">
        <v>0.1</v>
      </c>
      <c r="G97" s="3207">
        <v>9.8000000000000004E-2</v>
      </c>
    </row>
    <row r="98" spans="1:7">
      <c r="A98" s="3216" t="s">
        <v>1152</v>
      </c>
      <c r="B98" s="3205" t="s">
        <v>1058</v>
      </c>
      <c r="C98" s="3206">
        <v>9.8000000000000004E-2</v>
      </c>
      <c r="D98" s="3206">
        <v>9.8000000000000004E-2</v>
      </c>
      <c r="E98" s="3206">
        <v>0.1</v>
      </c>
      <c r="F98" s="3206">
        <v>0.1</v>
      </c>
      <c r="G98" s="3207">
        <v>9.9000000000000005E-2</v>
      </c>
    </row>
    <row r="99" spans="1:7">
      <c r="A99" s="3216" t="s">
        <v>1152</v>
      </c>
      <c r="B99" s="3205" t="s">
        <v>1065</v>
      </c>
      <c r="C99" s="3206">
        <v>9.6000000000000002E-2</v>
      </c>
      <c r="D99" s="3206">
        <v>9.6000000000000002E-2</v>
      </c>
      <c r="E99" s="3206">
        <v>0.1</v>
      </c>
      <c r="F99" s="3206">
        <v>0.1</v>
      </c>
      <c r="G99" s="3207">
        <v>9.7000000000000003E-2</v>
      </c>
    </row>
    <row r="100" spans="1:7">
      <c r="A100" s="3216" t="s">
        <v>1152</v>
      </c>
      <c r="B100" s="3205" t="s">
        <v>1073</v>
      </c>
      <c r="C100" s="3206">
        <v>0.1</v>
      </c>
      <c r="D100" s="3206">
        <v>0.1</v>
      </c>
      <c r="E100" s="3206">
        <v>9.7000000000000003E-2</v>
      </c>
      <c r="F100" s="3206">
        <v>9.8000000000000004E-2</v>
      </c>
      <c r="G100" s="3207">
        <v>0.1</v>
      </c>
    </row>
    <row r="101" spans="1:7">
      <c r="A101" s="3216" t="s">
        <v>1152</v>
      </c>
      <c r="B101" s="3205" t="s">
        <v>1081</v>
      </c>
      <c r="C101" s="3206">
        <v>0.1</v>
      </c>
      <c r="D101" s="3206">
        <v>0.1</v>
      </c>
      <c r="E101" s="3206">
        <v>9.5000000000000001E-2</v>
      </c>
      <c r="F101" s="3206">
        <v>0.1</v>
      </c>
      <c r="G101" s="3207">
        <v>0.1</v>
      </c>
    </row>
    <row r="102" spans="1:7">
      <c r="A102" s="3216" t="s">
        <v>1152</v>
      </c>
      <c r="B102" s="3205" t="s">
        <v>1086</v>
      </c>
      <c r="C102" s="3206">
        <v>0.1</v>
      </c>
      <c r="D102" s="3206">
        <v>0.1</v>
      </c>
      <c r="E102" s="3206">
        <v>9.9000000000000005E-2</v>
      </c>
      <c r="F102" s="3206">
        <v>9.7000000000000003E-2</v>
      </c>
      <c r="G102" s="3207">
        <v>0.1</v>
      </c>
    </row>
    <row r="103" spans="1:7">
      <c r="A103" s="3216" t="s">
        <v>1152</v>
      </c>
      <c r="B103" s="3205" t="s">
        <v>1095</v>
      </c>
      <c r="C103" s="3206">
        <v>0.1</v>
      </c>
      <c r="D103" s="3206">
        <v>0.1</v>
      </c>
      <c r="E103" s="3206">
        <v>9.8000000000000004E-2</v>
      </c>
      <c r="F103" s="3206">
        <v>0.1</v>
      </c>
      <c r="G103" s="3207">
        <v>0.1</v>
      </c>
    </row>
    <row r="104" spans="1:7">
      <c r="A104" s="3216" t="s">
        <v>1152</v>
      </c>
      <c r="B104" s="3205" t="s">
        <v>1102</v>
      </c>
      <c r="C104" s="3206">
        <v>0.1</v>
      </c>
      <c r="D104" s="3206">
        <v>0.1</v>
      </c>
      <c r="E104" s="3206">
        <v>9.8000000000000004E-2</v>
      </c>
      <c r="F104" s="3206">
        <v>0.1</v>
      </c>
      <c r="G104" s="3207">
        <v>0.1</v>
      </c>
    </row>
    <row r="105" spans="1:7">
      <c r="A105" s="3216" t="s">
        <v>1152</v>
      </c>
      <c r="B105" s="3205" t="s">
        <v>1110</v>
      </c>
      <c r="C105" s="3206">
        <v>9.8000000000000004E-2</v>
      </c>
      <c r="D105" s="3206">
        <v>9.8000000000000004E-2</v>
      </c>
      <c r="E105" s="3206">
        <v>9.8000000000000004E-2</v>
      </c>
      <c r="F105" s="3206">
        <v>0.1</v>
      </c>
      <c r="G105" s="3207">
        <v>9.9000000000000005E-2</v>
      </c>
    </row>
    <row r="106" spans="1:7">
      <c r="A106" s="3216" t="s">
        <v>1152</v>
      </c>
      <c r="B106" s="3205" t="s">
        <v>1117</v>
      </c>
      <c r="C106" s="3206">
        <v>9.7000000000000003E-2</v>
      </c>
      <c r="D106" s="3206">
        <v>9.7000000000000003E-2</v>
      </c>
      <c r="E106" s="3206">
        <v>9.7000000000000003E-2</v>
      </c>
      <c r="F106" s="3206">
        <v>0.1</v>
      </c>
      <c r="G106" s="3207">
        <v>9.9000000000000005E-2</v>
      </c>
    </row>
    <row r="107" spans="1:7">
      <c r="A107" s="3216" t="s">
        <v>1152</v>
      </c>
      <c r="B107" s="3205" t="s">
        <v>1121</v>
      </c>
      <c r="C107" s="3206">
        <v>0.1</v>
      </c>
      <c r="D107" s="3206">
        <v>0.1</v>
      </c>
      <c r="E107" s="3206">
        <v>8.5999999999999993E-2</v>
      </c>
      <c r="F107" s="3206">
        <v>0.09</v>
      </c>
      <c r="G107" s="3207">
        <v>0.1</v>
      </c>
    </row>
    <row r="108" spans="1:7">
      <c r="A108" s="3216" t="s">
        <v>1152</v>
      </c>
      <c r="B108" s="3205" t="s">
        <v>1128</v>
      </c>
      <c r="C108" s="3206">
        <v>0.1</v>
      </c>
      <c r="D108" s="3206">
        <v>0.1</v>
      </c>
      <c r="E108" s="3206">
        <v>9.6000000000000002E-2</v>
      </c>
      <c r="F108" s="3217"/>
      <c r="G108" s="3207">
        <v>0.1</v>
      </c>
    </row>
    <row r="109" spans="1:7">
      <c r="A109" s="3216" t="s">
        <v>1152</v>
      </c>
      <c r="B109" s="3205" t="s">
        <v>1131</v>
      </c>
      <c r="C109" s="3206">
        <v>0.1</v>
      </c>
      <c r="D109" s="3206">
        <v>0.1</v>
      </c>
      <c r="E109" s="3206">
        <v>0.1</v>
      </c>
      <c r="F109" s="3217"/>
      <c r="G109" s="3207">
        <v>0.1</v>
      </c>
    </row>
    <row r="110" spans="1:7">
      <c r="A110" s="3216" t="s">
        <v>1152</v>
      </c>
      <c r="B110" s="3205" t="s">
        <v>1133</v>
      </c>
      <c r="C110" s="3206">
        <v>0.1</v>
      </c>
      <c r="D110" s="3206">
        <v>0.1</v>
      </c>
      <c r="E110" s="3206">
        <v>0.1</v>
      </c>
      <c r="F110" s="3217"/>
      <c r="G110" s="3207">
        <v>0.1</v>
      </c>
    </row>
    <row r="111" spans="1:7">
      <c r="A111" s="3216" t="s">
        <v>1152</v>
      </c>
      <c r="B111" s="3205" t="s">
        <v>1136</v>
      </c>
      <c r="C111" s="3206">
        <v>0.1</v>
      </c>
      <c r="D111" s="3206">
        <v>0.1</v>
      </c>
      <c r="E111" s="3206">
        <v>9.5000000000000001E-2</v>
      </c>
      <c r="F111" s="3217"/>
      <c r="G111" s="3207">
        <v>0.1</v>
      </c>
    </row>
    <row r="112" spans="1:7">
      <c r="A112" s="3216" t="s">
        <v>1152</v>
      </c>
      <c r="B112" s="3205" t="s">
        <v>1140</v>
      </c>
      <c r="C112" s="3206">
        <v>9.7000000000000003E-2</v>
      </c>
      <c r="D112" s="3206">
        <v>9.7000000000000003E-2</v>
      </c>
      <c r="E112" s="3206">
        <v>0.05</v>
      </c>
      <c r="F112" s="3217"/>
      <c r="G112" s="3207">
        <v>9.8000000000000004E-2</v>
      </c>
    </row>
    <row r="113" spans="1:7">
      <c r="A113" s="3216" t="s">
        <v>1152</v>
      </c>
      <c r="B113" s="3205" t="s">
        <v>2840</v>
      </c>
      <c r="C113" s="3206">
        <v>0.1</v>
      </c>
      <c r="D113" s="3206">
        <v>0.1</v>
      </c>
      <c r="E113" s="3217"/>
      <c r="F113" s="3217"/>
      <c r="G113" s="3207">
        <v>0.1</v>
      </c>
    </row>
    <row r="114" spans="1:7">
      <c r="A114" s="3216" t="s">
        <v>1152</v>
      </c>
      <c r="B114" s="3205" t="s">
        <v>2841</v>
      </c>
      <c r="C114" s="3206">
        <v>9.7000000000000003E-2</v>
      </c>
      <c r="D114" s="3206">
        <v>9.7000000000000003E-2</v>
      </c>
      <c r="E114" s="3217"/>
      <c r="F114" s="3217"/>
      <c r="G114" s="3207">
        <v>9.9000000000000005E-2</v>
      </c>
    </row>
    <row r="115" spans="1:7">
      <c r="A115" s="3216" t="s">
        <v>1152</v>
      </c>
      <c r="B115" s="3205" t="s">
        <v>2842</v>
      </c>
      <c r="C115" s="3206">
        <v>0.1</v>
      </c>
      <c r="D115" s="3206">
        <v>0.1</v>
      </c>
      <c r="E115" s="3217"/>
      <c r="F115" s="3217"/>
      <c r="G115" s="3207">
        <v>0.1</v>
      </c>
    </row>
    <row r="116" spans="1:7">
      <c r="A116" s="3216" t="s">
        <v>1152</v>
      </c>
      <c r="B116" s="3205" t="s">
        <v>2843</v>
      </c>
      <c r="C116" s="3206">
        <v>0.1</v>
      </c>
      <c r="D116" s="3206">
        <v>0.1</v>
      </c>
      <c r="E116" s="3217"/>
      <c r="F116" s="3217"/>
      <c r="G116" s="3207">
        <v>0.1</v>
      </c>
    </row>
    <row r="117" spans="1:7">
      <c r="A117" s="3216" t="s">
        <v>1152</v>
      </c>
      <c r="B117" s="3205" t="s">
        <v>2844</v>
      </c>
      <c r="C117" s="3206">
        <v>9.7000000000000003E-2</v>
      </c>
      <c r="D117" s="3206">
        <v>9.7000000000000003E-2</v>
      </c>
      <c r="E117" s="3217"/>
      <c r="F117" s="3217"/>
      <c r="G117" s="3207">
        <v>9.7000000000000003E-2</v>
      </c>
    </row>
    <row r="118" spans="1:7">
      <c r="A118" s="3216" t="s">
        <v>1152</v>
      </c>
      <c r="B118" s="3205" t="s">
        <v>2845</v>
      </c>
      <c r="C118" s="3206">
        <v>0.1</v>
      </c>
      <c r="D118" s="3206">
        <v>0.1</v>
      </c>
      <c r="E118" s="3217"/>
      <c r="F118" s="3217"/>
      <c r="G118" s="3207">
        <v>0.1</v>
      </c>
    </row>
    <row r="119" spans="1:7">
      <c r="A119" s="3216" t="s">
        <v>1152</v>
      </c>
      <c r="B119" s="3205" t="s">
        <v>2846</v>
      </c>
      <c r="C119" s="3206">
        <v>5.0999999999999997E-2</v>
      </c>
      <c r="D119" s="3206">
        <v>5.1999999999999998E-2</v>
      </c>
      <c r="E119" s="3217"/>
      <c r="F119" s="3222"/>
      <c r="G119" s="3207">
        <v>0.06</v>
      </c>
    </row>
    <row r="120" spans="1:7">
      <c r="A120" s="3216" t="s">
        <v>1152</v>
      </c>
      <c r="B120" s="3205" t="s">
        <v>3045</v>
      </c>
      <c r="C120" s="3217"/>
      <c r="D120" s="3217"/>
      <c r="E120" s="3217"/>
      <c r="F120" s="3206">
        <v>0.1</v>
      </c>
      <c r="G120" s="3223"/>
    </row>
    <row r="121" spans="1:7">
      <c r="A121" s="3216" t="s">
        <v>1152</v>
      </c>
      <c r="B121" s="3205" t="s">
        <v>3046</v>
      </c>
      <c r="C121" s="3217"/>
      <c r="D121" s="3217"/>
      <c r="E121" s="3217"/>
      <c r="F121" s="3206">
        <v>0.1</v>
      </c>
      <c r="G121" s="3223"/>
    </row>
    <row r="122" spans="1:7">
      <c r="A122" s="3216" t="s">
        <v>1152</v>
      </c>
      <c r="B122" s="3205" t="s">
        <v>3047</v>
      </c>
      <c r="C122" s="3206">
        <v>0.1</v>
      </c>
      <c r="D122" s="3206">
        <v>0.1</v>
      </c>
      <c r="E122" s="3206">
        <v>9.8000000000000004E-2</v>
      </c>
      <c r="F122" s="3206">
        <v>0.1</v>
      </c>
      <c r="G122" s="3207">
        <v>0.1</v>
      </c>
    </row>
    <row r="123" spans="1:7">
      <c r="A123" s="3216" t="s">
        <v>1152</v>
      </c>
      <c r="B123" s="3205" t="s">
        <v>2850</v>
      </c>
      <c r="C123" s="3206">
        <v>0.1</v>
      </c>
      <c r="D123" s="3206">
        <v>0.1</v>
      </c>
      <c r="E123" s="3206">
        <v>9.8000000000000004E-2</v>
      </c>
      <c r="F123" s="3206">
        <v>0.1</v>
      </c>
      <c r="G123" s="3207">
        <v>0.1</v>
      </c>
    </row>
    <row r="124" spans="1:7">
      <c r="A124" s="3216" t="s">
        <v>1152</v>
      </c>
      <c r="B124" s="3205" t="s">
        <v>2851</v>
      </c>
      <c r="C124" s="3206">
        <v>0.1</v>
      </c>
      <c r="D124" s="3206">
        <v>0.1</v>
      </c>
      <c r="E124" s="3206">
        <v>9.8000000000000004E-2</v>
      </c>
      <c r="F124" s="3222"/>
      <c r="G124" s="3207">
        <v>0.1</v>
      </c>
    </row>
    <row r="125" spans="1:7">
      <c r="A125" s="3216" t="s">
        <v>1152</v>
      </c>
      <c r="B125" s="3205" t="s">
        <v>2852</v>
      </c>
      <c r="C125" s="3206">
        <v>9.8000000000000004E-2</v>
      </c>
      <c r="D125" s="3206">
        <v>9.8000000000000004E-2</v>
      </c>
      <c r="E125" s="3206">
        <v>9.6000000000000002E-2</v>
      </c>
      <c r="F125" s="3222"/>
      <c r="G125" s="3207">
        <v>0.1</v>
      </c>
    </row>
    <row r="126" spans="1:7" ht="15" thickBot="1">
      <c r="A126" s="3219" t="s">
        <v>1152</v>
      </c>
      <c r="B126" s="3209" t="s">
        <v>3048</v>
      </c>
      <c r="C126" s="3210">
        <v>0.1</v>
      </c>
      <c r="D126" s="3210">
        <v>0.1</v>
      </c>
      <c r="E126" s="3210">
        <v>9.8000000000000004E-2</v>
      </c>
      <c r="F126" s="3210">
        <v>0.1</v>
      </c>
      <c r="G126" s="3212">
        <v>0.1</v>
      </c>
    </row>
    <row r="127" spans="1:7">
      <c r="A127" s="3215" t="s">
        <v>1153</v>
      </c>
      <c r="B127" s="3201" t="s">
        <v>3049</v>
      </c>
      <c r="C127" s="3202">
        <v>0.121</v>
      </c>
      <c r="D127" s="3202">
        <v>0.121</v>
      </c>
      <c r="E127" s="3202">
        <v>0.107</v>
      </c>
      <c r="F127" s="3202">
        <v>0.13</v>
      </c>
      <c r="G127" s="3203">
        <v>0.122</v>
      </c>
    </row>
    <row r="128" spans="1:7">
      <c r="A128" s="3216" t="s">
        <v>1153</v>
      </c>
      <c r="B128" s="3205" t="s">
        <v>977</v>
      </c>
      <c r="C128" s="3206">
        <v>0.11600000000000001</v>
      </c>
      <c r="D128" s="3206">
        <v>0.11700000000000001</v>
      </c>
      <c r="E128" s="3206">
        <v>0.104</v>
      </c>
      <c r="F128" s="3206">
        <v>0.13</v>
      </c>
      <c r="G128" s="3207">
        <v>0.11700000000000001</v>
      </c>
    </row>
    <row r="129" spans="1:7">
      <c r="A129" s="3216" t="s">
        <v>1153</v>
      </c>
      <c r="B129" s="3205" t="s">
        <v>987</v>
      </c>
      <c r="C129" s="3206">
        <v>0.107</v>
      </c>
      <c r="D129" s="3206">
        <v>0.108</v>
      </c>
      <c r="E129" s="3206">
        <v>0.1</v>
      </c>
      <c r="F129" s="3206">
        <v>0.13</v>
      </c>
      <c r="G129" s="3207">
        <v>0.11700000000000001</v>
      </c>
    </row>
    <row r="130" spans="1:7">
      <c r="A130" s="3216" t="s">
        <v>1153</v>
      </c>
      <c r="B130" s="3205" t="s">
        <v>996</v>
      </c>
      <c r="C130" s="3206">
        <v>0.13</v>
      </c>
      <c r="D130" s="3206">
        <v>0.13</v>
      </c>
      <c r="E130" s="3206">
        <v>0.126</v>
      </c>
      <c r="F130" s="3206">
        <v>0.13</v>
      </c>
      <c r="G130" s="3207">
        <v>0.13</v>
      </c>
    </row>
    <row r="131" spans="1:7">
      <c r="A131" s="3216" t="s">
        <v>1153</v>
      </c>
      <c r="B131" s="3205" t="s">
        <v>1006</v>
      </c>
      <c r="C131" s="3206">
        <v>0.13</v>
      </c>
      <c r="D131" s="3206">
        <v>0.13</v>
      </c>
      <c r="E131" s="3206">
        <v>0.13</v>
      </c>
      <c r="F131" s="3206">
        <v>0.13</v>
      </c>
      <c r="G131" s="3207">
        <v>0.13</v>
      </c>
    </row>
    <row r="132" spans="1:7">
      <c r="A132" s="3216" t="s">
        <v>1153</v>
      </c>
      <c r="B132" s="3205" t="s">
        <v>1013</v>
      </c>
      <c r="C132" s="3206">
        <v>0.13</v>
      </c>
      <c r="D132" s="3206">
        <v>0.13</v>
      </c>
      <c r="E132" s="3206">
        <v>0.126</v>
      </c>
      <c r="F132" s="3206">
        <v>0.13</v>
      </c>
      <c r="G132" s="3207">
        <v>0.13</v>
      </c>
    </row>
    <row r="133" spans="1:7">
      <c r="A133" s="3216" t="s">
        <v>1153</v>
      </c>
      <c r="B133" s="3205" t="s">
        <v>1019</v>
      </c>
      <c r="C133" s="3206">
        <v>0.111</v>
      </c>
      <c r="D133" s="3206">
        <v>0.111</v>
      </c>
      <c r="E133" s="3206">
        <v>0.10199999999999999</v>
      </c>
      <c r="F133" s="3206">
        <v>0.13</v>
      </c>
      <c r="G133" s="3207">
        <v>0.121</v>
      </c>
    </row>
    <row r="134" spans="1:7">
      <c r="A134" s="3216" t="s">
        <v>1153</v>
      </c>
      <c r="B134" s="3205" t="s">
        <v>1026</v>
      </c>
      <c r="C134" s="3206">
        <v>0.121</v>
      </c>
      <c r="D134" s="3206">
        <v>0.121</v>
      </c>
      <c r="E134" s="3206">
        <v>0.1</v>
      </c>
      <c r="F134" s="3206">
        <v>0.13</v>
      </c>
      <c r="G134" s="3207">
        <v>0.123</v>
      </c>
    </row>
    <row r="135" spans="1:7">
      <c r="A135" s="3216" t="s">
        <v>1153</v>
      </c>
      <c r="B135" s="3205" t="s">
        <v>1036</v>
      </c>
      <c r="C135" s="3206">
        <v>0.105</v>
      </c>
      <c r="D135" s="3206">
        <v>0.106</v>
      </c>
      <c r="E135" s="3206">
        <v>0.1</v>
      </c>
      <c r="F135" s="3206">
        <v>0.13</v>
      </c>
      <c r="G135" s="3207">
        <v>0.115</v>
      </c>
    </row>
    <row r="136" spans="1:7">
      <c r="A136" s="3216" t="s">
        <v>1153</v>
      </c>
      <c r="B136" s="3205" t="s">
        <v>1045</v>
      </c>
      <c r="C136" s="3206">
        <v>0.127</v>
      </c>
      <c r="D136" s="3206">
        <v>0.127</v>
      </c>
      <c r="E136" s="3206">
        <v>0.121</v>
      </c>
      <c r="F136" s="3206">
        <v>0.123</v>
      </c>
      <c r="G136" s="3207">
        <v>0.129</v>
      </c>
    </row>
    <row r="137" spans="1:7">
      <c r="A137" s="3216" t="s">
        <v>1153</v>
      </c>
      <c r="B137" s="3205" t="s">
        <v>1052</v>
      </c>
      <c r="C137" s="3206">
        <v>0.13</v>
      </c>
      <c r="D137" s="3206">
        <v>0.13</v>
      </c>
      <c r="E137" s="3206">
        <v>0.129</v>
      </c>
      <c r="F137" s="3206">
        <v>0.13</v>
      </c>
      <c r="G137" s="3207">
        <v>0.13</v>
      </c>
    </row>
    <row r="138" spans="1:7">
      <c r="A138" s="3216" t="s">
        <v>1153</v>
      </c>
      <c r="B138" s="3205" t="s">
        <v>1059</v>
      </c>
      <c r="C138" s="3206">
        <v>0.13</v>
      </c>
      <c r="D138" s="3206">
        <v>0.13</v>
      </c>
      <c r="E138" s="3206">
        <v>0.125</v>
      </c>
      <c r="F138" s="3206">
        <v>0.13</v>
      </c>
      <c r="G138" s="3207">
        <v>0.13</v>
      </c>
    </row>
    <row r="139" spans="1:7">
      <c r="A139" s="3216" t="s">
        <v>1153</v>
      </c>
      <c r="B139" s="3205" t="s">
        <v>1066</v>
      </c>
      <c r="C139" s="3206">
        <v>0.13</v>
      </c>
      <c r="D139" s="3206">
        <v>0.13</v>
      </c>
      <c r="E139" s="3206">
        <v>0.126</v>
      </c>
      <c r="F139" s="3206">
        <v>0.13</v>
      </c>
      <c r="G139" s="3207">
        <v>0.13</v>
      </c>
    </row>
    <row r="140" spans="1:7">
      <c r="A140" s="3216" t="s">
        <v>1153</v>
      </c>
      <c r="B140" s="3205" t="s">
        <v>1074</v>
      </c>
      <c r="C140" s="3206">
        <v>0.1</v>
      </c>
      <c r="D140" s="3206">
        <v>0.1</v>
      </c>
      <c r="E140" s="3206">
        <v>0.1</v>
      </c>
      <c r="F140" s="3206">
        <v>0.123</v>
      </c>
      <c r="G140" s="3207">
        <v>0.107</v>
      </c>
    </row>
    <row r="141" spans="1:7">
      <c r="A141" s="3216" t="s">
        <v>1153</v>
      </c>
      <c r="B141" s="3205" t="s">
        <v>1082</v>
      </c>
      <c r="C141" s="3206">
        <v>0.127</v>
      </c>
      <c r="D141" s="3206">
        <v>0.127</v>
      </c>
      <c r="E141" s="3206">
        <v>0.122</v>
      </c>
      <c r="F141" s="3206">
        <v>0.1</v>
      </c>
      <c r="G141" s="3207">
        <v>0.129</v>
      </c>
    </row>
    <row r="142" spans="1:7">
      <c r="A142" s="3216" t="s">
        <v>1153</v>
      </c>
      <c r="B142" s="3205" t="s">
        <v>1087</v>
      </c>
      <c r="C142" s="3206">
        <v>0.121</v>
      </c>
      <c r="D142" s="3206">
        <v>0.122</v>
      </c>
      <c r="E142" s="3206">
        <v>0.1</v>
      </c>
      <c r="F142" s="3206">
        <v>0.123</v>
      </c>
      <c r="G142" s="3207">
        <v>0.123</v>
      </c>
    </row>
    <row r="143" spans="1:7">
      <c r="A143" s="3216" t="s">
        <v>1153</v>
      </c>
      <c r="B143" s="3205" t="s">
        <v>1096</v>
      </c>
      <c r="C143" s="3206">
        <v>0.1</v>
      </c>
      <c r="D143" s="3206">
        <v>0.1</v>
      </c>
      <c r="E143" s="3206">
        <v>0.1</v>
      </c>
      <c r="F143" s="3206">
        <v>0.13</v>
      </c>
      <c r="G143" s="3207">
        <v>0.1</v>
      </c>
    </row>
    <row r="144" spans="1:7">
      <c r="A144" s="3216" t="s">
        <v>1153</v>
      </c>
      <c r="B144" s="3205" t="s">
        <v>1103</v>
      </c>
      <c r="C144" s="3206">
        <v>0.106</v>
      </c>
      <c r="D144" s="3206">
        <v>0.105</v>
      </c>
      <c r="E144" s="3206">
        <v>0.1</v>
      </c>
      <c r="F144" s="3206">
        <v>0.13</v>
      </c>
      <c r="G144" s="3207">
        <v>0.11799999999999999</v>
      </c>
    </row>
    <row r="145" spans="1:7">
      <c r="A145" s="3216" t="s">
        <v>1153</v>
      </c>
      <c r="B145" s="3205" t="s">
        <v>1111</v>
      </c>
      <c r="C145" s="3206">
        <v>0.123</v>
      </c>
      <c r="D145" s="3206">
        <v>0.123</v>
      </c>
      <c r="E145" s="3206">
        <v>0.11700000000000001</v>
      </c>
      <c r="F145" s="3206">
        <v>0.13</v>
      </c>
      <c r="G145" s="3207">
        <v>0.126</v>
      </c>
    </row>
    <row r="146" spans="1:7">
      <c r="A146" s="3216" t="s">
        <v>1153</v>
      </c>
      <c r="B146" s="3205" t="s">
        <v>1118</v>
      </c>
      <c r="C146" s="3206">
        <v>0.127</v>
      </c>
      <c r="D146" s="3206">
        <v>0.127</v>
      </c>
      <c r="E146" s="3206">
        <v>0.12</v>
      </c>
      <c r="F146" s="3217"/>
      <c r="G146" s="3207">
        <v>0.129</v>
      </c>
    </row>
    <row r="147" spans="1:7">
      <c r="A147" s="3216" t="s">
        <v>1153</v>
      </c>
      <c r="B147" s="3205" t="s">
        <v>1122</v>
      </c>
      <c r="C147" s="3206">
        <v>0.13</v>
      </c>
      <c r="D147" s="3206">
        <v>0.13</v>
      </c>
      <c r="E147" s="3206">
        <v>0.126</v>
      </c>
      <c r="F147" s="3217"/>
      <c r="G147" s="3207">
        <v>0.13</v>
      </c>
    </row>
    <row r="148" spans="1:7">
      <c r="A148" s="3216" t="s">
        <v>1153</v>
      </c>
      <c r="B148" s="3205" t="s">
        <v>3050</v>
      </c>
      <c r="C148" s="3206">
        <v>0.13</v>
      </c>
      <c r="D148" s="3206">
        <v>0.13</v>
      </c>
      <c r="E148" s="3206">
        <v>0.13</v>
      </c>
      <c r="F148" s="3217"/>
      <c r="G148" s="3207">
        <v>0.13</v>
      </c>
    </row>
    <row r="149" spans="1:7">
      <c r="A149" s="3216" t="s">
        <v>1153</v>
      </c>
      <c r="B149" s="3205" t="s">
        <v>3051</v>
      </c>
      <c r="C149" s="3206">
        <v>0.13</v>
      </c>
      <c r="D149" s="3206">
        <v>0.13</v>
      </c>
      <c r="E149" s="3206">
        <v>0.13</v>
      </c>
      <c r="F149" s="3206">
        <v>0.13</v>
      </c>
      <c r="G149" s="3207">
        <v>0.13</v>
      </c>
    </row>
    <row r="150" spans="1:7">
      <c r="A150" s="3216" t="s">
        <v>1153</v>
      </c>
      <c r="B150" s="3205" t="s">
        <v>1141</v>
      </c>
      <c r="C150" s="3206">
        <v>0.13</v>
      </c>
      <c r="D150" s="3206">
        <v>0.13</v>
      </c>
      <c r="E150" s="3206">
        <v>0.127</v>
      </c>
      <c r="F150" s="3206">
        <v>0.13</v>
      </c>
      <c r="G150" s="3207">
        <v>0.13</v>
      </c>
    </row>
    <row r="151" spans="1:7">
      <c r="A151" s="3216" t="s">
        <v>1153</v>
      </c>
      <c r="B151" s="3205" t="s">
        <v>1143</v>
      </c>
      <c r="C151" s="3206">
        <v>0.13</v>
      </c>
      <c r="D151" s="3206">
        <v>0.13</v>
      </c>
      <c r="E151" s="3206">
        <v>0.13</v>
      </c>
      <c r="F151" s="3206">
        <v>0.13</v>
      </c>
      <c r="G151" s="3207">
        <v>0.13</v>
      </c>
    </row>
    <row r="152" spans="1:7">
      <c r="A152" s="3216" t="s">
        <v>1153</v>
      </c>
      <c r="B152" s="3205" t="s">
        <v>1146</v>
      </c>
      <c r="C152" s="3206">
        <v>0.13</v>
      </c>
      <c r="D152" s="3206">
        <v>0.13</v>
      </c>
      <c r="E152" s="3206">
        <v>0.13</v>
      </c>
      <c r="F152" s="3206">
        <v>0.13</v>
      </c>
      <c r="G152" s="3207">
        <v>0.13</v>
      </c>
    </row>
    <row r="153" spans="1:7">
      <c r="A153" s="3216" t="s">
        <v>1153</v>
      </c>
      <c r="B153" s="3205" t="s">
        <v>2857</v>
      </c>
      <c r="C153" s="3206">
        <v>0.13</v>
      </c>
      <c r="D153" s="3206">
        <v>0.13</v>
      </c>
      <c r="E153" s="3206">
        <v>0.13</v>
      </c>
      <c r="F153" s="3206">
        <v>0.13</v>
      </c>
      <c r="G153" s="3207">
        <v>0.13</v>
      </c>
    </row>
    <row r="154" spans="1:7">
      <c r="A154" s="3216" t="s">
        <v>1153</v>
      </c>
      <c r="B154" s="3205" t="s">
        <v>3052</v>
      </c>
      <c r="C154" s="3206">
        <v>0.121</v>
      </c>
      <c r="D154" s="3206">
        <v>0.121</v>
      </c>
      <c r="E154" s="3206">
        <v>0.105</v>
      </c>
      <c r="F154" s="3206">
        <v>0.121</v>
      </c>
      <c r="G154" s="3207">
        <v>0.123</v>
      </c>
    </row>
    <row r="155" spans="1:7">
      <c r="A155" s="3216" t="s">
        <v>1153</v>
      </c>
      <c r="B155" s="3205" t="s">
        <v>2859</v>
      </c>
      <c r="C155" s="3206">
        <v>0.1</v>
      </c>
      <c r="D155" s="3206">
        <v>0.1</v>
      </c>
      <c r="E155" s="3206">
        <v>0.1</v>
      </c>
      <c r="F155" s="3206">
        <v>0.1</v>
      </c>
      <c r="G155" s="3207">
        <v>0.1</v>
      </c>
    </row>
    <row r="156" spans="1:7">
      <c r="A156" s="3216" t="s">
        <v>1153</v>
      </c>
      <c r="B156" s="3205" t="s">
        <v>3053</v>
      </c>
      <c r="C156" s="3206">
        <v>0.13</v>
      </c>
      <c r="D156" s="3206">
        <v>0.13</v>
      </c>
      <c r="E156" s="3206">
        <v>0.13</v>
      </c>
      <c r="F156" s="3206">
        <v>0.13</v>
      </c>
      <c r="G156" s="3207">
        <v>0.13</v>
      </c>
    </row>
    <row r="157" spans="1:7">
      <c r="A157" s="3216" t="s">
        <v>1153</v>
      </c>
      <c r="B157" s="3205" t="s">
        <v>1149</v>
      </c>
      <c r="C157" s="3206">
        <v>0.13</v>
      </c>
      <c r="D157" s="3206">
        <v>0.13</v>
      </c>
      <c r="E157" s="3206">
        <v>0.125</v>
      </c>
      <c r="F157" s="3206">
        <v>0.13</v>
      </c>
      <c r="G157" s="3207">
        <v>0.13</v>
      </c>
    </row>
    <row r="158" spans="1:7">
      <c r="A158" s="3216" t="s">
        <v>1153</v>
      </c>
      <c r="B158" s="3205" t="s">
        <v>1150</v>
      </c>
      <c r="C158" s="3206">
        <v>0.124</v>
      </c>
      <c r="D158" s="3206">
        <v>0.124</v>
      </c>
      <c r="E158" s="3206">
        <v>0.11700000000000001</v>
      </c>
      <c r="F158" s="3206">
        <v>0.121</v>
      </c>
      <c r="G158" s="3207">
        <v>0.124</v>
      </c>
    </row>
    <row r="159" spans="1:7">
      <c r="A159" s="3216" t="s">
        <v>1153</v>
      </c>
      <c r="B159" s="3205" t="s">
        <v>1151</v>
      </c>
      <c r="C159" s="3206">
        <v>0.127</v>
      </c>
      <c r="D159" s="3206">
        <v>0.127</v>
      </c>
      <c r="E159" s="3206">
        <v>0.122</v>
      </c>
      <c r="F159" s="3206">
        <v>0.13</v>
      </c>
      <c r="G159" s="3207">
        <v>0.129</v>
      </c>
    </row>
    <row r="160" spans="1:7">
      <c r="A160" s="3216" t="s">
        <v>1153</v>
      </c>
      <c r="B160" s="3205" t="s">
        <v>3054</v>
      </c>
      <c r="C160" s="3206">
        <v>0.13</v>
      </c>
      <c r="D160" s="3206">
        <v>0.13</v>
      </c>
      <c r="E160" s="3206">
        <v>0.124</v>
      </c>
      <c r="F160" s="3206">
        <v>0.126</v>
      </c>
      <c r="G160" s="3207">
        <v>0.13</v>
      </c>
    </row>
    <row r="161" spans="1:7">
      <c r="A161" s="3216" t="s">
        <v>1153</v>
      </c>
      <c r="B161" s="3205" t="s">
        <v>2862</v>
      </c>
      <c r="C161" s="3206">
        <v>0.13</v>
      </c>
      <c r="D161" s="3206">
        <v>0.13</v>
      </c>
      <c r="E161" s="3206">
        <v>0.124</v>
      </c>
      <c r="F161" s="3206">
        <v>0.127</v>
      </c>
      <c r="G161" s="3207">
        <v>0.13</v>
      </c>
    </row>
    <row r="162" spans="1:7">
      <c r="A162" s="3216" t="s">
        <v>1153</v>
      </c>
      <c r="B162" s="3205" t="s">
        <v>2863</v>
      </c>
      <c r="C162" s="3206">
        <v>0.1</v>
      </c>
      <c r="D162" s="3206">
        <v>0.1</v>
      </c>
      <c r="E162" s="3206">
        <v>0.1</v>
      </c>
      <c r="F162" s="3206">
        <v>0.121</v>
      </c>
      <c r="G162" s="3207">
        <v>0.105</v>
      </c>
    </row>
    <row r="163" spans="1:7">
      <c r="A163" s="3216" t="s">
        <v>1153</v>
      </c>
      <c r="B163" s="3205" t="s">
        <v>2864</v>
      </c>
      <c r="C163" s="3206">
        <v>0.1</v>
      </c>
      <c r="D163" s="3206">
        <v>0.1</v>
      </c>
      <c r="E163" s="3206">
        <v>0.1</v>
      </c>
      <c r="F163" s="3206">
        <v>0.1</v>
      </c>
      <c r="G163" s="3207">
        <v>0.1</v>
      </c>
    </row>
    <row r="164" spans="1:7">
      <c r="A164" s="3216" t="s">
        <v>1153</v>
      </c>
      <c r="B164" s="3205" t="s">
        <v>2865</v>
      </c>
      <c r="C164" s="3222"/>
      <c r="D164" s="3222"/>
      <c r="E164" s="3222"/>
      <c r="F164" s="3206">
        <v>0.1</v>
      </c>
      <c r="G164" s="3218"/>
    </row>
    <row r="165" spans="1:7">
      <c r="A165" s="3216" t="s">
        <v>1153</v>
      </c>
      <c r="B165" s="3205" t="s">
        <v>3055</v>
      </c>
      <c r="C165" s="3206">
        <v>0.126</v>
      </c>
      <c r="D165" s="3206">
        <v>0.126</v>
      </c>
      <c r="E165" s="3206">
        <v>0.11899999999999999</v>
      </c>
      <c r="F165" s="3206">
        <v>0.13</v>
      </c>
      <c r="G165" s="3207">
        <v>0.128</v>
      </c>
    </row>
    <row r="166" spans="1:7">
      <c r="A166" s="3216" t="s">
        <v>1153</v>
      </c>
      <c r="B166" s="3205" t="s">
        <v>2867</v>
      </c>
      <c r="C166" s="3206">
        <v>0.129</v>
      </c>
      <c r="D166" s="3206">
        <v>0.129</v>
      </c>
      <c r="E166" s="3206">
        <v>0.123</v>
      </c>
      <c r="F166" s="3206">
        <v>0.128</v>
      </c>
      <c r="G166" s="3207">
        <v>0.13</v>
      </c>
    </row>
    <row r="167" spans="1:7">
      <c r="A167" s="3216" t="s">
        <v>1153</v>
      </c>
      <c r="B167" s="3205" t="s">
        <v>2868</v>
      </c>
      <c r="C167" s="3206">
        <v>0.125</v>
      </c>
      <c r="D167" s="3206">
        <v>0.125</v>
      </c>
      <c r="E167" s="3206">
        <v>0.11700000000000001</v>
      </c>
      <c r="F167" s="3206">
        <v>0.13</v>
      </c>
      <c r="G167" s="3207">
        <v>0.126</v>
      </c>
    </row>
    <row r="168" spans="1:7">
      <c r="A168" s="3216" t="s">
        <v>1153</v>
      </c>
      <c r="B168" s="3205" t="s">
        <v>2869</v>
      </c>
      <c r="C168" s="3206">
        <v>0.128</v>
      </c>
      <c r="D168" s="3206">
        <v>0.128</v>
      </c>
      <c r="E168" s="3206">
        <v>0.123</v>
      </c>
      <c r="F168" s="3217"/>
      <c r="G168" s="3207">
        <v>0.13</v>
      </c>
    </row>
    <row r="169" spans="1:7">
      <c r="A169" s="3216" t="s">
        <v>1153</v>
      </c>
      <c r="B169" s="3205" t="s">
        <v>3056</v>
      </c>
      <c r="C169" s="3222"/>
      <c r="D169" s="3222"/>
      <c r="E169" s="3222"/>
      <c r="F169" s="3206">
        <v>0.05</v>
      </c>
      <c r="G169" s="3218"/>
    </row>
    <row r="170" spans="1:7">
      <c r="A170" s="3216" t="s">
        <v>1153</v>
      </c>
      <c r="B170" s="3205" t="s">
        <v>3057</v>
      </c>
      <c r="C170" s="3222"/>
      <c r="D170" s="3222"/>
      <c r="E170" s="3222"/>
      <c r="F170" s="3206">
        <v>0.05</v>
      </c>
      <c r="G170" s="3218"/>
    </row>
    <row r="171" spans="1:7">
      <c r="A171" s="3216" t="s">
        <v>1153</v>
      </c>
      <c r="B171" s="3205" t="s">
        <v>3058</v>
      </c>
      <c r="C171" s="3222"/>
      <c r="D171" s="3222"/>
      <c r="E171" s="3222"/>
      <c r="F171" s="3206">
        <v>0.05</v>
      </c>
      <c r="G171" s="3223"/>
    </row>
    <row r="172" spans="1:7">
      <c r="A172" s="3216" t="s">
        <v>1153</v>
      </c>
      <c r="B172" s="3205" t="s">
        <v>3059</v>
      </c>
      <c r="C172" s="3222"/>
      <c r="D172" s="3222"/>
      <c r="E172" s="3222"/>
      <c r="F172" s="3206">
        <v>0.05</v>
      </c>
      <c r="G172" s="3223"/>
    </row>
    <row r="173" spans="1:7">
      <c r="A173" s="3216" t="s">
        <v>1153</v>
      </c>
      <c r="B173" s="3205" t="s">
        <v>3060</v>
      </c>
      <c r="C173" s="3222"/>
      <c r="D173" s="3222"/>
      <c r="E173" s="3222"/>
      <c r="F173" s="3206">
        <v>0.05</v>
      </c>
      <c r="G173" s="3218"/>
    </row>
    <row r="174" spans="1:7">
      <c r="A174" s="3216" t="s">
        <v>1153</v>
      </c>
      <c r="B174" s="3205" t="s">
        <v>3061</v>
      </c>
      <c r="C174" s="3222"/>
      <c r="D174" s="3222"/>
      <c r="E174" s="3222"/>
      <c r="F174" s="3206">
        <v>0.05</v>
      </c>
      <c r="G174" s="3218"/>
    </row>
    <row r="175" spans="1:7">
      <c r="A175" s="3216" t="s">
        <v>1153</v>
      </c>
      <c r="B175" s="3205" t="s">
        <v>3062</v>
      </c>
      <c r="C175" s="3222"/>
      <c r="D175" s="3222"/>
      <c r="E175" s="3222"/>
      <c r="F175" s="3206">
        <v>0.05</v>
      </c>
      <c r="G175" s="3218"/>
    </row>
    <row r="176" spans="1:7">
      <c r="A176" s="3216" t="s">
        <v>1153</v>
      </c>
      <c r="B176" s="3205" t="s">
        <v>3063</v>
      </c>
      <c r="C176" s="3222"/>
      <c r="D176" s="3222"/>
      <c r="E176" s="3222"/>
      <c r="F176" s="3206">
        <v>0.05</v>
      </c>
      <c r="G176" s="3218"/>
    </row>
    <row r="177" spans="1:7">
      <c r="A177" s="3216" t="s">
        <v>1153</v>
      </c>
      <c r="B177" s="3205" t="s">
        <v>3064</v>
      </c>
      <c r="C177" s="3217"/>
      <c r="D177" s="3217"/>
      <c r="E177" s="3217"/>
      <c r="F177" s="3206">
        <v>0.05</v>
      </c>
      <c r="G177" s="3223"/>
    </row>
    <row r="178" spans="1:7">
      <c r="A178" s="3216" t="s">
        <v>1153</v>
      </c>
      <c r="B178" s="3205" t="s">
        <v>3065</v>
      </c>
      <c r="C178" s="3217"/>
      <c r="D178" s="3217"/>
      <c r="E178" s="3217"/>
      <c r="F178" s="3206">
        <v>0.05</v>
      </c>
      <c r="G178" s="3223"/>
    </row>
    <row r="179" spans="1:7">
      <c r="A179" s="3216" t="s">
        <v>1153</v>
      </c>
      <c r="B179" s="3205" t="s">
        <v>3066</v>
      </c>
      <c r="C179" s="3217"/>
      <c r="D179" s="3217"/>
      <c r="E179" s="3217"/>
      <c r="F179" s="3206">
        <v>0.05</v>
      </c>
      <c r="G179" s="3223"/>
    </row>
    <row r="180" spans="1:7">
      <c r="A180" s="3216" t="s">
        <v>1153</v>
      </c>
      <c r="B180" s="3205" t="s">
        <v>3067</v>
      </c>
      <c r="C180" s="3217"/>
      <c r="D180" s="3217"/>
      <c r="E180" s="3217"/>
      <c r="F180" s="3206">
        <v>0.05</v>
      </c>
      <c r="G180" s="3223"/>
    </row>
    <row r="181" spans="1:7">
      <c r="A181" s="3216" t="s">
        <v>1153</v>
      </c>
      <c r="B181" s="3205" t="s">
        <v>3068</v>
      </c>
      <c r="C181" s="3217"/>
      <c r="D181" s="3217"/>
      <c r="E181" s="3217"/>
      <c r="F181" s="3206">
        <v>0.05</v>
      </c>
      <c r="G181" s="3223"/>
    </row>
    <row r="182" spans="1:7">
      <c r="A182" s="3216" t="s">
        <v>1153</v>
      </c>
      <c r="B182" s="3205" t="s">
        <v>3069</v>
      </c>
      <c r="C182" s="3217"/>
      <c r="D182" s="3217"/>
      <c r="E182" s="3217"/>
      <c r="F182" s="3206">
        <v>0.05</v>
      </c>
      <c r="G182" s="3223"/>
    </row>
    <row r="183" spans="1:7">
      <c r="A183" s="3216" t="s">
        <v>1153</v>
      </c>
      <c r="B183" s="3205" t="s">
        <v>3070</v>
      </c>
      <c r="C183" s="3217"/>
      <c r="D183" s="3217"/>
      <c r="E183" s="3217"/>
      <c r="F183" s="3206">
        <v>0.05</v>
      </c>
      <c r="G183" s="3223"/>
    </row>
    <row r="184" spans="1:7">
      <c r="A184" s="3216" t="s">
        <v>1153</v>
      </c>
      <c r="B184" s="3205" t="s">
        <v>3071</v>
      </c>
      <c r="C184" s="3217"/>
      <c r="D184" s="3217"/>
      <c r="E184" s="3217"/>
      <c r="F184" s="3206">
        <v>0.05</v>
      </c>
      <c r="G184" s="3223"/>
    </row>
    <row r="185" spans="1:7">
      <c r="A185" s="3216" t="s">
        <v>1153</v>
      </c>
      <c r="B185" s="3205" t="s">
        <v>3072</v>
      </c>
      <c r="C185" s="3217"/>
      <c r="D185" s="3217"/>
      <c r="E185" s="3217"/>
      <c r="F185" s="3206">
        <v>0.05</v>
      </c>
      <c r="G185" s="3223"/>
    </row>
    <row r="186" spans="1:7">
      <c r="A186" s="3216" t="s">
        <v>1153</v>
      </c>
      <c r="B186" s="3205" t="s">
        <v>3073</v>
      </c>
      <c r="C186" s="3217"/>
      <c r="D186" s="3217"/>
      <c r="E186" s="3217"/>
      <c r="F186" s="3206">
        <v>0.05</v>
      </c>
      <c r="G186" s="3223"/>
    </row>
    <row r="187" spans="1:7">
      <c r="A187" s="3216" t="s">
        <v>1153</v>
      </c>
      <c r="B187" s="3205" t="s">
        <v>3074</v>
      </c>
      <c r="C187" s="3217"/>
      <c r="D187" s="3217"/>
      <c r="E187" s="3217"/>
      <c r="F187" s="3206">
        <v>0.05</v>
      </c>
      <c r="G187" s="3223"/>
    </row>
    <row r="188" spans="1:7">
      <c r="A188" s="3216" t="s">
        <v>1153</v>
      </c>
      <c r="B188" s="3205" t="s">
        <v>3075</v>
      </c>
      <c r="C188" s="3217"/>
      <c r="D188" s="3217"/>
      <c r="E188" s="3217"/>
      <c r="F188" s="3206">
        <v>0.05</v>
      </c>
      <c r="G188" s="3223"/>
    </row>
    <row r="189" spans="1:7" ht="15" thickBot="1">
      <c r="A189" s="3219" t="s">
        <v>1153</v>
      </c>
      <c r="B189" s="3209" t="s">
        <v>3076</v>
      </c>
      <c r="C189" s="3211"/>
      <c r="D189" s="3211"/>
      <c r="E189" s="3211"/>
      <c r="F189" s="3210">
        <v>0.05</v>
      </c>
      <c r="G189" s="3224"/>
    </row>
    <row r="190" spans="1:7">
      <c r="A190" s="3215" t="s">
        <v>1154</v>
      </c>
      <c r="B190" s="3201" t="s">
        <v>3077</v>
      </c>
      <c r="C190" s="3202">
        <v>0.124</v>
      </c>
      <c r="D190" s="3202">
        <v>0.124</v>
      </c>
      <c r="E190" s="3202">
        <v>0.129</v>
      </c>
      <c r="F190" s="3202">
        <v>0.13</v>
      </c>
      <c r="G190" s="3203">
        <v>0.127</v>
      </c>
    </row>
    <row r="191" spans="1:7">
      <c r="A191" s="3216" t="s">
        <v>1154</v>
      </c>
      <c r="B191" s="3205" t="s">
        <v>978</v>
      </c>
      <c r="C191" s="3206">
        <v>0.13</v>
      </c>
      <c r="D191" s="3206">
        <v>0.13</v>
      </c>
      <c r="E191" s="3206">
        <v>0.13</v>
      </c>
      <c r="F191" s="3206">
        <v>0.13</v>
      </c>
      <c r="G191" s="3207">
        <v>0.13</v>
      </c>
    </row>
    <row r="192" spans="1:7">
      <c r="A192" s="3216" t="s">
        <v>1154</v>
      </c>
      <c r="B192" s="3205" t="s">
        <v>988</v>
      </c>
      <c r="C192" s="3206">
        <v>0.13</v>
      </c>
      <c r="D192" s="3206">
        <v>0.13</v>
      </c>
      <c r="E192" s="3206">
        <v>0.13</v>
      </c>
      <c r="F192" s="3206">
        <v>0.13</v>
      </c>
      <c r="G192" s="3207">
        <v>0.13</v>
      </c>
    </row>
    <row r="193" spans="1:7">
      <c r="A193" s="3216" t="s">
        <v>1154</v>
      </c>
      <c r="B193" s="3205" t="s">
        <v>997</v>
      </c>
      <c r="C193" s="3206">
        <v>0.13</v>
      </c>
      <c r="D193" s="3206">
        <v>0.13</v>
      </c>
      <c r="E193" s="3206">
        <v>0.13</v>
      </c>
      <c r="F193" s="3206">
        <v>0.13</v>
      </c>
      <c r="G193" s="3207">
        <v>0.13</v>
      </c>
    </row>
    <row r="194" spans="1:7">
      <c r="A194" s="3216" t="s">
        <v>1154</v>
      </c>
      <c r="B194" s="3205" t="s">
        <v>1007</v>
      </c>
      <c r="C194" s="3206">
        <v>0.123</v>
      </c>
      <c r="D194" s="3206">
        <v>0.123</v>
      </c>
      <c r="E194" s="3206">
        <v>0.128</v>
      </c>
      <c r="F194" s="3206">
        <v>0.13</v>
      </c>
      <c r="G194" s="3207">
        <v>0.126</v>
      </c>
    </row>
    <row r="195" spans="1:7">
      <c r="A195" s="3216" t="s">
        <v>1154</v>
      </c>
      <c r="B195" s="3205" t="s">
        <v>1014</v>
      </c>
      <c r="C195" s="3206">
        <v>0.127</v>
      </c>
      <c r="D195" s="3206">
        <v>0.127</v>
      </c>
      <c r="E195" s="3206">
        <v>0.121</v>
      </c>
      <c r="F195" s="3206">
        <v>0.129</v>
      </c>
      <c r="G195" s="3207">
        <v>0.129</v>
      </c>
    </row>
    <row r="196" spans="1:7">
      <c r="A196" s="3216" t="s">
        <v>1154</v>
      </c>
      <c r="B196" s="3205" t="s">
        <v>1020</v>
      </c>
      <c r="C196" s="3206">
        <v>0.127</v>
      </c>
      <c r="D196" s="3206">
        <v>0.128</v>
      </c>
      <c r="E196" s="3206">
        <v>0.122</v>
      </c>
      <c r="F196" s="3206">
        <v>0.13</v>
      </c>
      <c r="G196" s="3207">
        <v>0.129</v>
      </c>
    </row>
    <row r="197" spans="1:7">
      <c r="A197" s="3216" t="s">
        <v>1154</v>
      </c>
      <c r="B197" s="3205" t="s">
        <v>1027</v>
      </c>
      <c r="C197" s="3206">
        <v>0.126</v>
      </c>
      <c r="D197" s="3206">
        <v>0.126</v>
      </c>
      <c r="E197" s="3206">
        <v>0.11899999999999999</v>
      </c>
      <c r="F197" s="3206">
        <v>0.13</v>
      </c>
      <c r="G197" s="3207">
        <v>0.128</v>
      </c>
    </row>
    <row r="198" spans="1:7">
      <c r="A198" s="3216" t="s">
        <v>1154</v>
      </c>
      <c r="B198" s="3205" t="s">
        <v>1037</v>
      </c>
      <c r="C198" s="3206">
        <v>0.13</v>
      </c>
      <c r="D198" s="3206">
        <v>0.13</v>
      </c>
      <c r="E198" s="3206">
        <v>0.126</v>
      </c>
      <c r="F198" s="3222"/>
      <c r="G198" s="3207">
        <v>0.13</v>
      </c>
    </row>
    <row r="199" spans="1:7">
      <c r="A199" s="3216" t="s">
        <v>1154</v>
      </c>
      <c r="B199" s="3205" t="s">
        <v>3078</v>
      </c>
      <c r="C199" s="3206">
        <v>0.13</v>
      </c>
      <c r="D199" s="3206">
        <v>0.13</v>
      </c>
      <c r="E199" s="3206">
        <v>0.13</v>
      </c>
      <c r="F199" s="3206">
        <v>0.13</v>
      </c>
      <c r="G199" s="3207">
        <v>0.13</v>
      </c>
    </row>
    <row r="200" spans="1:7">
      <c r="A200" s="3216" t="s">
        <v>1154</v>
      </c>
      <c r="B200" s="3205" t="s">
        <v>2893</v>
      </c>
      <c r="C200" s="3222"/>
      <c r="D200" s="3222"/>
      <c r="E200" s="3222"/>
      <c r="F200" s="3206">
        <v>0.13</v>
      </c>
      <c r="G200" s="3218"/>
    </row>
    <row r="201" spans="1:7">
      <c r="A201" s="3216" t="s">
        <v>1154</v>
      </c>
      <c r="B201" s="3205" t="s">
        <v>3079</v>
      </c>
      <c r="C201" s="3206">
        <v>0.13</v>
      </c>
      <c r="D201" s="3206">
        <v>0.13</v>
      </c>
      <c r="E201" s="3206">
        <v>0.13</v>
      </c>
      <c r="F201" s="3206">
        <v>0.129</v>
      </c>
      <c r="G201" s="3207">
        <v>0.13</v>
      </c>
    </row>
    <row r="202" spans="1:7">
      <c r="A202" s="3216" t="s">
        <v>1154</v>
      </c>
      <c r="B202" s="3205" t="s">
        <v>1088</v>
      </c>
      <c r="C202" s="3206">
        <v>0.13</v>
      </c>
      <c r="D202" s="3206">
        <v>0.13</v>
      </c>
      <c r="E202" s="3206">
        <v>0.13</v>
      </c>
      <c r="F202" s="3206">
        <v>0.13</v>
      </c>
      <c r="G202" s="3207">
        <v>0.13</v>
      </c>
    </row>
    <row r="203" spans="1:7">
      <c r="A203" s="3216" t="s">
        <v>1154</v>
      </c>
      <c r="B203" s="3205" t="s">
        <v>3080</v>
      </c>
      <c r="C203" s="3206">
        <v>0.129</v>
      </c>
      <c r="D203" s="3206">
        <v>0.129</v>
      </c>
      <c r="E203" s="3206">
        <v>0.13</v>
      </c>
      <c r="F203" s="3206">
        <v>0.13</v>
      </c>
      <c r="G203" s="3207">
        <v>0.13</v>
      </c>
    </row>
    <row r="204" spans="1:7">
      <c r="A204" s="3216" t="s">
        <v>1154</v>
      </c>
      <c r="B204" s="3205" t="s">
        <v>2896</v>
      </c>
      <c r="C204" s="3206">
        <v>0.129</v>
      </c>
      <c r="D204" s="3206">
        <v>0.129</v>
      </c>
      <c r="E204" s="3206">
        <v>0.123</v>
      </c>
      <c r="F204" s="3206">
        <v>0.13</v>
      </c>
      <c r="G204" s="3207">
        <v>0.13</v>
      </c>
    </row>
    <row r="205" spans="1:7">
      <c r="A205" s="3216" t="s">
        <v>1154</v>
      </c>
      <c r="B205" s="3205" t="s">
        <v>2897</v>
      </c>
      <c r="C205" s="3206">
        <v>0.13</v>
      </c>
      <c r="D205" s="3206">
        <v>0.13</v>
      </c>
      <c r="E205" s="3206">
        <v>0.13</v>
      </c>
      <c r="F205" s="3206">
        <v>0.13</v>
      </c>
      <c r="G205" s="3207">
        <v>0.13</v>
      </c>
    </row>
    <row r="206" spans="1:7">
      <c r="A206" s="3216" t="s">
        <v>1154</v>
      </c>
      <c r="B206" s="3205" t="s">
        <v>2898</v>
      </c>
      <c r="C206" s="3206">
        <v>0.13</v>
      </c>
      <c r="D206" s="3206">
        <v>0.13</v>
      </c>
      <c r="E206" s="3206">
        <v>0.13</v>
      </c>
      <c r="F206" s="3206">
        <v>0.128</v>
      </c>
      <c r="G206" s="3207">
        <v>0.13</v>
      </c>
    </row>
    <row r="207" spans="1:7">
      <c r="A207" s="3216" t="s">
        <v>1154</v>
      </c>
      <c r="B207" s="3205" t="s">
        <v>2899</v>
      </c>
      <c r="C207" s="3206">
        <v>0.13</v>
      </c>
      <c r="D207" s="3206">
        <v>0.13</v>
      </c>
      <c r="E207" s="3206">
        <v>0.13</v>
      </c>
      <c r="F207" s="3206">
        <v>0.13</v>
      </c>
      <c r="G207" s="3207">
        <v>0.13</v>
      </c>
    </row>
    <row r="208" spans="1:7">
      <c r="A208" s="3216" t="s">
        <v>1154</v>
      </c>
      <c r="B208" s="3205" t="s">
        <v>3081</v>
      </c>
      <c r="C208" s="3206">
        <v>0.13</v>
      </c>
      <c r="D208" s="3206">
        <v>0.13</v>
      </c>
      <c r="E208" s="3206">
        <v>0.13</v>
      </c>
      <c r="F208" s="3206">
        <v>0.13</v>
      </c>
      <c r="G208" s="3207">
        <v>0.13</v>
      </c>
    </row>
    <row r="209" spans="1:7">
      <c r="A209" s="3216" t="s">
        <v>1154</v>
      </c>
      <c r="B209" s="3205" t="s">
        <v>1112</v>
      </c>
      <c r="C209" s="3206">
        <v>0.13</v>
      </c>
      <c r="D209" s="3206">
        <v>0.13</v>
      </c>
      <c r="E209" s="3206">
        <v>0.13</v>
      </c>
      <c r="F209" s="3206">
        <v>0.13</v>
      </c>
      <c r="G209" s="3207">
        <v>0.13</v>
      </c>
    </row>
    <row r="210" spans="1:7">
      <c r="A210" s="3216" t="s">
        <v>1154</v>
      </c>
      <c r="B210" s="3205" t="s">
        <v>2901</v>
      </c>
      <c r="C210" s="3206">
        <v>0.121</v>
      </c>
      <c r="D210" s="3206">
        <v>0.121</v>
      </c>
      <c r="E210" s="3206">
        <v>0.125</v>
      </c>
      <c r="F210" s="3206">
        <v>0.13</v>
      </c>
      <c r="G210" s="3207">
        <v>0.123</v>
      </c>
    </row>
    <row r="211" spans="1:7">
      <c r="A211" s="3216" t="s">
        <v>1154</v>
      </c>
      <c r="B211" s="3205" t="s">
        <v>3082</v>
      </c>
      <c r="C211" s="3206">
        <v>0.123</v>
      </c>
      <c r="D211" s="3206">
        <v>0.123</v>
      </c>
      <c r="E211" s="3206">
        <v>0.127</v>
      </c>
      <c r="F211" s="3206">
        <v>0.115</v>
      </c>
      <c r="G211" s="3207">
        <v>0.126</v>
      </c>
    </row>
    <row r="212" spans="1:7">
      <c r="A212" s="3216" t="s">
        <v>1154</v>
      </c>
      <c r="B212" s="3205" t="s">
        <v>1134</v>
      </c>
      <c r="C212" s="3206">
        <v>0.126</v>
      </c>
      <c r="D212" s="3206">
        <v>0.126</v>
      </c>
      <c r="E212" s="3206">
        <v>0.13</v>
      </c>
      <c r="F212" s="3206">
        <v>0.13</v>
      </c>
      <c r="G212" s="3207">
        <v>0.129</v>
      </c>
    </row>
    <row r="213" spans="1:7">
      <c r="A213" s="3216" t="s">
        <v>1154</v>
      </c>
      <c r="B213" s="3205" t="s">
        <v>1137</v>
      </c>
      <c r="C213" s="3206">
        <v>0.129</v>
      </c>
      <c r="D213" s="3206">
        <v>0.13</v>
      </c>
      <c r="E213" s="3206">
        <v>0.127</v>
      </c>
      <c r="F213" s="3206">
        <v>0.13</v>
      </c>
      <c r="G213" s="3207">
        <v>0.13</v>
      </c>
    </row>
    <row r="214" spans="1:7">
      <c r="A214" s="3216" t="s">
        <v>1154</v>
      </c>
      <c r="B214" s="3205" t="s">
        <v>3083</v>
      </c>
      <c r="C214" s="3206">
        <v>0.128</v>
      </c>
      <c r="D214" s="3206">
        <v>0.128</v>
      </c>
      <c r="E214" s="3206">
        <v>0.13</v>
      </c>
      <c r="F214" s="3206">
        <v>0.13</v>
      </c>
      <c r="G214" s="3207">
        <v>0.13</v>
      </c>
    </row>
    <row r="215" spans="1:7">
      <c r="A215" s="3216" t="s">
        <v>1154</v>
      </c>
      <c r="B215" s="3205" t="s">
        <v>3084</v>
      </c>
      <c r="C215" s="3206">
        <v>0.13</v>
      </c>
      <c r="D215" s="3206">
        <v>0.13</v>
      </c>
      <c r="E215" s="3206">
        <v>0.13</v>
      </c>
      <c r="F215" s="3206">
        <v>0.129</v>
      </c>
      <c r="G215" s="3207">
        <v>0.13</v>
      </c>
    </row>
    <row r="216" spans="1:7">
      <c r="A216" s="3216" t="s">
        <v>1154</v>
      </c>
      <c r="B216" s="3205" t="s">
        <v>3085</v>
      </c>
      <c r="C216" s="3206">
        <v>0.13</v>
      </c>
      <c r="D216" s="3206">
        <v>0.13</v>
      </c>
      <c r="E216" s="3206">
        <v>0.13</v>
      </c>
      <c r="F216" s="3206">
        <v>0.13</v>
      </c>
      <c r="G216" s="3207">
        <v>0.13</v>
      </c>
    </row>
    <row r="217" spans="1:7">
      <c r="A217" s="3216" t="s">
        <v>1154</v>
      </c>
      <c r="B217" s="3205" t="s">
        <v>2905</v>
      </c>
      <c r="C217" s="3206">
        <v>0.129</v>
      </c>
      <c r="D217" s="3206">
        <v>0.129</v>
      </c>
      <c r="E217" s="3206">
        <v>0.13</v>
      </c>
      <c r="F217" s="3206">
        <v>0.13</v>
      </c>
      <c r="G217" s="3207">
        <v>0.13</v>
      </c>
    </row>
    <row r="218" spans="1:7">
      <c r="A218" s="3216" t="s">
        <v>1154</v>
      </c>
      <c r="B218" s="3205" t="s">
        <v>3086</v>
      </c>
      <c r="C218" s="3217"/>
      <c r="D218" s="3217"/>
      <c r="E218" s="3217"/>
      <c r="F218" s="3206">
        <v>0.05</v>
      </c>
      <c r="G218" s="3223"/>
    </row>
    <row r="219" spans="1:7">
      <c r="A219" s="3216" t="s">
        <v>1154</v>
      </c>
      <c r="B219" s="3205" t="s">
        <v>3087</v>
      </c>
      <c r="C219" s="3217"/>
      <c r="D219" s="3217"/>
      <c r="E219" s="3217"/>
      <c r="F219" s="3206">
        <v>0.05</v>
      </c>
      <c r="G219" s="3223"/>
    </row>
    <row r="220" spans="1:7">
      <c r="A220" s="3216" t="s">
        <v>1154</v>
      </c>
      <c r="B220" s="3205" t="s">
        <v>3088</v>
      </c>
      <c r="C220" s="3217"/>
      <c r="D220" s="3217"/>
      <c r="E220" s="3217"/>
      <c r="F220" s="3206">
        <v>0.05</v>
      </c>
      <c r="G220" s="3223"/>
    </row>
    <row r="221" spans="1:7">
      <c r="A221" s="3216" t="s">
        <v>1154</v>
      </c>
      <c r="B221" s="3205" t="s">
        <v>3089</v>
      </c>
      <c r="C221" s="3217"/>
      <c r="D221" s="3217"/>
      <c r="E221" s="3217"/>
      <c r="F221" s="3206">
        <v>0.05</v>
      </c>
      <c r="G221" s="3223"/>
    </row>
    <row r="222" spans="1:7">
      <c r="A222" s="3216" t="s">
        <v>1154</v>
      </c>
      <c r="B222" s="3205" t="s">
        <v>3090</v>
      </c>
      <c r="C222" s="3217"/>
      <c r="D222" s="3217"/>
      <c r="E222" s="3217"/>
      <c r="F222" s="3206">
        <v>0.05</v>
      </c>
      <c r="G222" s="3223"/>
    </row>
    <row r="223" spans="1:7">
      <c r="A223" s="3216" t="s">
        <v>1154</v>
      </c>
      <c r="B223" s="3205" t="s">
        <v>3091</v>
      </c>
      <c r="C223" s="3217"/>
      <c r="D223" s="3217"/>
      <c r="E223" s="3217"/>
      <c r="F223" s="3206">
        <v>0.05</v>
      </c>
      <c r="G223" s="3223"/>
    </row>
    <row r="224" spans="1:7">
      <c r="A224" s="3216" t="s">
        <v>1154</v>
      </c>
      <c r="B224" s="3205" t="s">
        <v>3092</v>
      </c>
      <c r="C224" s="3217"/>
      <c r="D224" s="3217"/>
      <c r="E224" s="3217"/>
      <c r="F224" s="3206">
        <v>0.05</v>
      </c>
      <c r="G224" s="3223"/>
    </row>
    <row r="225" spans="1:7">
      <c r="A225" s="3216" t="s">
        <v>1154</v>
      </c>
      <c r="B225" s="3205" t="s">
        <v>3093</v>
      </c>
      <c r="C225" s="3217"/>
      <c r="D225" s="3217"/>
      <c r="E225" s="3217"/>
      <c r="F225" s="3206">
        <v>0.05</v>
      </c>
      <c r="G225" s="3223"/>
    </row>
    <row r="226" spans="1:7">
      <c r="A226" s="3216" t="s">
        <v>1154</v>
      </c>
      <c r="B226" s="3205" t="s">
        <v>3094</v>
      </c>
      <c r="C226" s="3217"/>
      <c r="D226" s="3217"/>
      <c r="E226" s="3217"/>
      <c r="F226" s="3206">
        <v>0.05</v>
      </c>
      <c r="G226" s="3223"/>
    </row>
    <row r="227" spans="1:7">
      <c r="A227" s="3216" t="s">
        <v>1154</v>
      </c>
      <c r="B227" s="3205" t="s">
        <v>3095</v>
      </c>
      <c r="C227" s="3217"/>
      <c r="D227" s="3217"/>
      <c r="E227" s="3217"/>
      <c r="F227" s="3206">
        <v>0.05</v>
      </c>
      <c r="G227" s="3223"/>
    </row>
    <row r="228" spans="1:7">
      <c r="A228" s="3216" t="s">
        <v>1154</v>
      </c>
      <c r="B228" s="3205" t="s">
        <v>3096</v>
      </c>
      <c r="C228" s="3217"/>
      <c r="D228" s="3217"/>
      <c r="E228" s="3217"/>
      <c r="F228" s="3206">
        <v>0.05</v>
      </c>
      <c r="G228" s="3223"/>
    </row>
    <row r="229" spans="1:7">
      <c r="A229" s="3216" t="s">
        <v>1154</v>
      </c>
      <c r="B229" s="3205" t="s">
        <v>3097</v>
      </c>
      <c r="C229" s="3217"/>
      <c r="D229" s="3217"/>
      <c r="E229" s="3217"/>
      <c r="F229" s="3206">
        <v>0.05</v>
      </c>
      <c r="G229" s="3223"/>
    </row>
    <row r="230" spans="1:7">
      <c r="A230" s="3216" t="s">
        <v>1154</v>
      </c>
      <c r="B230" s="3205" t="s">
        <v>3098</v>
      </c>
      <c r="C230" s="3217"/>
      <c r="D230" s="3217"/>
      <c r="E230" s="3217"/>
      <c r="F230" s="3206">
        <v>0.05</v>
      </c>
      <c r="G230" s="3223"/>
    </row>
    <row r="231" spans="1:7">
      <c r="A231" s="3216" t="s">
        <v>1154</v>
      </c>
      <c r="B231" s="3205" t="s">
        <v>3099</v>
      </c>
      <c r="C231" s="3217"/>
      <c r="D231" s="3217"/>
      <c r="E231" s="3217"/>
      <c r="F231" s="3206">
        <v>0.05</v>
      </c>
      <c r="G231" s="3223"/>
    </row>
    <row r="232" spans="1:7">
      <c r="A232" s="3216" t="s">
        <v>1154</v>
      </c>
      <c r="B232" s="3205" t="s">
        <v>3100</v>
      </c>
      <c r="C232" s="3217"/>
      <c r="D232" s="3217"/>
      <c r="E232" s="3217"/>
      <c r="F232" s="3206">
        <v>0.05</v>
      </c>
      <c r="G232" s="3223"/>
    </row>
    <row r="233" spans="1:7" ht="15" thickBot="1">
      <c r="A233" s="3219" t="s">
        <v>1154</v>
      </c>
      <c r="B233" s="3209" t="s">
        <v>3101</v>
      </c>
      <c r="C233" s="3211"/>
      <c r="D233" s="3211"/>
      <c r="E233" s="3211"/>
      <c r="F233" s="3210">
        <v>0.05</v>
      </c>
      <c r="G233" s="3224"/>
    </row>
    <row r="234" spans="1:7">
      <c r="A234" s="3215" t="s">
        <v>1155</v>
      </c>
      <c r="B234" s="3201" t="s">
        <v>3102</v>
      </c>
      <c r="C234" s="3202">
        <v>0.13</v>
      </c>
      <c r="D234" s="3202">
        <v>0.128</v>
      </c>
      <c r="E234" s="3202">
        <v>0.14199999999999999</v>
      </c>
      <c r="F234" s="3202">
        <v>0.14699999999999999</v>
      </c>
      <c r="G234" s="3203">
        <v>0.14000000000000001</v>
      </c>
    </row>
    <row r="235" spans="1:7">
      <c r="A235" s="3216" t="s">
        <v>1155</v>
      </c>
      <c r="B235" s="3205" t="s">
        <v>979</v>
      </c>
      <c r="C235" s="3206">
        <v>0.13600000000000001</v>
      </c>
      <c r="D235" s="3206">
        <v>0.13800000000000001</v>
      </c>
      <c r="E235" s="3206">
        <v>0.14499999999999999</v>
      </c>
      <c r="F235" s="3206">
        <v>0.14299999999999999</v>
      </c>
      <c r="G235" s="3207">
        <v>0.14099999999999999</v>
      </c>
    </row>
    <row r="236" spans="1:7">
      <c r="A236" s="3216" t="s">
        <v>1155</v>
      </c>
      <c r="B236" s="3205" t="s">
        <v>989</v>
      </c>
      <c r="C236" s="3206">
        <v>0.15</v>
      </c>
      <c r="D236" s="3206">
        <v>0.15</v>
      </c>
      <c r="E236" s="3206">
        <v>0.15</v>
      </c>
      <c r="F236" s="3206">
        <v>0.15</v>
      </c>
      <c r="G236" s="3207">
        <v>0.15</v>
      </c>
    </row>
    <row r="237" spans="1:7">
      <c r="A237" s="3216" t="s">
        <v>1155</v>
      </c>
      <c r="B237" s="3205" t="s">
        <v>998</v>
      </c>
      <c r="C237" s="3206">
        <v>0.15</v>
      </c>
      <c r="D237" s="3206">
        <v>0.15</v>
      </c>
      <c r="E237" s="3206">
        <v>0.15</v>
      </c>
      <c r="F237" s="3206">
        <v>0.15</v>
      </c>
      <c r="G237" s="3207">
        <v>0.15</v>
      </c>
    </row>
    <row r="238" spans="1:7">
      <c r="A238" s="3216" t="s">
        <v>1155</v>
      </c>
      <c r="B238" s="3205" t="s">
        <v>2923</v>
      </c>
      <c r="C238" s="3206">
        <v>0.14899999999999999</v>
      </c>
      <c r="D238" s="3206">
        <v>0.14899999999999999</v>
      </c>
      <c r="E238" s="3206">
        <v>0.15</v>
      </c>
      <c r="F238" s="3206">
        <v>0.15</v>
      </c>
      <c r="G238" s="3207">
        <v>0.15</v>
      </c>
    </row>
    <row r="239" spans="1:7">
      <c r="A239" s="3216" t="s">
        <v>1155</v>
      </c>
      <c r="B239" s="3205" t="s">
        <v>3103</v>
      </c>
      <c r="C239" s="3206">
        <v>0.15</v>
      </c>
      <c r="D239" s="3206">
        <v>0.15</v>
      </c>
      <c r="E239" s="3206">
        <v>0.15</v>
      </c>
      <c r="F239" s="3206">
        <v>0.15</v>
      </c>
      <c r="G239" s="3207">
        <v>0.15</v>
      </c>
    </row>
    <row r="240" spans="1:7">
      <c r="A240" s="3216" t="s">
        <v>1155</v>
      </c>
      <c r="B240" s="3205" t="s">
        <v>3104</v>
      </c>
      <c r="C240" s="3206">
        <v>0.15</v>
      </c>
      <c r="D240" s="3206">
        <v>0.15</v>
      </c>
      <c r="E240" s="3206">
        <v>0.15</v>
      </c>
      <c r="F240" s="3206">
        <v>0.15</v>
      </c>
      <c r="G240" s="3207">
        <v>0.15</v>
      </c>
    </row>
    <row r="241" spans="1:7">
      <c r="A241" s="3216" t="s">
        <v>1155</v>
      </c>
      <c r="B241" s="3205" t="s">
        <v>3105</v>
      </c>
      <c r="C241" s="3206">
        <v>0.14099999999999999</v>
      </c>
      <c r="D241" s="3206">
        <v>0.14199999999999999</v>
      </c>
      <c r="E241" s="3206">
        <v>0.14899999999999999</v>
      </c>
      <c r="F241" s="3206">
        <v>0.15</v>
      </c>
      <c r="G241" s="3207">
        <v>0.14399999999999999</v>
      </c>
    </row>
    <row r="242" spans="1:7">
      <c r="A242" s="3216" t="s">
        <v>1155</v>
      </c>
      <c r="B242" s="3205" t="s">
        <v>1028</v>
      </c>
      <c r="C242" s="3206">
        <v>0.14099999999999999</v>
      </c>
      <c r="D242" s="3206">
        <v>0.14199999999999999</v>
      </c>
      <c r="E242" s="3206">
        <v>0.14799999999999999</v>
      </c>
      <c r="F242" s="3206">
        <v>0.127</v>
      </c>
      <c r="G242" s="3207">
        <v>0.14399999999999999</v>
      </c>
    </row>
    <row r="243" spans="1:7">
      <c r="A243" s="3216" t="s">
        <v>1155</v>
      </c>
      <c r="B243" s="3205" t="s">
        <v>1038</v>
      </c>
      <c r="C243" s="3206">
        <v>0.14699999999999999</v>
      </c>
      <c r="D243" s="3206">
        <v>0.14699999999999999</v>
      </c>
      <c r="E243" s="3206">
        <v>0.15</v>
      </c>
      <c r="F243" s="3206">
        <v>0.15</v>
      </c>
      <c r="G243" s="3207">
        <v>0.14899999999999999</v>
      </c>
    </row>
    <row r="244" spans="1:7">
      <c r="A244" s="3216" t="s">
        <v>1155</v>
      </c>
      <c r="B244" s="3205" t="s">
        <v>3106</v>
      </c>
      <c r="C244" s="3206">
        <v>0.15</v>
      </c>
      <c r="D244" s="3206">
        <v>0.15</v>
      </c>
      <c r="E244" s="3206">
        <v>0.15</v>
      </c>
      <c r="F244" s="3206">
        <v>0.15</v>
      </c>
      <c r="G244" s="3207">
        <v>0.15</v>
      </c>
    </row>
    <row r="245" spans="1:7">
      <c r="A245" s="3216" t="s">
        <v>1155</v>
      </c>
      <c r="B245" s="3205" t="s">
        <v>1053</v>
      </c>
      <c r="C245" s="3206">
        <v>0.14199999999999999</v>
      </c>
      <c r="D245" s="3206">
        <v>0.14199999999999999</v>
      </c>
      <c r="E245" s="3206">
        <v>0.15</v>
      </c>
      <c r="F245" s="3206">
        <v>0.15</v>
      </c>
      <c r="G245" s="3207">
        <v>0.14499999999999999</v>
      </c>
    </row>
    <row r="246" spans="1:7">
      <c r="A246" s="3216" t="s">
        <v>1155</v>
      </c>
      <c r="B246" s="3205" t="s">
        <v>1060</v>
      </c>
      <c r="C246" s="3206">
        <v>0.14199999999999999</v>
      </c>
      <c r="D246" s="3206">
        <v>0.14299999999999999</v>
      </c>
      <c r="E246" s="3206">
        <v>0.15</v>
      </c>
      <c r="F246" s="3206">
        <v>0.14199999999999999</v>
      </c>
      <c r="G246" s="3207">
        <v>0.14399999999999999</v>
      </c>
    </row>
    <row r="247" spans="1:7">
      <c r="A247" s="3216" t="s">
        <v>1155</v>
      </c>
      <c r="B247" s="3205" t="s">
        <v>3107</v>
      </c>
      <c r="C247" s="3206">
        <v>0.14899999999999999</v>
      </c>
      <c r="D247" s="3206">
        <v>0.14899999999999999</v>
      </c>
      <c r="E247" s="3206">
        <v>0.15</v>
      </c>
      <c r="F247" s="3206">
        <v>0.15</v>
      </c>
      <c r="G247" s="3207">
        <v>0.15</v>
      </c>
    </row>
    <row r="248" spans="1:7">
      <c r="A248" s="3216" t="s">
        <v>1155</v>
      </c>
      <c r="B248" s="3205" t="s">
        <v>1075</v>
      </c>
      <c r="C248" s="3206">
        <v>0.14399999999999999</v>
      </c>
      <c r="D248" s="3206">
        <v>0.14399999999999999</v>
      </c>
      <c r="E248" s="3206">
        <v>0.14899999999999999</v>
      </c>
      <c r="F248" s="3206">
        <v>0.14799999999999999</v>
      </c>
      <c r="G248" s="3207">
        <v>0.14599999999999999</v>
      </c>
    </row>
    <row r="249" spans="1:7">
      <c r="A249" s="3216" t="s">
        <v>1155</v>
      </c>
      <c r="B249" s="3205" t="s">
        <v>3108</v>
      </c>
      <c r="C249" s="3206">
        <v>0.14000000000000001</v>
      </c>
      <c r="D249" s="3206">
        <v>0.14000000000000001</v>
      </c>
      <c r="E249" s="3206">
        <v>0.14699999999999999</v>
      </c>
      <c r="F249" s="3206">
        <v>0.14899999999999999</v>
      </c>
      <c r="G249" s="3207">
        <v>0.14199999999999999</v>
      </c>
    </row>
    <row r="250" spans="1:7">
      <c r="A250" s="3216" t="s">
        <v>1155</v>
      </c>
      <c r="B250" s="3205" t="s">
        <v>1089</v>
      </c>
      <c r="C250" s="3206">
        <v>0.14399999999999999</v>
      </c>
      <c r="D250" s="3206">
        <v>0.14299999999999999</v>
      </c>
      <c r="E250" s="3206">
        <v>0.14899999999999999</v>
      </c>
      <c r="F250" s="3206">
        <v>0.15</v>
      </c>
      <c r="G250" s="3207">
        <v>0.14599999999999999</v>
      </c>
    </row>
    <row r="251" spans="1:7">
      <c r="A251" s="3216" t="s">
        <v>1155</v>
      </c>
      <c r="B251" s="3205" t="s">
        <v>1097</v>
      </c>
      <c r="C251" s="3222"/>
      <c r="D251" s="3217"/>
      <c r="E251" s="3217"/>
      <c r="F251" s="3206">
        <v>0.1</v>
      </c>
      <c r="G251" s="3223"/>
    </row>
    <row r="252" spans="1:7">
      <c r="A252" s="3216" t="s">
        <v>1155</v>
      </c>
      <c r="B252" s="3205" t="s">
        <v>3109</v>
      </c>
      <c r="C252" s="3206">
        <v>0.14399999999999999</v>
      </c>
      <c r="D252" s="3206">
        <v>0.14399999999999999</v>
      </c>
      <c r="E252" s="3206">
        <v>0.15</v>
      </c>
      <c r="F252" s="3206">
        <v>0.14899999999999999</v>
      </c>
      <c r="G252" s="3207">
        <v>0.14599999999999999</v>
      </c>
    </row>
    <row r="253" spans="1:7">
      <c r="A253" s="3216" t="s">
        <v>1155</v>
      </c>
      <c r="B253" s="3205" t="s">
        <v>1132</v>
      </c>
      <c r="C253" s="3206">
        <v>0.14199999999999999</v>
      </c>
      <c r="D253" s="3206">
        <v>0.14199999999999999</v>
      </c>
      <c r="E253" s="3206">
        <v>0.14599999999999999</v>
      </c>
      <c r="F253" s="3206">
        <v>0.14799999999999999</v>
      </c>
      <c r="G253" s="3207">
        <v>0.14499999999999999</v>
      </c>
    </row>
    <row r="254" spans="1:7">
      <c r="A254" s="3216" t="s">
        <v>1155</v>
      </c>
      <c r="B254" s="3205" t="s">
        <v>1135</v>
      </c>
      <c r="C254" s="3206">
        <v>0.15</v>
      </c>
      <c r="D254" s="3206">
        <v>0.15</v>
      </c>
      <c r="E254" s="3206">
        <v>0.15</v>
      </c>
      <c r="F254" s="3206">
        <v>0.15</v>
      </c>
      <c r="G254" s="3207">
        <v>0.15</v>
      </c>
    </row>
    <row r="255" spans="1:7">
      <c r="A255" s="3216" t="s">
        <v>1155</v>
      </c>
      <c r="B255" s="3205" t="s">
        <v>1138</v>
      </c>
      <c r="C255" s="3206">
        <v>0.14299999999999999</v>
      </c>
      <c r="D255" s="3206">
        <v>0.14299999999999999</v>
      </c>
      <c r="E255" s="3206">
        <v>0.15</v>
      </c>
      <c r="F255" s="3206">
        <v>0.15</v>
      </c>
      <c r="G255" s="3207">
        <v>0.14499999999999999</v>
      </c>
    </row>
    <row r="256" spans="1:7">
      <c r="A256" s="3216" t="s">
        <v>1155</v>
      </c>
      <c r="B256" s="3205" t="s">
        <v>3110</v>
      </c>
      <c r="C256" s="3206">
        <v>0.15</v>
      </c>
      <c r="D256" s="3206">
        <v>0.15</v>
      </c>
      <c r="E256" s="3206">
        <v>0.15</v>
      </c>
      <c r="F256" s="3206">
        <v>0.14599999999999999</v>
      </c>
      <c r="G256" s="3207">
        <v>0.15</v>
      </c>
    </row>
    <row r="257" spans="1:7">
      <c r="A257" s="3216" t="s">
        <v>1155</v>
      </c>
      <c r="B257" s="3205" t="s">
        <v>1124</v>
      </c>
      <c r="C257" s="3206">
        <v>0.14199999999999999</v>
      </c>
      <c r="D257" s="3206">
        <v>0.14299999999999999</v>
      </c>
      <c r="E257" s="3206">
        <v>0.14799999999999999</v>
      </c>
      <c r="F257" s="3206">
        <v>0.15</v>
      </c>
      <c r="G257" s="3207">
        <v>0.14499999999999999</v>
      </c>
    </row>
    <row r="258" spans="1:7">
      <c r="A258" s="3216" t="s">
        <v>1155</v>
      </c>
      <c r="B258" s="3205" t="s">
        <v>2932</v>
      </c>
      <c r="C258" s="3206">
        <v>0.14299999999999999</v>
      </c>
      <c r="D258" s="3206">
        <v>0.14299999999999999</v>
      </c>
      <c r="E258" s="3206">
        <v>0.15</v>
      </c>
      <c r="F258" s="3206">
        <v>0.14799999999999999</v>
      </c>
      <c r="G258" s="3207">
        <v>0.14599999999999999</v>
      </c>
    </row>
    <row r="259" spans="1:7">
      <c r="A259" s="3216" t="s">
        <v>1155</v>
      </c>
      <c r="B259" s="3205" t="s">
        <v>3111</v>
      </c>
      <c r="C259" s="3206">
        <v>0.14399999999999999</v>
      </c>
      <c r="D259" s="3206">
        <v>0.14399999999999999</v>
      </c>
      <c r="E259" s="3206">
        <v>0.14899999999999999</v>
      </c>
      <c r="F259" s="3206">
        <v>0.14699999999999999</v>
      </c>
      <c r="G259" s="3207">
        <v>0.14599999999999999</v>
      </c>
    </row>
    <row r="260" spans="1:7">
      <c r="A260" s="3216" t="s">
        <v>1155</v>
      </c>
      <c r="B260" s="3205" t="s">
        <v>3112</v>
      </c>
      <c r="C260" s="3206">
        <v>0.109</v>
      </c>
      <c r="D260" s="3206">
        <v>0.111</v>
      </c>
      <c r="E260" s="3206">
        <v>0.13100000000000001</v>
      </c>
      <c r="F260" s="3206">
        <v>0.126</v>
      </c>
      <c r="G260" s="3207">
        <v>0.11899999999999999</v>
      </c>
    </row>
    <row r="261" spans="1:7">
      <c r="A261" s="3216" t="s">
        <v>1155</v>
      </c>
      <c r="B261" s="3205" t="s">
        <v>3113</v>
      </c>
      <c r="C261" s="3206">
        <v>0.1</v>
      </c>
      <c r="D261" s="3206">
        <v>0.1</v>
      </c>
      <c r="E261" s="3206">
        <v>0.11799999999999999</v>
      </c>
      <c r="F261" s="3206">
        <v>0.108</v>
      </c>
      <c r="G261" s="3207">
        <v>0.107</v>
      </c>
    </row>
    <row r="262" spans="1:7">
      <c r="A262" s="3216" t="s">
        <v>1155</v>
      </c>
      <c r="B262" s="3205" t="s">
        <v>3114</v>
      </c>
      <c r="C262" s="3206">
        <v>0.1</v>
      </c>
      <c r="D262" s="3206">
        <v>0.1</v>
      </c>
      <c r="E262" s="3206">
        <v>0.1</v>
      </c>
      <c r="F262" s="3206">
        <v>0.14099999999999999</v>
      </c>
      <c r="G262" s="3207">
        <v>0.1</v>
      </c>
    </row>
    <row r="263" spans="1:7">
      <c r="A263" s="3216" t="s">
        <v>1155</v>
      </c>
      <c r="B263" s="3205" t="s">
        <v>3115</v>
      </c>
      <c r="C263" s="3206">
        <v>0.14799999999999999</v>
      </c>
      <c r="D263" s="3206">
        <v>0.14799999999999999</v>
      </c>
      <c r="E263" s="3206">
        <v>0.15</v>
      </c>
      <c r="F263" s="3206">
        <v>0.14699999999999999</v>
      </c>
      <c r="G263" s="3207">
        <v>0.15</v>
      </c>
    </row>
    <row r="264" spans="1:7">
      <c r="A264" s="3216" t="s">
        <v>1155</v>
      </c>
      <c r="B264" s="3205" t="s">
        <v>1148</v>
      </c>
      <c r="C264" s="3206">
        <v>0.14299999999999999</v>
      </c>
      <c r="D264" s="3206">
        <v>0.14299999999999999</v>
      </c>
      <c r="E264" s="3206">
        <v>0.15</v>
      </c>
      <c r="F264" s="3206">
        <v>0.14899999999999999</v>
      </c>
      <c r="G264" s="3207">
        <v>0.14599999999999999</v>
      </c>
    </row>
    <row r="265" spans="1:7">
      <c r="A265" s="3216" t="s">
        <v>1155</v>
      </c>
      <c r="B265" s="3205" t="s">
        <v>3116</v>
      </c>
      <c r="C265" s="3217"/>
      <c r="D265" s="3217"/>
      <c r="E265" s="3217"/>
      <c r="F265" s="3206">
        <v>0.05</v>
      </c>
      <c r="G265" s="3223"/>
    </row>
    <row r="266" spans="1:7">
      <c r="A266" s="3216" t="s">
        <v>1155</v>
      </c>
      <c r="B266" s="3205" t="s">
        <v>3117</v>
      </c>
      <c r="C266" s="3217"/>
      <c r="D266" s="3217"/>
      <c r="E266" s="3217"/>
      <c r="F266" s="3206">
        <v>0.05</v>
      </c>
      <c r="G266" s="3223"/>
    </row>
    <row r="267" spans="1:7">
      <c r="A267" s="3216" t="s">
        <v>1155</v>
      </c>
      <c r="B267" s="3205" t="s">
        <v>3118</v>
      </c>
      <c r="C267" s="3217"/>
      <c r="D267" s="3217"/>
      <c r="E267" s="3217"/>
      <c r="F267" s="3206">
        <v>0.05</v>
      </c>
      <c r="G267" s="3223"/>
    </row>
    <row r="268" spans="1:7">
      <c r="A268" s="3216" t="s">
        <v>1155</v>
      </c>
      <c r="B268" s="3205" t="s">
        <v>3119</v>
      </c>
      <c r="C268" s="3217"/>
      <c r="D268" s="3217"/>
      <c r="E268" s="3217"/>
      <c r="F268" s="3206">
        <v>0.05</v>
      </c>
      <c r="G268" s="3223"/>
    </row>
    <row r="269" spans="1:7">
      <c r="A269" s="3216" t="s">
        <v>1155</v>
      </c>
      <c r="B269" s="3205" t="s">
        <v>3120</v>
      </c>
      <c r="C269" s="3217"/>
      <c r="D269" s="3217"/>
      <c r="E269" s="3217"/>
      <c r="F269" s="3206">
        <v>0.05</v>
      </c>
      <c r="G269" s="3223"/>
    </row>
    <row r="270" spans="1:7">
      <c r="A270" s="3216" t="s">
        <v>1155</v>
      </c>
      <c r="B270" s="3205" t="s">
        <v>3121</v>
      </c>
      <c r="C270" s="3217"/>
      <c r="D270" s="3217"/>
      <c r="E270" s="3217"/>
      <c r="F270" s="3206">
        <v>0.05</v>
      </c>
      <c r="G270" s="3223"/>
    </row>
    <row r="271" spans="1:7">
      <c r="A271" s="3216" t="s">
        <v>1155</v>
      </c>
      <c r="B271" s="3205" t="s">
        <v>3122</v>
      </c>
      <c r="C271" s="3217"/>
      <c r="D271" s="3217"/>
      <c r="E271" s="3217"/>
      <c r="F271" s="3206">
        <v>0.05</v>
      </c>
      <c r="G271" s="3223"/>
    </row>
    <row r="272" spans="1:7">
      <c r="A272" s="3216" t="s">
        <v>1155</v>
      </c>
      <c r="B272" s="3205" t="s">
        <v>3123</v>
      </c>
      <c r="C272" s="3217"/>
      <c r="D272" s="3217"/>
      <c r="E272" s="3217"/>
      <c r="F272" s="3206">
        <v>0.05</v>
      </c>
      <c r="G272" s="3223"/>
    </row>
    <row r="273" spans="1:7">
      <c r="A273" s="3216" t="s">
        <v>1155</v>
      </c>
      <c r="B273" s="3205" t="s">
        <v>3124</v>
      </c>
      <c r="C273" s="3217"/>
      <c r="D273" s="3217"/>
      <c r="E273" s="3217"/>
      <c r="F273" s="3206">
        <v>0.05</v>
      </c>
      <c r="G273" s="3223"/>
    </row>
    <row r="274" spans="1:7">
      <c r="A274" s="3216" t="s">
        <v>1155</v>
      </c>
      <c r="B274" s="3205" t="s">
        <v>3125</v>
      </c>
      <c r="C274" s="3217"/>
      <c r="D274" s="3217"/>
      <c r="E274" s="3217"/>
      <c r="F274" s="3206">
        <v>0.05</v>
      </c>
      <c r="G274" s="3223"/>
    </row>
    <row r="275" spans="1:7">
      <c r="A275" s="3216" t="s">
        <v>1155</v>
      </c>
      <c r="B275" s="3205" t="s">
        <v>3126</v>
      </c>
      <c r="C275" s="3217"/>
      <c r="D275" s="3217"/>
      <c r="E275" s="3217"/>
      <c r="F275" s="3206">
        <v>0.05</v>
      </c>
      <c r="G275" s="3223"/>
    </row>
    <row r="276" spans="1:7" ht="15" thickBot="1">
      <c r="A276" s="3219" t="s">
        <v>1155</v>
      </c>
      <c r="B276" s="3209" t="s">
        <v>3127</v>
      </c>
      <c r="C276" s="3211"/>
      <c r="D276" s="3211"/>
      <c r="E276" s="3211"/>
      <c r="F276" s="3210">
        <v>0.05</v>
      </c>
      <c r="G276" s="3224"/>
    </row>
    <row r="277" spans="1:7">
      <c r="A277" s="3215" t="s">
        <v>1156</v>
      </c>
      <c r="B277" s="3201" t="s">
        <v>3128</v>
      </c>
      <c r="C277" s="3202">
        <v>0.15</v>
      </c>
      <c r="D277" s="3202">
        <v>0.15</v>
      </c>
      <c r="E277" s="3202">
        <v>0.15</v>
      </c>
      <c r="F277" s="3202">
        <v>0.15</v>
      </c>
      <c r="G277" s="3203">
        <v>0.15</v>
      </c>
    </row>
    <row r="278" spans="1:7">
      <c r="A278" s="3216" t="s">
        <v>1156</v>
      </c>
      <c r="B278" s="3205" t="s">
        <v>980</v>
      </c>
      <c r="C278" s="3206">
        <v>0.15</v>
      </c>
      <c r="D278" s="3206">
        <v>0.15</v>
      </c>
      <c r="E278" s="3206">
        <v>0.15</v>
      </c>
      <c r="F278" s="3206">
        <v>0.15</v>
      </c>
      <c r="G278" s="3207">
        <v>0.15</v>
      </c>
    </row>
    <row r="279" spans="1:7">
      <c r="A279" s="3216" t="s">
        <v>1156</v>
      </c>
      <c r="B279" s="3205" t="s">
        <v>3129</v>
      </c>
      <c r="C279" s="3206">
        <v>0.15</v>
      </c>
      <c r="D279" s="3206">
        <v>0.15</v>
      </c>
      <c r="E279" s="3206">
        <v>0.15</v>
      </c>
      <c r="F279" s="3206">
        <v>0.15</v>
      </c>
      <c r="G279" s="3207">
        <v>0.15</v>
      </c>
    </row>
    <row r="280" spans="1:7">
      <c r="A280" s="3216" t="s">
        <v>1156</v>
      </c>
      <c r="B280" s="3205" t="s">
        <v>3130</v>
      </c>
      <c r="C280" s="3206">
        <v>0.15</v>
      </c>
      <c r="D280" s="3206">
        <v>0.15</v>
      </c>
      <c r="E280" s="3206">
        <v>0.15</v>
      </c>
      <c r="F280" s="3206">
        <v>0.15</v>
      </c>
      <c r="G280" s="3207">
        <v>0.15</v>
      </c>
    </row>
    <row r="281" spans="1:7">
      <c r="A281" s="3216" t="s">
        <v>1156</v>
      </c>
      <c r="B281" s="3205" t="s">
        <v>3131</v>
      </c>
      <c r="C281" s="3206">
        <v>0.15</v>
      </c>
      <c r="D281" s="3206">
        <v>0.15</v>
      </c>
      <c r="E281" s="3206">
        <v>0.15</v>
      </c>
      <c r="F281" s="3206">
        <v>0.15</v>
      </c>
      <c r="G281" s="3207">
        <v>0.15</v>
      </c>
    </row>
    <row r="282" spans="1:7">
      <c r="A282" s="3216" t="s">
        <v>1156</v>
      </c>
      <c r="B282" s="3205" t="s">
        <v>3132</v>
      </c>
      <c r="C282" s="3206">
        <v>0.15</v>
      </c>
      <c r="D282" s="3206">
        <v>0.15</v>
      </c>
      <c r="E282" s="3206">
        <v>0.15</v>
      </c>
      <c r="F282" s="3206">
        <v>0.14499999999999999</v>
      </c>
      <c r="G282" s="3207">
        <v>0.15</v>
      </c>
    </row>
    <row r="283" spans="1:7">
      <c r="A283" s="3216" t="s">
        <v>1156</v>
      </c>
      <c r="B283" s="3205" t="s">
        <v>1021</v>
      </c>
      <c r="C283" s="3206">
        <v>0.15</v>
      </c>
      <c r="D283" s="3206">
        <v>0.15</v>
      </c>
      <c r="E283" s="3206">
        <v>0.15</v>
      </c>
      <c r="F283" s="3206">
        <v>0.14199999999999999</v>
      </c>
      <c r="G283" s="3207">
        <v>0.15</v>
      </c>
    </row>
    <row r="284" spans="1:7">
      <c r="A284" s="3216" t="s">
        <v>1156</v>
      </c>
      <c r="B284" s="3205" t="s">
        <v>1029</v>
      </c>
      <c r="C284" s="3206">
        <v>0.15</v>
      </c>
      <c r="D284" s="3206">
        <v>0.15</v>
      </c>
      <c r="E284" s="3206">
        <v>0.15</v>
      </c>
      <c r="F284" s="3206">
        <v>0.15</v>
      </c>
      <c r="G284" s="3207">
        <v>0.15</v>
      </c>
    </row>
    <row r="285" spans="1:7">
      <c r="A285" s="3216" t="s">
        <v>1156</v>
      </c>
      <c r="B285" s="3205" t="s">
        <v>1039</v>
      </c>
      <c r="C285" s="3206">
        <v>0.15</v>
      </c>
      <c r="D285" s="3206">
        <v>0.15</v>
      </c>
      <c r="E285" s="3206">
        <v>0.15</v>
      </c>
      <c r="F285" s="3206">
        <v>0.15</v>
      </c>
      <c r="G285" s="3207">
        <v>0.15</v>
      </c>
    </row>
    <row r="286" spans="1:7">
      <c r="A286" s="3216" t="s">
        <v>1156</v>
      </c>
      <c r="B286" s="3205" t="s">
        <v>1046</v>
      </c>
      <c r="C286" s="3206">
        <v>0.14499999999999999</v>
      </c>
      <c r="D286" s="3206">
        <v>0.14499999999999999</v>
      </c>
      <c r="E286" s="3206">
        <v>0.15</v>
      </c>
      <c r="F286" s="3206">
        <v>0.14099999999999999</v>
      </c>
      <c r="G286" s="3207">
        <v>0.14499999999999999</v>
      </c>
    </row>
    <row r="287" spans="1:7">
      <c r="A287" s="3216" t="s">
        <v>1156</v>
      </c>
      <c r="B287" s="3205" t="s">
        <v>3133</v>
      </c>
      <c r="C287" s="3206">
        <v>0.11</v>
      </c>
      <c r="D287" s="3206">
        <v>0.111</v>
      </c>
      <c r="E287" s="3206">
        <v>0.14099999999999999</v>
      </c>
      <c r="F287" s="3206">
        <v>0.11</v>
      </c>
      <c r="G287" s="3207">
        <v>0.12</v>
      </c>
    </row>
    <row r="288" spans="1:7">
      <c r="A288" s="3216" t="s">
        <v>1156</v>
      </c>
      <c r="B288" s="3205" t="s">
        <v>1067</v>
      </c>
      <c r="C288" s="3206">
        <v>0.14199999999999999</v>
      </c>
      <c r="D288" s="3206">
        <v>0.14299999999999999</v>
      </c>
      <c r="E288" s="3206">
        <v>0.15</v>
      </c>
      <c r="F288" s="3206">
        <v>0.14199999999999999</v>
      </c>
      <c r="G288" s="3207">
        <v>0.14399999999999999</v>
      </c>
    </row>
    <row r="289" spans="1:7">
      <c r="A289" s="3216" t="s">
        <v>1156</v>
      </c>
      <c r="B289" s="3205" t="s">
        <v>3134</v>
      </c>
      <c r="C289" s="3206">
        <v>0.14299999999999999</v>
      </c>
      <c r="D289" s="3206">
        <v>0.14299999999999999</v>
      </c>
      <c r="E289" s="3206">
        <v>0.14799999999999999</v>
      </c>
      <c r="F289" s="3206">
        <v>0.14399999999999999</v>
      </c>
      <c r="G289" s="3207">
        <v>0.14399999999999999</v>
      </c>
    </row>
    <row r="290" spans="1:7">
      <c r="A290" s="3216" t="s">
        <v>1156</v>
      </c>
      <c r="B290" s="3205" t="s">
        <v>1090</v>
      </c>
      <c r="C290" s="3206">
        <v>0.14799999999999999</v>
      </c>
      <c r="D290" s="3206">
        <v>0.14899999999999999</v>
      </c>
      <c r="E290" s="3206">
        <v>0.15</v>
      </c>
      <c r="F290" s="3206">
        <v>0.127</v>
      </c>
      <c r="G290" s="3207">
        <v>0.15</v>
      </c>
    </row>
    <row r="291" spans="1:7">
      <c r="A291" s="3216" t="s">
        <v>1156</v>
      </c>
      <c r="B291" s="3205" t="s">
        <v>1098</v>
      </c>
      <c r="C291" s="3206">
        <v>0.15</v>
      </c>
      <c r="D291" s="3206">
        <v>0.15</v>
      </c>
      <c r="E291" s="3206">
        <v>0.15</v>
      </c>
      <c r="F291" s="3206">
        <v>0.14899999999999999</v>
      </c>
      <c r="G291" s="3207">
        <v>0.15</v>
      </c>
    </row>
    <row r="292" spans="1:7">
      <c r="A292" s="3216" t="s">
        <v>1156</v>
      </c>
      <c r="B292" s="3205" t="s">
        <v>1104</v>
      </c>
      <c r="C292" s="3206">
        <v>0.15</v>
      </c>
      <c r="D292" s="3206">
        <v>0.15</v>
      </c>
      <c r="E292" s="3206">
        <v>0.15</v>
      </c>
      <c r="F292" s="3206">
        <v>0.14399999999999999</v>
      </c>
      <c r="G292" s="3207">
        <v>0.15</v>
      </c>
    </row>
    <row r="293" spans="1:7">
      <c r="A293" s="3216" t="s">
        <v>1156</v>
      </c>
      <c r="B293" s="3205" t="s">
        <v>2957</v>
      </c>
      <c r="C293" s="3206">
        <v>0.15</v>
      </c>
      <c r="D293" s="3206">
        <v>0.15</v>
      </c>
      <c r="E293" s="3206">
        <v>0.15</v>
      </c>
      <c r="F293" s="3206">
        <v>0.14499999999999999</v>
      </c>
      <c r="G293" s="3207">
        <v>0.15</v>
      </c>
    </row>
    <row r="294" spans="1:7">
      <c r="A294" s="3216" t="s">
        <v>1156</v>
      </c>
      <c r="B294" s="3205" t="s">
        <v>3135</v>
      </c>
      <c r="C294" s="3206">
        <v>0.15</v>
      </c>
      <c r="D294" s="3206">
        <v>0.15</v>
      </c>
      <c r="E294" s="3206">
        <v>0.15</v>
      </c>
      <c r="F294" s="3206">
        <v>0.14899999999999999</v>
      </c>
      <c r="G294" s="3207">
        <v>0.15</v>
      </c>
    </row>
    <row r="295" spans="1:7">
      <c r="A295" s="3216" t="s">
        <v>1156</v>
      </c>
      <c r="B295" s="3205" t="s">
        <v>1139</v>
      </c>
      <c r="C295" s="3206">
        <v>0.15</v>
      </c>
      <c r="D295" s="3206">
        <v>0.15</v>
      </c>
      <c r="E295" s="3206">
        <v>0.15</v>
      </c>
      <c r="F295" s="3206">
        <v>0.14799999999999999</v>
      </c>
      <c r="G295" s="3207">
        <v>0.15</v>
      </c>
    </row>
    <row r="296" spans="1:7">
      <c r="A296" s="3216" t="s">
        <v>1156</v>
      </c>
      <c r="B296" s="3205" t="s">
        <v>1142</v>
      </c>
      <c r="C296" s="3206">
        <v>0.15</v>
      </c>
      <c r="D296" s="3206">
        <v>0.15</v>
      </c>
      <c r="E296" s="3206">
        <v>0.15</v>
      </c>
      <c r="F296" s="3206">
        <v>0.14399999999999999</v>
      </c>
      <c r="G296" s="3207">
        <v>0.15</v>
      </c>
    </row>
    <row r="297" spans="1:7">
      <c r="A297" s="3216" t="s">
        <v>1156</v>
      </c>
      <c r="B297" s="3205" t="s">
        <v>1144</v>
      </c>
      <c r="C297" s="3206">
        <v>0.15</v>
      </c>
      <c r="D297" s="3206">
        <v>0.15</v>
      </c>
      <c r="E297" s="3206">
        <v>0.15</v>
      </c>
      <c r="F297" s="3206">
        <v>0.14499999999999999</v>
      </c>
      <c r="G297" s="3207">
        <v>0.15</v>
      </c>
    </row>
    <row r="298" spans="1:7">
      <c r="A298" s="3216" t="s">
        <v>1156</v>
      </c>
      <c r="B298" s="3205" t="s">
        <v>1147</v>
      </c>
      <c r="C298" s="3206">
        <v>0.15</v>
      </c>
      <c r="D298" s="3206">
        <v>0.15</v>
      </c>
      <c r="E298" s="3206">
        <v>0.15</v>
      </c>
      <c r="F298" s="3206">
        <v>0.15</v>
      </c>
      <c r="G298" s="3207">
        <v>0.15</v>
      </c>
    </row>
    <row r="299" spans="1:7">
      <c r="A299" s="3216" t="s">
        <v>1156</v>
      </c>
      <c r="B299" s="3225" t="s">
        <v>2959</v>
      </c>
      <c r="C299" s="3206">
        <v>0.15</v>
      </c>
      <c r="D299" s="3206">
        <v>0.15</v>
      </c>
      <c r="E299" s="3206">
        <v>0.15</v>
      </c>
      <c r="F299" s="3206">
        <v>0.14499999999999999</v>
      </c>
      <c r="G299" s="3207">
        <v>0.15</v>
      </c>
    </row>
    <row r="300" spans="1:7">
      <c r="A300" s="3216" t="s">
        <v>1156</v>
      </c>
      <c r="B300" s="3225" t="s">
        <v>1119</v>
      </c>
      <c r="C300" s="3206">
        <v>0.15</v>
      </c>
      <c r="D300" s="3206">
        <v>0.15</v>
      </c>
      <c r="E300" s="3206">
        <v>0.15</v>
      </c>
      <c r="F300" s="3206">
        <v>0.14599999999999999</v>
      </c>
      <c r="G300" s="3207">
        <v>0.15</v>
      </c>
    </row>
    <row r="301" spans="1:7">
      <c r="A301" s="3216" t="s">
        <v>1156</v>
      </c>
      <c r="B301" s="3225" t="s">
        <v>1125</v>
      </c>
      <c r="C301" s="3206">
        <v>0.126</v>
      </c>
      <c r="D301" s="3206">
        <v>0.124</v>
      </c>
      <c r="E301" s="3206">
        <v>0.14099999999999999</v>
      </c>
      <c r="F301" s="3206">
        <v>0.14399999999999999</v>
      </c>
      <c r="G301" s="3207">
        <v>0.13</v>
      </c>
    </row>
    <row r="302" spans="1:7">
      <c r="A302" s="3216" t="s">
        <v>1156</v>
      </c>
      <c r="B302" s="3205" t="s">
        <v>3136</v>
      </c>
      <c r="C302" s="3206">
        <v>0.15</v>
      </c>
      <c r="D302" s="3206">
        <v>0.15</v>
      </c>
      <c r="E302" s="3206">
        <v>0.15</v>
      </c>
      <c r="F302" s="3206">
        <v>0.14699999999999999</v>
      </c>
      <c r="G302" s="3207">
        <v>0.15</v>
      </c>
    </row>
    <row r="303" spans="1:7">
      <c r="A303" s="3216" t="s">
        <v>1156</v>
      </c>
      <c r="B303" s="3205" t="s">
        <v>2961</v>
      </c>
      <c r="C303" s="3206">
        <v>0.15</v>
      </c>
      <c r="D303" s="3206">
        <v>0.15</v>
      </c>
      <c r="E303" s="3206">
        <v>0.15</v>
      </c>
      <c r="F303" s="3206">
        <v>0.14199999999999999</v>
      </c>
      <c r="G303" s="3207">
        <v>0.15</v>
      </c>
    </row>
    <row r="304" spans="1:7">
      <c r="A304" s="3216" t="s">
        <v>1156</v>
      </c>
      <c r="B304" s="3205" t="s">
        <v>2962</v>
      </c>
      <c r="C304" s="3206">
        <v>0.15</v>
      </c>
      <c r="D304" s="3206">
        <v>0.15</v>
      </c>
      <c r="E304" s="3206">
        <v>0.15</v>
      </c>
      <c r="F304" s="3206">
        <v>0.14499999999999999</v>
      </c>
      <c r="G304" s="3207">
        <v>0.15</v>
      </c>
    </row>
    <row r="305" spans="1:7">
      <c r="A305" s="3216" t="s">
        <v>1156</v>
      </c>
      <c r="B305" s="3205" t="s">
        <v>2963</v>
      </c>
      <c r="C305" s="3206">
        <v>0.15</v>
      </c>
      <c r="D305" s="3206">
        <v>0.15</v>
      </c>
      <c r="E305" s="3206">
        <v>0.15</v>
      </c>
      <c r="F305" s="3206">
        <v>0.111</v>
      </c>
      <c r="G305" s="3207">
        <v>0.15</v>
      </c>
    </row>
    <row r="306" spans="1:7">
      <c r="A306" s="3216" t="s">
        <v>1156</v>
      </c>
      <c r="B306" s="3205" t="s">
        <v>3137</v>
      </c>
      <c r="C306" s="3206">
        <v>0.15</v>
      </c>
      <c r="D306" s="3206">
        <v>0.15</v>
      </c>
      <c r="E306" s="3206">
        <v>0.15</v>
      </c>
      <c r="F306" s="3206">
        <v>0.126</v>
      </c>
      <c r="G306" s="3207">
        <v>0.15</v>
      </c>
    </row>
    <row r="307" spans="1:7">
      <c r="A307" s="3216" t="s">
        <v>1156</v>
      </c>
      <c r="B307" s="3205" t="s">
        <v>2965</v>
      </c>
      <c r="C307" s="3206">
        <v>0.15</v>
      </c>
      <c r="D307" s="3206">
        <v>0.15</v>
      </c>
      <c r="E307" s="3206">
        <v>0.15</v>
      </c>
      <c r="F307" s="3206">
        <v>0.12</v>
      </c>
      <c r="G307" s="3207">
        <v>0.15</v>
      </c>
    </row>
    <row r="308" spans="1:7">
      <c r="A308" s="3216" t="s">
        <v>1156</v>
      </c>
      <c r="B308" s="3205" t="s">
        <v>3138</v>
      </c>
      <c r="C308" s="3206">
        <v>0.15</v>
      </c>
      <c r="D308" s="3206">
        <v>0.15</v>
      </c>
      <c r="E308" s="3206">
        <v>0.15</v>
      </c>
      <c r="F308" s="3206">
        <v>0.13</v>
      </c>
      <c r="G308" s="3207">
        <v>0.15</v>
      </c>
    </row>
    <row r="309" spans="1:7">
      <c r="A309" s="3216" t="s">
        <v>1156</v>
      </c>
      <c r="B309" s="3205" t="s">
        <v>3139</v>
      </c>
      <c r="C309" s="3206">
        <v>0.15</v>
      </c>
      <c r="D309" s="3206">
        <v>0.15</v>
      </c>
      <c r="E309" s="3206">
        <v>0.15</v>
      </c>
      <c r="F309" s="3206">
        <v>0.14099999999999999</v>
      </c>
      <c r="G309" s="3207">
        <v>0.15</v>
      </c>
    </row>
    <row r="310" spans="1:7">
      <c r="A310" s="3216" t="s">
        <v>1156</v>
      </c>
      <c r="B310" s="3205" t="s">
        <v>2968</v>
      </c>
      <c r="C310" s="3206">
        <v>0.15</v>
      </c>
      <c r="D310" s="3206">
        <v>0.15</v>
      </c>
      <c r="E310" s="3206">
        <v>0.15</v>
      </c>
      <c r="F310" s="3206">
        <v>0.15</v>
      </c>
      <c r="G310" s="3207">
        <v>0.15</v>
      </c>
    </row>
    <row r="311" spans="1:7">
      <c r="A311" s="3216" t="s">
        <v>1156</v>
      </c>
      <c r="B311" s="3205" t="s">
        <v>3140</v>
      </c>
      <c r="C311" s="3206">
        <v>0.13200000000000001</v>
      </c>
      <c r="D311" s="3206">
        <v>0.13300000000000001</v>
      </c>
      <c r="E311" s="3206">
        <v>0.14499999999999999</v>
      </c>
      <c r="F311" s="3206">
        <v>0.14199999999999999</v>
      </c>
      <c r="G311" s="3207">
        <v>0.14000000000000001</v>
      </c>
    </row>
    <row r="312" spans="1:7">
      <c r="A312" s="3216" t="s">
        <v>1156</v>
      </c>
      <c r="B312" s="3205" t="s">
        <v>2970</v>
      </c>
      <c r="C312" s="3206">
        <v>0.13800000000000001</v>
      </c>
      <c r="D312" s="3206">
        <v>0.14000000000000001</v>
      </c>
      <c r="E312" s="3206">
        <v>0.14599999999999999</v>
      </c>
      <c r="F312" s="3206">
        <v>0.14899999999999999</v>
      </c>
      <c r="G312" s="3207">
        <v>0.14199999999999999</v>
      </c>
    </row>
    <row r="313" spans="1:7">
      <c r="A313" s="3216" t="s">
        <v>1156</v>
      </c>
      <c r="B313" s="3205" t="s">
        <v>2971</v>
      </c>
      <c r="C313" s="3206">
        <v>0.125</v>
      </c>
      <c r="D313" s="3206">
        <v>0.127</v>
      </c>
      <c r="E313" s="3206">
        <v>0.14399999999999999</v>
      </c>
      <c r="F313" s="3206">
        <v>0.115</v>
      </c>
      <c r="G313" s="3207">
        <v>0.13600000000000001</v>
      </c>
    </row>
    <row r="314" spans="1:7">
      <c r="A314" s="3216" t="s">
        <v>1156</v>
      </c>
      <c r="B314" s="3205" t="s">
        <v>3141</v>
      </c>
      <c r="C314" s="3222"/>
      <c r="D314" s="3222"/>
      <c r="E314" s="3222"/>
      <c r="F314" s="3206">
        <v>0.05</v>
      </c>
      <c r="G314" s="3223"/>
    </row>
    <row r="315" spans="1:7">
      <c r="A315" s="3216" t="s">
        <v>1156</v>
      </c>
      <c r="B315" s="3205" t="s">
        <v>3142</v>
      </c>
      <c r="C315" s="3222"/>
      <c r="D315" s="3222"/>
      <c r="E315" s="3222"/>
      <c r="F315" s="3206">
        <v>0.05</v>
      </c>
      <c r="G315" s="3223"/>
    </row>
    <row r="316" spans="1:7">
      <c r="A316" s="3216" t="s">
        <v>1156</v>
      </c>
      <c r="B316" s="3205" t="s">
        <v>3143</v>
      </c>
      <c r="C316" s="3217"/>
      <c r="D316" s="3217"/>
      <c r="E316" s="3217"/>
      <c r="F316" s="3206">
        <v>0.05</v>
      </c>
      <c r="G316" s="3223"/>
    </row>
    <row r="317" spans="1:7">
      <c r="A317" s="3216" t="s">
        <v>1156</v>
      </c>
      <c r="B317" s="3205" t="s">
        <v>3144</v>
      </c>
      <c r="C317" s="3217"/>
      <c r="D317" s="3217"/>
      <c r="E317" s="3217"/>
      <c r="F317" s="3206">
        <v>0.05</v>
      </c>
      <c r="G317" s="3223"/>
    </row>
    <row r="318" spans="1:7">
      <c r="A318" s="3216" t="s">
        <v>1156</v>
      </c>
      <c r="B318" s="3205" t="s">
        <v>3145</v>
      </c>
      <c r="C318" s="3217"/>
      <c r="D318" s="3217"/>
      <c r="E318" s="3217"/>
      <c r="F318" s="3206">
        <v>0.05</v>
      </c>
      <c r="G318" s="3223"/>
    </row>
    <row r="319" spans="1:7">
      <c r="A319" s="3216" t="s">
        <v>1156</v>
      </c>
      <c r="B319" s="3205" t="s">
        <v>3146</v>
      </c>
      <c r="C319" s="3217"/>
      <c r="D319" s="3217"/>
      <c r="E319" s="3217"/>
      <c r="F319" s="3206">
        <v>0.05</v>
      </c>
      <c r="G319" s="3223"/>
    </row>
    <row r="320" spans="1:7">
      <c r="A320" s="3216" t="s">
        <v>1156</v>
      </c>
      <c r="B320" s="3205" t="s">
        <v>3147</v>
      </c>
      <c r="C320" s="3217"/>
      <c r="D320" s="3217"/>
      <c r="E320" s="3217"/>
      <c r="F320" s="3206">
        <v>0.05</v>
      </c>
      <c r="G320" s="3223"/>
    </row>
    <row r="321" spans="1:7">
      <c r="A321" s="3216" t="s">
        <v>1156</v>
      </c>
      <c r="B321" s="3205" t="s">
        <v>3148</v>
      </c>
      <c r="C321" s="3217"/>
      <c r="D321" s="3217"/>
      <c r="E321" s="3217"/>
      <c r="F321" s="3206">
        <v>0.05</v>
      </c>
      <c r="G321" s="3223"/>
    </row>
    <row r="322" spans="1:7">
      <c r="A322" s="3216" t="s">
        <v>1156</v>
      </c>
      <c r="B322" s="3205" t="s">
        <v>3149</v>
      </c>
      <c r="C322" s="3217"/>
      <c r="D322" s="3217"/>
      <c r="E322" s="3217"/>
      <c r="F322" s="3206">
        <v>0.05</v>
      </c>
      <c r="G322" s="3223"/>
    </row>
    <row r="323" spans="1:7">
      <c r="A323" s="3216" t="s">
        <v>1156</v>
      </c>
      <c r="B323" s="3205" t="s">
        <v>3150</v>
      </c>
      <c r="C323" s="3217"/>
      <c r="D323" s="3217"/>
      <c r="E323" s="3217"/>
      <c r="F323" s="3206">
        <v>0.05</v>
      </c>
      <c r="G323" s="3223"/>
    </row>
    <row r="324" spans="1:7">
      <c r="A324" s="3216" t="s">
        <v>1156</v>
      </c>
      <c r="B324" s="3205" t="s">
        <v>3151</v>
      </c>
      <c r="C324" s="3217"/>
      <c r="D324" s="3217"/>
      <c r="E324" s="3217"/>
      <c r="F324" s="3206">
        <v>0.05</v>
      </c>
      <c r="G324" s="3223"/>
    </row>
    <row r="325" spans="1:7">
      <c r="A325" s="3216" t="s">
        <v>1156</v>
      </c>
      <c r="B325" s="3205" t="s">
        <v>3152</v>
      </c>
      <c r="C325" s="3217"/>
      <c r="D325" s="3217"/>
      <c r="E325" s="3217"/>
      <c r="F325" s="3206">
        <v>0.05</v>
      </c>
      <c r="G325" s="3223"/>
    </row>
    <row r="326" spans="1:7" ht="15" thickBot="1">
      <c r="A326" s="3219" t="s">
        <v>1156</v>
      </c>
      <c r="B326" s="3209" t="s">
        <v>3153</v>
      </c>
      <c r="C326" s="3211"/>
      <c r="D326" s="3211"/>
      <c r="E326" s="3211"/>
      <c r="F326" s="3210">
        <v>0.05</v>
      </c>
      <c r="G326" s="3224"/>
    </row>
    <row r="327" spans="1:7">
      <c r="A327" s="3215" t="s">
        <v>1157</v>
      </c>
      <c r="B327" s="3201" t="s">
        <v>3154</v>
      </c>
      <c r="C327" s="3202">
        <v>0.15</v>
      </c>
      <c r="D327" s="3202">
        <v>0.15</v>
      </c>
      <c r="E327" s="3202">
        <v>0.15</v>
      </c>
      <c r="F327" s="3202">
        <v>0.15</v>
      </c>
      <c r="G327" s="3203">
        <v>0.15</v>
      </c>
    </row>
    <row r="328" spans="1:7">
      <c r="A328" s="3216" t="s">
        <v>1157</v>
      </c>
      <c r="B328" s="3205" t="s">
        <v>981</v>
      </c>
      <c r="C328" s="3206">
        <v>0.15</v>
      </c>
      <c r="D328" s="3206">
        <v>0.15</v>
      </c>
      <c r="E328" s="3206">
        <v>0.15</v>
      </c>
      <c r="F328" s="3206">
        <v>0.126</v>
      </c>
      <c r="G328" s="3207">
        <v>0.15</v>
      </c>
    </row>
    <row r="329" spans="1:7">
      <c r="A329" s="3216" t="s">
        <v>1157</v>
      </c>
      <c r="B329" s="3205" t="s">
        <v>3155</v>
      </c>
      <c r="C329" s="3206">
        <v>0.15</v>
      </c>
      <c r="D329" s="3206">
        <v>0.15</v>
      </c>
      <c r="E329" s="3206">
        <v>0.15</v>
      </c>
      <c r="F329" s="3206">
        <v>0.15</v>
      </c>
      <c r="G329" s="3207">
        <v>0.15</v>
      </c>
    </row>
    <row r="330" spans="1:7">
      <c r="A330" s="3216" t="s">
        <v>1157</v>
      </c>
      <c r="B330" s="3205" t="s">
        <v>3156</v>
      </c>
      <c r="C330" s="3206">
        <v>0.15</v>
      </c>
      <c r="D330" s="3206">
        <v>0.15</v>
      </c>
      <c r="E330" s="3206">
        <v>0.15</v>
      </c>
      <c r="F330" s="3206">
        <v>0.15</v>
      </c>
      <c r="G330" s="3207">
        <v>0.15</v>
      </c>
    </row>
    <row r="331" spans="1:7">
      <c r="A331" s="3216" t="s">
        <v>1157</v>
      </c>
      <c r="B331" s="3205" t="s">
        <v>1008</v>
      </c>
      <c r="C331" s="3206">
        <v>0.15</v>
      </c>
      <c r="D331" s="3206">
        <v>0.15</v>
      </c>
      <c r="E331" s="3206">
        <v>0.15</v>
      </c>
      <c r="F331" s="3206">
        <v>0.15</v>
      </c>
      <c r="G331" s="3207">
        <v>0.15</v>
      </c>
    </row>
    <row r="332" spans="1:7">
      <c r="A332" s="3216" t="s">
        <v>1157</v>
      </c>
      <c r="B332" s="3205" t="s">
        <v>2988</v>
      </c>
      <c r="C332" s="3206">
        <v>0.15</v>
      </c>
      <c r="D332" s="3206">
        <v>0.15</v>
      </c>
      <c r="E332" s="3206">
        <v>0.15</v>
      </c>
      <c r="F332" s="3206">
        <v>0.15</v>
      </c>
      <c r="G332" s="3207">
        <v>0.15</v>
      </c>
    </row>
    <row r="333" spans="1:7">
      <c r="A333" s="3216" t="s">
        <v>1157</v>
      </c>
      <c r="B333" s="3205" t="s">
        <v>3157</v>
      </c>
      <c r="C333" s="3206">
        <v>0.14899999999999999</v>
      </c>
      <c r="D333" s="3206">
        <v>0.14899999999999999</v>
      </c>
      <c r="E333" s="3206">
        <v>0.15</v>
      </c>
      <c r="F333" s="3206">
        <v>0.11600000000000001</v>
      </c>
      <c r="G333" s="3207">
        <v>0.15</v>
      </c>
    </row>
    <row r="334" spans="1:7">
      <c r="A334" s="3216" t="s">
        <v>1157</v>
      </c>
      <c r="B334" s="3205" t="s">
        <v>1030</v>
      </c>
      <c r="C334" s="3206">
        <v>0.15</v>
      </c>
      <c r="D334" s="3206">
        <v>0.15</v>
      </c>
      <c r="E334" s="3206">
        <v>0.15</v>
      </c>
      <c r="F334" s="3206">
        <v>0.13</v>
      </c>
      <c r="G334" s="3207">
        <v>0.15</v>
      </c>
    </row>
    <row r="335" spans="1:7">
      <c r="A335" s="3216" t="s">
        <v>1157</v>
      </c>
      <c r="B335" s="3205" t="s">
        <v>1040</v>
      </c>
      <c r="C335" s="3206">
        <v>0.15</v>
      </c>
      <c r="D335" s="3206">
        <v>0.15</v>
      </c>
      <c r="E335" s="3206">
        <v>0.15</v>
      </c>
      <c r="F335" s="3206">
        <v>0.14399999999999999</v>
      </c>
      <c r="G335" s="3207">
        <v>0.15</v>
      </c>
    </row>
    <row r="336" spans="1:7">
      <c r="A336" s="3216" t="s">
        <v>1157</v>
      </c>
      <c r="B336" s="3205" t="s">
        <v>2990</v>
      </c>
      <c r="C336" s="3206">
        <v>0.15</v>
      </c>
      <c r="D336" s="3206">
        <v>0.15</v>
      </c>
      <c r="E336" s="3206">
        <v>0.15</v>
      </c>
      <c r="F336" s="3206">
        <v>0.14199999999999999</v>
      </c>
      <c r="G336" s="3207">
        <v>0.15</v>
      </c>
    </row>
    <row r="337" spans="1:7">
      <c r="A337" s="3216" t="s">
        <v>1157</v>
      </c>
      <c r="B337" s="3205" t="s">
        <v>3158</v>
      </c>
      <c r="C337" s="3206">
        <v>0.15</v>
      </c>
      <c r="D337" s="3206">
        <v>0.15</v>
      </c>
      <c r="E337" s="3206">
        <v>0.15</v>
      </c>
      <c r="F337" s="3206">
        <v>0.14499999999999999</v>
      </c>
      <c r="G337" s="3207">
        <v>0.15</v>
      </c>
    </row>
    <row r="338" spans="1:7">
      <c r="A338" s="3216" t="s">
        <v>1157</v>
      </c>
      <c r="B338" s="3205" t="s">
        <v>1068</v>
      </c>
      <c r="C338" s="3206">
        <v>0.15</v>
      </c>
      <c r="D338" s="3206">
        <v>0.15</v>
      </c>
      <c r="E338" s="3206">
        <v>0.15</v>
      </c>
      <c r="F338" s="3206">
        <v>0.15</v>
      </c>
      <c r="G338" s="3207">
        <v>0.15</v>
      </c>
    </row>
    <row r="339" spans="1:7">
      <c r="A339" s="3216" t="s">
        <v>1157</v>
      </c>
      <c r="B339" s="3205" t="s">
        <v>1076</v>
      </c>
      <c r="C339" s="3206">
        <v>0.15</v>
      </c>
      <c r="D339" s="3206">
        <v>0.15</v>
      </c>
      <c r="E339" s="3206">
        <v>0.15</v>
      </c>
      <c r="F339" s="3206">
        <v>0.14699999999999999</v>
      </c>
      <c r="G339" s="3207">
        <v>0.15</v>
      </c>
    </row>
    <row r="340" spans="1:7">
      <c r="A340" s="3216" t="s">
        <v>1157</v>
      </c>
      <c r="B340" s="3205" t="s">
        <v>3159</v>
      </c>
      <c r="C340" s="3206">
        <v>0.14599999999999999</v>
      </c>
      <c r="D340" s="3206">
        <v>0.14599999999999999</v>
      </c>
      <c r="E340" s="3206">
        <v>0.15</v>
      </c>
      <c r="F340" s="3206">
        <v>0.14099999999999999</v>
      </c>
      <c r="G340" s="3207">
        <v>0.14699999999999999</v>
      </c>
    </row>
    <row r="341" spans="1:7">
      <c r="A341" s="3216" t="s">
        <v>1157</v>
      </c>
      <c r="B341" s="3205" t="s">
        <v>1054</v>
      </c>
      <c r="C341" s="3206">
        <v>0.126</v>
      </c>
      <c r="D341" s="3206">
        <v>0.124</v>
      </c>
      <c r="E341" s="3206">
        <v>0.14099999999999999</v>
      </c>
      <c r="F341" s="3206">
        <v>0.14399999999999999</v>
      </c>
      <c r="G341" s="3207">
        <v>0.13</v>
      </c>
    </row>
    <row r="342" spans="1:7">
      <c r="A342" s="3216" t="s">
        <v>1157</v>
      </c>
      <c r="B342" s="3205" t="s">
        <v>3160</v>
      </c>
      <c r="C342" s="3206">
        <v>0.15</v>
      </c>
      <c r="D342" s="3206">
        <v>0.15</v>
      </c>
      <c r="E342" s="3206">
        <v>0.15</v>
      </c>
      <c r="F342" s="3206">
        <v>0.14399999999999999</v>
      </c>
      <c r="G342" s="3207">
        <v>0.15</v>
      </c>
    </row>
    <row r="343" spans="1:7">
      <c r="A343" s="3216" t="s">
        <v>1157</v>
      </c>
      <c r="B343" s="3205" t="s">
        <v>1105</v>
      </c>
      <c r="C343" s="3206">
        <v>0.15</v>
      </c>
      <c r="D343" s="3206">
        <v>0.15</v>
      </c>
      <c r="E343" s="3206">
        <v>0.15</v>
      </c>
      <c r="F343" s="3206">
        <v>0.128</v>
      </c>
      <c r="G343" s="3207">
        <v>0.15</v>
      </c>
    </row>
    <row r="344" spans="1:7">
      <c r="A344" s="3216" t="s">
        <v>1157</v>
      </c>
      <c r="B344" s="3205" t="s">
        <v>1113</v>
      </c>
      <c r="C344" s="3206">
        <v>0.15</v>
      </c>
      <c r="D344" s="3206">
        <v>0.15</v>
      </c>
      <c r="E344" s="3206">
        <v>0.15</v>
      </c>
      <c r="F344" s="3206">
        <v>0.14799999999999999</v>
      </c>
      <c r="G344" s="3207">
        <v>0.15</v>
      </c>
    </row>
    <row r="345" spans="1:7">
      <c r="A345" s="3216" t="s">
        <v>1157</v>
      </c>
      <c r="B345" s="3205" t="s">
        <v>2994</v>
      </c>
      <c r="C345" s="3206">
        <v>0.15</v>
      </c>
      <c r="D345" s="3206">
        <v>0.15</v>
      </c>
      <c r="E345" s="3206">
        <v>0.15</v>
      </c>
      <c r="F345" s="3206">
        <v>0.13800000000000001</v>
      </c>
      <c r="G345" s="3207">
        <v>0.15</v>
      </c>
    </row>
    <row r="346" spans="1:7">
      <c r="A346" s="3216" t="s">
        <v>1157</v>
      </c>
      <c r="B346" s="3205" t="s">
        <v>3161</v>
      </c>
      <c r="C346" s="3206">
        <v>0.15</v>
      </c>
      <c r="D346" s="3206">
        <v>0.15</v>
      </c>
      <c r="E346" s="3206">
        <v>0.15</v>
      </c>
      <c r="F346" s="3206">
        <v>0.14399999999999999</v>
      </c>
      <c r="G346" s="3207">
        <v>0.15</v>
      </c>
    </row>
    <row r="347" spans="1:7">
      <c r="A347" s="3216" t="s">
        <v>1157</v>
      </c>
      <c r="B347" s="3205" t="s">
        <v>1091</v>
      </c>
      <c r="C347" s="3206">
        <v>0.15</v>
      </c>
      <c r="D347" s="3206">
        <v>0.15</v>
      </c>
      <c r="E347" s="3206">
        <v>0.15</v>
      </c>
      <c r="F347" s="3206">
        <v>0.14599999999999999</v>
      </c>
      <c r="G347" s="3207">
        <v>0.15</v>
      </c>
    </row>
    <row r="348" spans="1:7">
      <c r="A348" s="3216" t="s">
        <v>1157</v>
      </c>
      <c r="B348" s="3205" t="s">
        <v>2996</v>
      </c>
      <c r="C348" s="3206">
        <v>0.15</v>
      </c>
      <c r="D348" s="3206">
        <v>0.15</v>
      </c>
      <c r="E348" s="3206">
        <v>0.15</v>
      </c>
      <c r="F348" s="3206">
        <v>0.14399999999999999</v>
      </c>
      <c r="G348" s="3207">
        <v>0.15</v>
      </c>
    </row>
    <row r="349" spans="1:7">
      <c r="A349" s="3216" t="s">
        <v>1157</v>
      </c>
      <c r="B349" s="3205" t="s">
        <v>2997</v>
      </c>
      <c r="C349" s="3206">
        <v>0.15</v>
      </c>
      <c r="D349" s="3206">
        <v>0.15</v>
      </c>
      <c r="E349" s="3206">
        <v>0.15</v>
      </c>
      <c r="F349" s="3206">
        <v>0.15</v>
      </c>
      <c r="G349" s="3207">
        <v>0.15</v>
      </c>
    </row>
    <row r="350" spans="1:7">
      <c r="A350" s="3216" t="s">
        <v>1157</v>
      </c>
      <c r="B350" s="3205" t="s">
        <v>3162</v>
      </c>
      <c r="C350" s="3206">
        <v>0.15</v>
      </c>
      <c r="D350" s="3206">
        <v>0.15</v>
      </c>
      <c r="E350" s="3206">
        <v>0.15</v>
      </c>
      <c r="F350" s="3206">
        <v>0.14699999999999999</v>
      </c>
      <c r="G350" s="3207">
        <v>0.15</v>
      </c>
    </row>
    <row r="351" spans="1:7">
      <c r="A351" s="3216" t="s">
        <v>1157</v>
      </c>
      <c r="B351" s="3205" t="s">
        <v>2999</v>
      </c>
      <c r="C351" s="3206">
        <v>0.15</v>
      </c>
      <c r="D351" s="3206">
        <v>0.15</v>
      </c>
      <c r="E351" s="3206">
        <v>0.15</v>
      </c>
      <c r="F351" s="3206">
        <v>0.13</v>
      </c>
      <c r="G351" s="3207">
        <v>0.15</v>
      </c>
    </row>
    <row r="352" spans="1:7">
      <c r="A352" s="3216" t="s">
        <v>1157</v>
      </c>
      <c r="B352" s="3205" t="s">
        <v>3000</v>
      </c>
      <c r="C352" s="3206">
        <v>0.15</v>
      </c>
      <c r="D352" s="3206">
        <v>0.15</v>
      </c>
      <c r="E352" s="3206">
        <v>0.15</v>
      </c>
      <c r="F352" s="3206">
        <v>0.14599999999999999</v>
      </c>
      <c r="G352" s="3207">
        <v>0.15</v>
      </c>
    </row>
    <row r="353" spans="1:7">
      <c r="A353" s="3216" t="s">
        <v>1157</v>
      </c>
      <c r="B353" s="3205" t="s">
        <v>3163</v>
      </c>
      <c r="C353" s="3206">
        <v>0.15</v>
      </c>
      <c r="D353" s="3206">
        <v>0.15</v>
      </c>
      <c r="E353" s="3206">
        <v>0.15</v>
      </c>
      <c r="F353" s="3206">
        <v>0.14499999999999999</v>
      </c>
      <c r="G353" s="3207">
        <v>0.15</v>
      </c>
    </row>
    <row r="354" spans="1:7">
      <c r="A354" s="3216" t="s">
        <v>1157</v>
      </c>
      <c r="B354" s="3205" t="s">
        <v>1129</v>
      </c>
      <c r="C354" s="3206">
        <v>0.15</v>
      </c>
      <c r="D354" s="3206">
        <v>0.15</v>
      </c>
      <c r="E354" s="3206">
        <v>0.15</v>
      </c>
      <c r="F354" s="3206">
        <v>0.14099999999999999</v>
      </c>
      <c r="G354" s="3207">
        <v>0.15</v>
      </c>
    </row>
    <row r="355" spans="1:7">
      <c r="A355" s="3216" t="s">
        <v>1157</v>
      </c>
      <c r="B355" s="3205" t="s">
        <v>3002</v>
      </c>
      <c r="C355" s="3206">
        <v>0.15</v>
      </c>
      <c r="D355" s="3206">
        <v>0.15</v>
      </c>
      <c r="E355" s="3206">
        <v>0.15</v>
      </c>
      <c r="F355" s="3206">
        <v>0.15</v>
      </c>
      <c r="G355" s="3207">
        <v>0.15</v>
      </c>
    </row>
    <row r="356" spans="1:7">
      <c r="A356" s="3216" t="s">
        <v>1157</v>
      </c>
      <c r="B356" s="3205" t="s">
        <v>3003</v>
      </c>
      <c r="C356" s="3206">
        <v>0.15</v>
      </c>
      <c r="D356" s="3206">
        <v>0.15</v>
      </c>
      <c r="E356" s="3206">
        <v>0.15</v>
      </c>
      <c r="F356" s="3206">
        <v>0.15</v>
      </c>
      <c r="G356" s="3207">
        <v>0.15</v>
      </c>
    </row>
    <row r="357" spans="1:7" ht="15" thickBot="1">
      <c r="A357" s="3219" t="s">
        <v>1157</v>
      </c>
      <c r="B357" s="3209" t="s">
        <v>3164</v>
      </c>
      <c r="C357" s="3210">
        <v>0.126</v>
      </c>
      <c r="D357" s="3210">
        <v>0.127</v>
      </c>
      <c r="E357" s="3210">
        <v>0.14299999999999999</v>
      </c>
      <c r="F357" s="3210">
        <v>0.125</v>
      </c>
      <c r="G357" s="3212">
        <v>0.129</v>
      </c>
    </row>
    <row r="358" spans="1:7">
      <c r="A358" s="3215" t="s">
        <v>3165</v>
      </c>
      <c r="B358" s="3201" t="s">
        <v>3166</v>
      </c>
      <c r="C358" s="3202">
        <v>0.15</v>
      </c>
      <c r="D358" s="3202">
        <v>0.15</v>
      </c>
      <c r="E358" s="3202">
        <v>0.15</v>
      </c>
      <c r="F358" s="3202">
        <v>0.15</v>
      </c>
      <c r="G358" s="3203">
        <v>0.15</v>
      </c>
    </row>
    <row r="359" spans="1:7">
      <c r="A359" s="3216" t="s">
        <v>3165</v>
      </c>
      <c r="B359" s="3205" t="s">
        <v>3167</v>
      </c>
      <c r="C359" s="3206">
        <v>0.1</v>
      </c>
      <c r="D359" s="3206">
        <v>0.1</v>
      </c>
      <c r="E359" s="3206">
        <v>0.1</v>
      </c>
      <c r="F359" s="3206">
        <v>0.1</v>
      </c>
      <c r="G359" s="3207">
        <v>0.1</v>
      </c>
    </row>
    <row r="360" spans="1:7">
      <c r="A360" s="3216" t="s">
        <v>3165</v>
      </c>
      <c r="B360" s="3205" t="s">
        <v>3168</v>
      </c>
      <c r="C360" s="3206">
        <v>0.15</v>
      </c>
      <c r="D360" s="3206">
        <v>0.15</v>
      </c>
      <c r="E360" s="3206">
        <v>0.15</v>
      </c>
      <c r="F360" s="3206">
        <v>0.14899999999999999</v>
      </c>
      <c r="G360" s="3207">
        <v>0.15</v>
      </c>
    </row>
    <row r="361" spans="1:7">
      <c r="A361" s="3216" t="s">
        <v>3165</v>
      </c>
      <c r="B361" s="3205" t="s">
        <v>999</v>
      </c>
      <c r="C361" s="3206">
        <v>0.15</v>
      </c>
      <c r="D361" s="3206">
        <v>0.15</v>
      </c>
      <c r="E361" s="3206">
        <v>0.15</v>
      </c>
      <c r="F361" s="3206">
        <v>0.115</v>
      </c>
      <c r="G361" s="3207">
        <v>0.15</v>
      </c>
    </row>
    <row r="362" spans="1:7">
      <c r="A362" s="3216" t="s">
        <v>3165</v>
      </c>
      <c r="B362" s="3205" t="s">
        <v>3169</v>
      </c>
      <c r="C362" s="3206">
        <v>0.15</v>
      </c>
      <c r="D362" s="3206">
        <v>0.15</v>
      </c>
      <c r="E362" s="3206">
        <v>0.15</v>
      </c>
      <c r="F362" s="3206">
        <v>0.106</v>
      </c>
      <c r="G362" s="3207">
        <v>0.15</v>
      </c>
    </row>
    <row r="363" spans="1:7">
      <c r="A363" s="3216" t="s">
        <v>3165</v>
      </c>
      <c r="B363" s="3205" t="s">
        <v>3009</v>
      </c>
      <c r="C363" s="3206">
        <v>0.15</v>
      </c>
      <c r="D363" s="3206">
        <v>0.15</v>
      </c>
      <c r="E363" s="3206">
        <v>0.15</v>
      </c>
      <c r="F363" s="3206">
        <v>0.14699999999999999</v>
      </c>
      <c r="G363" s="3207">
        <v>0.15</v>
      </c>
    </row>
    <row r="364" spans="1:7">
      <c r="A364" s="3216" t="s">
        <v>3165</v>
      </c>
      <c r="B364" s="3205" t="s">
        <v>3170</v>
      </c>
      <c r="C364" s="3206">
        <v>0.15</v>
      </c>
      <c r="D364" s="3206">
        <v>0.15</v>
      </c>
      <c r="E364" s="3206">
        <v>0.15</v>
      </c>
      <c r="F364" s="3206">
        <v>0.14799999999999999</v>
      </c>
      <c r="G364" s="3207">
        <v>0.15</v>
      </c>
    </row>
    <row r="365" spans="1:7">
      <c r="A365" s="3216" t="s">
        <v>3165</v>
      </c>
      <c r="B365" s="3205" t="s">
        <v>1047</v>
      </c>
      <c r="C365" s="3206">
        <v>0.15</v>
      </c>
      <c r="D365" s="3206">
        <v>0.15</v>
      </c>
      <c r="E365" s="3206">
        <v>0.15</v>
      </c>
      <c r="F365" s="3206">
        <v>0.15</v>
      </c>
      <c r="G365" s="3207">
        <v>0.15</v>
      </c>
    </row>
    <row r="366" spans="1:7">
      <c r="A366" s="3216" t="s">
        <v>3165</v>
      </c>
      <c r="B366" s="3205" t="s">
        <v>3011</v>
      </c>
      <c r="C366" s="3206">
        <v>0.15</v>
      </c>
      <c r="D366" s="3206">
        <v>0.15</v>
      </c>
      <c r="E366" s="3206">
        <v>0.15</v>
      </c>
      <c r="F366" s="3206">
        <v>0.15</v>
      </c>
      <c r="G366" s="3207">
        <v>0.15</v>
      </c>
    </row>
    <row r="367" spans="1:7">
      <c r="A367" s="3216" t="s">
        <v>3165</v>
      </c>
      <c r="B367" s="3205" t="s">
        <v>3171</v>
      </c>
      <c r="C367" s="3206">
        <v>0.15</v>
      </c>
      <c r="D367" s="3206">
        <v>0.15</v>
      </c>
      <c r="E367" s="3206">
        <v>0.15</v>
      </c>
      <c r="F367" s="3206">
        <v>0.14699999999999999</v>
      </c>
      <c r="G367" s="3207">
        <v>0.15</v>
      </c>
    </row>
    <row r="368" spans="1:7">
      <c r="A368" s="3216" t="s">
        <v>3165</v>
      </c>
      <c r="B368" s="3205" t="s">
        <v>3172</v>
      </c>
      <c r="C368" s="3206">
        <v>0.15</v>
      </c>
      <c r="D368" s="3206">
        <v>0.15</v>
      </c>
      <c r="E368" s="3206">
        <v>0.15</v>
      </c>
      <c r="F368" s="3206">
        <v>0.13600000000000001</v>
      </c>
      <c r="G368" s="3207">
        <v>0.15</v>
      </c>
    </row>
    <row r="369" spans="1:7">
      <c r="A369" s="3216" t="s">
        <v>3165</v>
      </c>
      <c r="B369" s="3205" t="s">
        <v>1061</v>
      </c>
      <c r="C369" s="3206">
        <v>0.15</v>
      </c>
      <c r="D369" s="3206">
        <v>0.15</v>
      </c>
      <c r="E369" s="3206">
        <v>0.15</v>
      </c>
      <c r="F369" s="3206">
        <v>0.14399999999999999</v>
      </c>
      <c r="G369" s="3207">
        <v>0.15</v>
      </c>
    </row>
    <row r="370" spans="1:7">
      <c r="A370" s="3216" t="s">
        <v>3165</v>
      </c>
      <c r="B370" s="3205" t="s">
        <v>1069</v>
      </c>
      <c r="C370" s="3206">
        <v>0.15</v>
      </c>
      <c r="D370" s="3206">
        <v>0.15</v>
      </c>
      <c r="E370" s="3206">
        <v>0.15</v>
      </c>
      <c r="F370" s="3206">
        <v>0.14599999999999999</v>
      </c>
      <c r="G370" s="3207">
        <v>0.15</v>
      </c>
    </row>
    <row r="371" spans="1:7">
      <c r="A371" s="3216" t="s">
        <v>3165</v>
      </c>
      <c r="B371" s="3205" t="s">
        <v>1077</v>
      </c>
      <c r="C371" s="3206">
        <v>0.15</v>
      </c>
      <c r="D371" s="3206">
        <v>0.15</v>
      </c>
      <c r="E371" s="3206">
        <v>0.15</v>
      </c>
      <c r="F371" s="3206">
        <v>0.12</v>
      </c>
      <c r="G371" s="3207">
        <v>0.15</v>
      </c>
    </row>
    <row r="372" spans="1:7">
      <c r="A372" s="3216" t="s">
        <v>3165</v>
      </c>
      <c r="B372" s="3205" t="s">
        <v>3173</v>
      </c>
      <c r="C372" s="3206">
        <v>0.15</v>
      </c>
      <c r="D372" s="3206">
        <v>0.15</v>
      </c>
      <c r="E372" s="3206">
        <v>0.15</v>
      </c>
      <c r="F372" s="3206">
        <v>0.14299999999999999</v>
      </c>
      <c r="G372" s="3207">
        <v>0.15</v>
      </c>
    </row>
    <row r="373" spans="1:7">
      <c r="A373" s="3216" t="s">
        <v>3165</v>
      </c>
      <c r="B373" s="3205" t="s">
        <v>1106</v>
      </c>
      <c r="C373" s="3206">
        <v>0.15</v>
      </c>
      <c r="D373" s="3206">
        <v>0.15</v>
      </c>
      <c r="E373" s="3206">
        <v>0.15</v>
      </c>
      <c r="F373" s="3206">
        <v>0.14599999999999999</v>
      </c>
      <c r="G373" s="3207">
        <v>0.15</v>
      </c>
    </row>
    <row r="374" spans="1:7">
      <c r="A374" s="3216" t="s">
        <v>3165</v>
      </c>
      <c r="B374" s="3205" t="s">
        <v>1114</v>
      </c>
      <c r="C374" s="3206">
        <v>0.15</v>
      </c>
      <c r="D374" s="3206">
        <v>0.15</v>
      </c>
      <c r="E374" s="3206">
        <v>0.15</v>
      </c>
      <c r="F374" s="3206">
        <v>0.14399999999999999</v>
      </c>
      <c r="G374" s="3207">
        <v>0.15</v>
      </c>
    </row>
    <row r="375" spans="1:7">
      <c r="A375" s="3216" t="s">
        <v>3165</v>
      </c>
      <c r="B375" s="3205" t="s">
        <v>3174</v>
      </c>
      <c r="C375" s="3206">
        <v>0.15</v>
      </c>
      <c r="D375" s="3206">
        <v>0.15</v>
      </c>
      <c r="E375" s="3206">
        <v>0.15</v>
      </c>
      <c r="F375" s="3206">
        <v>0.13</v>
      </c>
      <c r="G375" s="3207">
        <v>0.15</v>
      </c>
    </row>
    <row r="376" spans="1:7">
      <c r="A376" s="3216" t="s">
        <v>3165</v>
      </c>
      <c r="B376" s="3205" t="s">
        <v>1126</v>
      </c>
      <c r="C376" s="3206">
        <v>0.15</v>
      </c>
      <c r="D376" s="3206">
        <v>0.15</v>
      </c>
      <c r="E376" s="3206">
        <v>0.15</v>
      </c>
      <c r="F376" s="3206">
        <v>0.14199999999999999</v>
      </c>
      <c r="G376" s="3207">
        <v>0.15</v>
      </c>
    </row>
    <row r="377" spans="1:7" ht="15" thickBot="1">
      <c r="A377" s="3219" t="s">
        <v>3165</v>
      </c>
      <c r="B377" s="3209" t="s">
        <v>3016</v>
      </c>
      <c r="C377" s="3210">
        <v>0.15</v>
      </c>
      <c r="D377" s="3210">
        <v>0.15</v>
      </c>
      <c r="E377" s="3210">
        <v>0.15</v>
      </c>
      <c r="F377" s="3210">
        <v>0.14000000000000001</v>
      </c>
      <c r="G377" s="3212">
        <v>0.15</v>
      </c>
    </row>
    <row r="378" spans="1:7">
      <c r="A378" s="3215" t="s">
        <v>3175</v>
      </c>
      <c r="B378" s="3201" t="s">
        <v>3176</v>
      </c>
      <c r="C378" s="3202">
        <v>0.15</v>
      </c>
      <c r="D378" s="3202">
        <v>0.15</v>
      </c>
      <c r="E378" s="3202">
        <v>0.15</v>
      </c>
      <c r="F378" s="3202">
        <v>0.107</v>
      </c>
      <c r="G378" s="3203">
        <v>0.15</v>
      </c>
    </row>
    <row r="379" spans="1:7">
      <c r="A379" s="3216" t="s">
        <v>3175</v>
      </c>
      <c r="B379" s="3205" t="s">
        <v>3177</v>
      </c>
      <c r="C379" s="3206">
        <v>0.15</v>
      </c>
      <c r="D379" s="3206">
        <v>0.15</v>
      </c>
      <c r="E379" s="3206">
        <v>0.15</v>
      </c>
      <c r="F379" s="3206">
        <v>0.115</v>
      </c>
      <c r="G379" s="3207">
        <v>0.14899999999999999</v>
      </c>
    </row>
    <row r="380" spans="1:7">
      <c r="A380" s="3216" t="s">
        <v>3178</v>
      </c>
      <c r="B380" s="3205" t="s">
        <v>3179</v>
      </c>
      <c r="C380" s="3206">
        <v>0.15</v>
      </c>
      <c r="D380" s="3206">
        <v>0.15</v>
      </c>
      <c r="E380" s="3206">
        <v>0.15</v>
      </c>
      <c r="F380" s="3206">
        <v>0.1</v>
      </c>
      <c r="G380" s="3207">
        <v>0.14799999999999999</v>
      </c>
    </row>
    <row r="381" spans="1:7">
      <c r="A381" s="3216" t="s">
        <v>3178</v>
      </c>
      <c r="B381" s="3205" t="s">
        <v>3180</v>
      </c>
      <c r="C381" s="3206">
        <v>0.15</v>
      </c>
      <c r="D381" s="3206">
        <v>0.15</v>
      </c>
      <c r="E381" s="3206">
        <v>0.15</v>
      </c>
      <c r="F381" s="3206">
        <v>0.126</v>
      </c>
      <c r="G381" s="3207">
        <v>0.15</v>
      </c>
    </row>
    <row r="382" spans="1:7">
      <c r="A382" s="3216" t="s">
        <v>3178</v>
      </c>
      <c r="B382" s="3205" t="s">
        <v>3181</v>
      </c>
      <c r="C382" s="3206">
        <v>0.15</v>
      </c>
      <c r="D382" s="3206">
        <v>0.15</v>
      </c>
      <c r="E382" s="3206">
        <v>0.15</v>
      </c>
      <c r="F382" s="3206">
        <v>0.15</v>
      </c>
      <c r="G382" s="3207">
        <v>0.15</v>
      </c>
    </row>
    <row r="383" spans="1:7">
      <c r="A383" s="3216" t="s">
        <v>3178</v>
      </c>
      <c r="B383" s="3205" t="s">
        <v>3182</v>
      </c>
      <c r="C383" s="3206">
        <v>0.15</v>
      </c>
      <c r="D383" s="3206">
        <v>0.15</v>
      </c>
      <c r="E383" s="3206">
        <v>0.15</v>
      </c>
      <c r="F383" s="3206">
        <v>0.14699999999999999</v>
      </c>
      <c r="G383" s="3207">
        <v>0.15</v>
      </c>
    </row>
    <row r="384" spans="1:7" ht="15" thickBot="1">
      <c r="A384" s="3226" t="s">
        <v>3178</v>
      </c>
      <c r="B384" s="3227" t="s">
        <v>3183</v>
      </c>
      <c r="C384" s="3228">
        <v>0.15</v>
      </c>
      <c r="D384" s="3228">
        <v>0.15</v>
      </c>
      <c r="E384" s="3228">
        <v>0.15</v>
      </c>
      <c r="F384" s="3228">
        <v>0.15</v>
      </c>
      <c r="G384" s="3229">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3.2"/>
  <cols>
    <col min="1" max="1" width="9" style="2440"/>
    <col min="2" max="6" width="9" style="2440" customWidth="1"/>
    <col min="7" max="7" width="9" style="2465" customWidth="1"/>
    <col min="8" max="12" width="9" style="2440" customWidth="1"/>
    <col min="13" max="13" width="2.21875" style="2440" customWidth="1"/>
    <col min="14" max="14" width="9" style="2465" customWidth="1"/>
    <col min="15" max="17" width="9" style="2440" customWidth="1"/>
    <col min="18" max="18" width="2.33203125" style="2440" customWidth="1"/>
    <col min="19" max="19" width="7.109375" style="2465" customWidth="1"/>
    <col min="20" max="22" width="7.109375" style="2440" customWidth="1"/>
    <col min="23" max="23" width="24" style="2440" customWidth="1"/>
    <col min="24" max="25" width="9" style="2440"/>
    <col min="26" max="27" width="11.6640625" style="2440" customWidth="1"/>
    <col min="28" max="28" width="9" style="2440"/>
    <col min="29" max="29" width="2" style="2440" customWidth="1"/>
    <col min="30" max="16384" width="9" style="2440"/>
  </cols>
  <sheetData>
    <row r="1" spans="1:34" s="2421" customFormat="1">
      <c r="B1" s="3701" t="s">
        <v>1858</v>
      </c>
      <c r="C1" s="3701"/>
      <c r="D1" s="3701"/>
      <c r="E1" s="3701"/>
      <c r="F1" s="3701"/>
      <c r="G1" s="3700" t="s">
        <v>1859</v>
      </c>
      <c r="H1" s="3700"/>
      <c r="I1" s="3700"/>
      <c r="J1" s="3700"/>
      <c r="K1" s="3700"/>
      <c r="L1" s="3700"/>
      <c r="N1" s="3700" t="s">
        <v>1860</v>
      </c>
      <c r="O1" s="3700"/>
      <c r="P1" s="3700"/>
      <c r="Q1" s="3700"/>
      <c r="S1" s="3700" t="s">
        <v>1861</v>
      </c>
      <c r="T1" s="3700"/>
      <c r="U1" s="3700"/>
      <c r="V1" s="3700"/>
      <c r="X1" s="3699" t="s">
        <v>1921</v>
      </c>
      <c r="Y1" s="3700"/>
      <c r="Z1" s="3700"/>
      <c r="AA1" s="3700"/>
      <c r="AB1" s="3700"/>
      <c r="AD1" s="3699" t="s">
        <v>1925</v>
      </c>
      <c r="AE1" s="3700"/>
      <c r="AF1" s="3700"/>
      <c r="AG1" s="3700"/>
      <c r="AH1" s="3700"/>
    </row>
    <row r="2" spans="1:34" s="2422" customFormat="1" ht="15" thickBot="1">
      <c r="B2" s="2423" t="s">
        <v>1862</v>
      </c>
      <c r="C2" s="2423" t="s">
        <v>1923</v>
      </c>
      <c r="D2" s="2424" t="s">
        <v>1179</v>
      </c>
      <c r="E2" s="2424" t="s">
        <v>1469</v>
      </c>
      <c r="F2" s="2423" t="s">
        <v>1924</v>
      </c>
      <c r="G2" s="2425"/>
      <c r="I2" s="2423" t="s">
        <v>2217</v>
      </c>
      <c r="J2" s="2424" t="s">
        <v>2219</v>
      </c>
      <c r="K2" s="2424" t="s">
        <v>2220</v>
      </c>
      <c r="L2" s="2423" t="s">
        <v>2221</v>
      </c>
      <c r="N2" s="2423" t="s">
        <v>1862</v>
      </c>
      <c r="O2" s="2424" t="s">
        <v>2218</v>
      </c>
      <c r="P2" s="2424" t="s">
        <v>1469</v>
      </c>
      <c r="Q2" s="2423" t="s">
        <v>1924</v>
      </c>
      <c r="S2" s="2423" t="s">
        <v>1862</v>
      </c>
      <c r="T2" s="2424" t="s">
        <v>2218</v>
      </c>
      <c r="U2" s="2424" t="s">
        <v>1469</v>
      </c>
      <c r="V2" s="2423" t="s">
        <v>1924</v>
      </c>
      <c r="X2" s="2423" t="s">
        <v>1862</v>
      </c>
      <c r="Y2" s="2423" t="s">
        <v>1923</v>
      </c>
      <c r="Z2" s="2424" t="s">
        <v>1179</v>
      </c>
      <c r="AA2" s="2424" t="s">
        <v>1469</v>
      </c>
      <c r="AB2" s="2423" t="s">
        <v>1924</v>
      </c>
      <c r="AD2" s="2423" t="s">
        <v>1862</v>
      </c>
      <c r="AE2" s="2423" t="s">
        <v>1923</v>
      </c>
      <c r="AF2" s="2424" t="s">
        <v>1179</v>
      </c>
      <c r="AG2" s="2424" t="s">
        <v>1469</v>
      </c>
      <c r="AH2" s="2423" t="s">
        <v>1924</v>
      </c>
    </row>
    <row r="3" spans="1:34" s="2430" customFormat="1" ht="14.4">
      <c r="A3" s="2426" t="s">
        <v>2228</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4">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2446</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2445</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2444</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2443</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2442</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2291</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2290</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2289</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2288</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2285</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2284</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2253</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2251</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2249</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8" thickBot="1">
      <c r="A19" s="2442" t="s">
        <v>2248</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2246</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8" thickBot="1">
      <c r="A21" s="2442" t="s">
        <v>2245</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2244</v>
      </c>
      <c r="B22" s="2453">
        <f t="shared" si="11"/>
        <v>464.37293017158942</v>
      </c>
      <c r="C22" s="2453">
        <f t="shared" si="12"/>
        <v>344.73679941385956</v>
      </c>
      <c r="D22" s="2453">
        <f t="shared" si="2"/>
        <v>344.73679941385956</v>
      </c>
      <c r="E22" s="2453">
        <f t="shared" si="3"/>
        <v>663.2377795103107</v>
      </c>
      <c r="F22" s="2454">
        <f t="shared" si="4"/>
        <v>304.75936311478398</v>
      </c>
      <c r="G22" s="3703">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 customHeight="1">
      <c r="A23" s="2442" t="s">
        <v>2237</v>
      </c>
      <c r="B23" s="2443">
        <f t="shared" si="11"/>
        <v>459.95733971036987</v>
      </c>
      <c r="C23" s="2443">
        <f t="shared" si="12"/>
        <v>341.22221064422405</v>
      </c>
      <c r="D23" s="2443">
        <f t="shared" si="2"/>
        <v>341.22221064422405</v>
      </c>
      <c r="E23" s="2443">
        <f t="shared" si="3"/>
        <v>657.19161663724799</v>
      </c>
      <c r="F23" s="2443">
        <f t="shared" si="4"/>
        <v>300.87803644464805</v>
      </c>
      <c r="G23" s="3703"/>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 customHeight="1">
      <c r="A24" s="2442" t="s">
        <v>2238</v>
      </c>
      <c r="B24" s="2443">
        <f t="shared" si="11"/>
        <v>453.11529869999993</v>
      </c>
      <c r="C24" s="2443">
        <f t="shared" si="12"/>
        <v>336.47787264000004</v>
      </c>
      <c r="D24" s="2443">
        <f t="shared" si="2"/>
        <v>336.47787264000004</v>
      </c>
      <c r="E24" s="2443">
        <f t="shared" si="3"/>
        <v>647.35186823999993</v>
      </c>
      <c r="F24" s="2443">
        <f t="shared" si="4"/>
        <v>295.73229452000004</v>
      </c>
      <c r="G24" s="3703"/>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2234</v>
      </c>
      <c r="B25" s="2443">
        <f t="shared" si="11"/>
        <v>446.46299999999997</v>
      </c>
      <c r="C25" s="2443">
        <f t="shared" si="12"/>
        <v>333.27840000000003</v>
      </c>
      <c r="D25" s="2443">
        <f t="shared" ref="D25:D30" si="13">C25</f>
        <v>333.27840000000003</v>
      </c>
      <c r="E25" s="2443">
        <f t="shared" si="3"/>
        <v>637.28279999999995</v>
      </c>
      <c r="F25" s="2443">
        <f t="shared" si="4"/>
        <v>288.68830000000003</v>
      </c>
      <c r="G25" s="3709"/>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2227</v>
      </c>
      <c r="B26" s="2453">
        <v>439</v>
      </c>
      <c r="C26" s="2453">
        <v>327</v>
      </c>
      <c r="D26" s="2453">
        <f t="shared" si="13"/>
        <v>327</v>
      </c>
      <c r="E26" s="2453">
        <v>627</v>
      </c>
      <c r="F26" s="2454">
        <v>283</v>
      </c>
      <c r="G26" s="3708">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 customHeight="1">
      <c r="A27" s="2442" t="s">
        <v>2229</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703"/>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 customHeight="1">
      <c r="A28" s="2442" t="s">
        <v>1863</v>
      </c>
      <c r="B28" s="2443">
        <f t="shared" si="16"/>
        <v>419.31181600000002</v>
      </c>
      <c r="C28" s="2443">
        <f t="shared" si="16"/>
        <v>313.95436800000004</v>
      </c>
      <c r="D28" s="2443">
        <f t="shared" si="13"/>
        <v>313.95436800000004</v>
      </c>
      <c r="E28" s="2443">
        <f t="shared" si="17"/>
        <v>596.63028431999999</v>
      </c>
      <c r="F28" s="2443">
        <f t="shared" si="17"/>
        <v>274.74220703999998</v>
      </c>
      <c r="G28" s="3703"/>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1864</v>
      </c>
      <c r="B29" s="2443">
        <f t="shared" si="16"/>
        <v>405.524</v>
      </c>
      <c r="C29" s="2443">
        <f t="shared" si="16"/>
        <v>307.79840000000002</v>
      </c>
      <c r="D29" s="2443">
        <f t="shared" si="13"/>
        <v>307.79840000000002</v>
      </c>
      <c r="E29" s="2443">
        <f t="shared" si="17"/>
        <v>574.67759999999998</v>
      </c>
      <c r="F29" s="2443">
        <f t="shared" si="17"/>
        <v>270.20280000000002</v>
      </c>
      <c r="G29" s="3709"/>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708">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703"/>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703"/>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8"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704"/>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8" thickBot="1">
      <c r="A34" s="2442" t="s">
        <v>892</v>
      </c>
      <c r="B34" s="2461">
        <v>333</v>
      </c>
      <c r="C34" s="2461">
        <v>277</v>
      </c>
      <c r="D34" s="2461">
        <f t="shared" si="20"/>
        <v>277</v>
      </c>
      <c r="E34" s="2461">
        <v>459</v>
      </c>
      <c r="F34" s="2462">
        <v>249</v>
      </c>
      <c r="G34" s="3702">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703"/>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703"/>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704"/>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8" thickBot="1">
      <c r="A38" s="2442" t="s">
        <v>888</v>
      </c>
      <c r="B38" s="2468">
        <v>318</v>
      </c>
      <c r="C38" s="2468">
        <v>268</v>
      </c>
      <c r="D38" s="2468">
        <f t="shared" si="20"/>
        <v>268</v>
      </c>
      <c r="E38" s="2468">
        <v>437</v>
      </c>
      <c r="F38" s="2469">
        <v>237</v>
      </c>
      <c r="G38" s="3702">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703"/>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8"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703"/>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8"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704"/>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1922</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8" thickBot="1">
      <c r="A42" s="2442" t="s">
        <v>1865</v>
      </c>
      <c r="B42" s="2461">
        <v>299</v>
      </c>
      <c r="C42" s="2461">
        <v>252</v>
      </c>
      <c r="D42" s="2461">
        <f t="shared" si="20"/>
        <v>252</v>
      </c>
      <c r="E42" s="2461">
        <v>409</v>
      </c>
      <c r="F42" s="2462">
        <v>227</v>
      </c>
      <c r="G42" s="3705">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1866</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706"/>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1867</v>
      </c>
      <c r="B44" s="2443">
        <f t="shared" si="27"/>
        <v>288.2649053828776</v>
      </c>
      <c r="C44" s="2443">
        <f t="shared" si="27"/>
        <v>243.64564425013293</v>
      </c>
      <c r="D44" s="2443">
        <f t="shared" si="20"/>
        <v>243.64564425013293</v>
      </c>
      <c r="E44" s="2443">
        <f t="shared" si="28"/>
        <v>393.31080825986544</v>
      </c>
      <c r="F44" s="2443">
        <f t="shared" si="28"/>
        <v>223.07903790551154</v>
      </c>
      <c r="G44" s="3706"/>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1868</v>
      </c>
      <c r="B45" s="2443">
        <f t="shared" si="27"/>
        <v>282.50186729015837</v>
      </c>
      <c r="C45" s="2443">
        <f t="shared" si="27"/>
        <v>238.09796174155468</v>
      </c>
      <c r="D45" s="2443">
        <f t="shared" si="20"/>
        <v>238.09796174155468</v>
      </c>
      <c r="E45" s="2443">
        <f t="shared" si="28"/>
        <v>385.33438646014054</v>
      </c>
      <c r="F45" s="2443">
        <f t="shared" si="28"/>
        <v>221.55034055567739</v>
      </c>
      <c r="G45" s="3707"/>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8" thickBot="1">
      <c r="A46" s="2442" t="s">
        <v>1869</v>
      </c>
      <c r="B46" s="2487">
        <v>278</v>
      </c>
      <c r="C46" s="2487">
        <v>234</v>
      </c>
      <c r="D46" s="2487">
        <f t="shared" si="20"/>
        <v>234</v>
      </c>
      <c r="E46" s="2487">
        <v>379</v>
      </c>
      <c r="F46" s="2488">
        <v>220</v>
      </c>
      <c r="G46" s="3702">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1870</v>
      </c>
      <c r="B47" s="2443">
        <f>B46/(1+N46)</f>
        <v>275.49301357645425</v>
      </c>
      <c r="C47" s="2443">
        <f>C46/(1+O46)</f>
        <v>232.41954707985698</v>
      </c>
      <c r="D47" s="2443">
        <f t="shared" si="20"/>
        <v>232.41954707985698</v>
      </c>
      <c r="E47" s="2443">
        <f t="shared" ref="E47:F49" si="29">E46/(1+P46)</f>
        <v>375.32184591008121</v>
      </c>
      <c r="F47" s="2443">
        <f t="shared" si="29"/>
        <v>218.03766105054513</v>
      </c>
      <c r="G47" s="3703"/>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1871</v>
      </c>
      <c r="B48" s="2443">
        <f>B47/(1+N47)</f>
        <v>275.24529281292263</v>
      </c>
      <c r="C48" s="2443">
        <f>C47/(1+O47)</f>
        <v>231.74747938962707</v>
      </c>
      <c r="D48" s="2443">
        <f t="shared" si="20"/>
        <v>231.74747938962707</v>
      </c>
      <c r="E48" s="2443">
        <f t="shared" si="29"/>
        <v>375.35938184826603</v>
      </c>
      <c r="F48" s="2443">
        <f t="shared" si="29"/>
        <v>216.78033510692495</v>
      </c>
      <c r="G48" s="3703"/>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8" thickBot="1">
      <c r="A49" s="2442" t="s">
        <v>1872</v>
      </c>
      <c r="B49" s="2443">
        <f>B48/(1+N48)</f>
        <v>275.19025476197027</v>
      </c>
      <c r="C49" s="2489">
        <v>232</v>
      </c>
      <c r="D49" s="2489">
        <f t="shared" si="20"/>
        <v>232</v>
      </c>
      <c r="E49" s="2443">
        <f t="shared" si="29"/>
        <v>375.65990977608692</v>
      </c>
      <c r="F49" s="2443">
        <f t="shared" si="29"/>
        <v>214.12518283971252</v>
      </c>
      <c r="G49" s="3704"/>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8" thickBot="1">
      <c r="A50" s="2442" t="s">
        <v>1873</v>
      </c>
      <c r="B50" s="2461">
        <v>275</v>
      </c>
      <c r="C50" s="2461">
        <v>232</v>
      </c>
      <c r="D50" s="2461">
        <f t="shared" si="20"/>
        <v>232</v>
      </c>
      <c r="E50" s="2461">
        <v>376</v>
      </c>
      <c r="F50" s="2462">
        <v>213</v>
      </c>
      <c r="G50" s="3702">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1874</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703">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1875</v>
      </c>
      <c r="B52" s="2443">
        <f t="shared" si="30"/>
        <v>275.19335084830601</v>
      </c>
      <c r="C52" s="2443">
        <f t="shared" si="30"/>
        <v>230.18088050139744</v>
      </c>
      <c r="D52" s="2443">
        <f t="shared" si="20"/>
        <v>230.18088050139744</v>
      </c>
      <c r="E52" s="2443">
        <f t="shared" si="31"/>
        <v>377.58482925212331</v>
      </c>
      <c r="F52" s="2443">
        <f t="shared" si="31"/>
        <v>210.90687997847917</v>
      </c>
      <c r="G52" s="3703">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8" thickBot="1">
      <c r="A53" s="2442" t="s">
        <v>1876</v>
      </c>
      <c r="B53" s="2443">
        <f t="shared" si="30"/>
        <v>276.29854502841971</v>
      </c>
      <c r="C53" s="2443">
        <f t="shared" si="30"/>
        <v>229.79023709833027</v>
      </c>
      <c r="D53" s="2443">
        <f t="shared" si="20"/>
        <v>229.79023709833027</v>
      </c>
      <c r="E53" s="2443">
        <f t="shared" si="31"/>
        <v>379.78759731655936</v>
      </c>
      <c r="F53" s="2443">
        <f t="shared" si="31"/>
        <v>211.32953905659235</v>
      </c>
      <c r="G53" s="3704">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8" thickBot="1">
      <c r="A54" s="2442" t="s">
        <v>1877</v>
      </c>
      <c r="B54" s="2461">
        <v>269</v>
      </c>
      <c r="C54" s="2461">
        <v>221</v>
      </c>
      <c r="D54" s="2461">
        <f t="shared" si="20"/>
        <v>221</v>
      </c>
      <c r="E54" s="2461">
        <v>373</v>
      </c>
      <c r="F54" s="2462">
        <v>196</v>
      </c>
      <c r="G54" s="3702">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1878</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703">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1879</v>
      </c>
      <c r="B56" s="2443">
        <f t="shared" si="32"/>
        <v>242.95398227588385</v>
      </c>
      <c r="C56" s="2443">
        <f t="shared" si="32"/>
        <v>199.59137053614126</v>
      </c>
      <c r="D56" s="2443">
        <f t="shared" si="20"/>
        <v>199.59137053614126</v>
      </c>
      <c r="E56" s="2443">
        <f t="shared" si="33"/>
        <v>335.92189522342125</v>
      </c>
      <c r="F56" s="2443">
        <f t="shared" si="33"/>
        <v>183.10139991109489</v>
      </c>
      <c r="G56" s="3703">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8" thickBot="1">
      <c r="A57" s="2442" t="s">
        <v>1880</v>
      </c>
      <c r="B57" s="2443">
        <f t="shared" si="32"/>
        <v>232.06990378821649</v>
      </c>
      <c r="C57" s="2443">
        <f t="shared" si="32"/>
        <v>192.74878854286936</v>
      </c>
      <c r="D57" s="2443">
        <f t="shared" si="20"/>
        <v>192.74878854286936</v>
      </c>
      <c r="E57" s="2443">
        <f t="shared" si="33"/>
        <v>319.71247284992984</v>
      </c>
      <c r="F57" s="2443">
        <f t="shared" si="33"/>
        <v>175.67053622862409</v>
      </c>
      <c r="G57" s="3704">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8" thickBot="1">
      <c r="A58" s="2442" t="s">
        <v>1881</v>
      </c>
      <c r="B58" s="2461">
        <v>220</v>
      </c>
      <c r="C58" s="2461">
        <v>187</v>
      </c>
      <c r="D58" s="2461">
        <f t="shared" si="20"/>
        <v>187</v>
      </c>
      <c r="E58" s="2461">
        <v>301</v>
      </c>
      <c r="F58" s="2462">
        <v>168</v>
      </c>
      <c r="G58" s="3702">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1882</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703">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1883</v>
      </c>
      <c r="B60" s="2443">
        <f t="shared" si="34"/>
        <v>210.630522469011</v>
      </c>
      <c r="C60" s="2443">
        <f t="shared" si="34"/>
        <v>181.69567812247232</v>
      </c>
      <c r="D60" s="2443">
        <f t="shared" si="20"/>
        <v>181.69567812247232</v>
      </c>
      <c r="E60" s="2443">
        <f t="shared" si="35"/>
        <v>286.13517466736738</v>
      </c>
      <c r="F60" s="2443">
        <f t="shared" si="35"/>
        <v>165.47535084591149</v>
      </c>
      <c r="G60" s="3703">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1884</v>
      </c>
      <c r="B61" s="2443">
        <f t="shared" si="34"/>
        <v>208.83454537875372</v>
      </c>
      <c r="C61" s="2443">
        <f t="shared" si="34"/>
        <v>183.77230517090351</v>
      </c>
      <c r="D61" s="2443">
        <f t="shared" si="20"/>
        <v>183.77230517090351</v>
      </c>
      <c r="E61" s="2443">
        <f t="shared" si="35"/>
        <v>281.10342338870947</v>
      </c>
      <c r="F61" s="2443">
        <f t="shared" si="35"/>
        <v>168.97309388942256</v>
      </c>
      <c r="G61" s="3704">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8" thickBot="1">
      <c r="A62" s="2442" t="s">
        <v>1885</v>
      </c>
      <c r="B62" s="2487">
        <v>214</v>
      </c>
      <c r="C62" s="2487">
        <v>188</v>
      </c>
      <c r="D62" s="2487">
        <f t="shared" si="20"/>
        <v>188</v>
      </c>
      <c r="E62" s="2487">
        <v>289</v>
      </c>
      <c r="F62" s="2488">
        <v>166</v>
      </c>
      <c r="G62" s="3702">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1886</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703">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1887</v>
      </c>
      <c r="B64" s="2443">
        <f t="shared" si="36"/>
        <v>206.31694671589116</v>
      </c>
      <c r="C64" s="2443">
        <f t="shared" si="36"/>
        <v>183.61041121036101</v>
      </c>
      <c r="D64" s="2443">
        <f t="shared" si="20"/>
        <v>183.61041121036101</v>
      </c>
      <c r="E64" s="2443">
        <f t="shared" si="37"/>
        <v>276.66850301795557</v>
      </c>
      <c r="F64" s="2443">
        <f t="shared" si="37"/>
        <v>165.1360938278614</v>
      </c>
      <c r="G64" s="3703">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8" thickBot="1">
      <c r="A65" s="2442" t="s">
        <v>1888</v>
      </c>
      <c r="B65" s="2490">
        <f t="shared" si="36"/>
        <v>196.62341248059772</v>
      </c>
      <c r="C65" s="2490">
        <f t="shared" si="36"/>
        <v>170.99125648199012</v>
      </c>
      <c r="D65" s="2490">
        <f t="shared" si="20"/>
        <v>170.99125648199012</v>
      </c>
      <c r="E65" s="2490">
        <f t="shared" si="37"/>
        <v>266.07857570490052</v>
      </c>
      <c r="F65" s="2490">
        <f t="shared" si="37"/>
        <v>154.53499328828505</v>
      </c>
      <c r="G65" s="3704">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8" thickBot="1">
      <c r="A66" s="2442" t="s">
        <v>1889</v>
      </c>
      <c r="B66" s="2461">
        <v>188</v>
      </c>
      <c r="C66" s="2461">
        <v>165</v>
      </c>
      <c r="D66" s="2461">
        <f t="shared" si="20"/>
        <v>165</v>
      </c>
      <c r="E66" s="2461">
        <v>254</v>
      </c>
      <c r="F66" s="2462">
        <v>148</v>
      </c>
      <c r="G66" s="3702">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1890</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703">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1891</v>
      </c>
      <c r="B68" s="2443">
        <f t="shared" si="40"/>
        <v>168.82017748715555</v>
      </c>
      <c r="C68" s="2443">
        <f t="shared" si="40"/>
        <v>148.06267029972753</v>
      </c>
      <c r="D68" s="2443">
        <f t="shared" si="20"/>
        <v>148.06267029972753</v>
      </c>
      <c r="E68" s="2443">
        <f t="shared" si="41"/>
        <v>216.46288379323747</v>
      </c>
      <c r="F68" s="2443">
        <f t="shared" si="41"/>
        <v>134.23529411764704</v>
      </c>
      <c r="G68" s="3703">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1892</v>
      </c>
      <c r="B69" s="2443">
        <f t="shared" si="40"/>
        <v>163.84913591779542</v>
      </c>
      <c r="C69" s="2443">
        <f t="shared" si="40"/>
        <v>145.0283378746594</v>
      </c>
      <c r="D69" s="2443">
        <f t="shared" si="20"/>
        <v>145.0283378746594</v>
      </c>
      <c r="E69" s="2443">
        <f t="shared" si="41"/>
        <v>204.95180722891567</v>
      </c>
      <c r="F69" s="2443">
        <f t="shared" si="41"/>
        <v>125.95920303605313</v>
      </c>
      <c r="G69" s="3704">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8" thickBot="1">
      <c r="A70" s="2442" t="s">
        <v>1893</v>
      </c>
      <c r="B70" s="2468">
        <v>159</v>
      </c>
      <c r="C70" s="2468">
        <v>141</v>
      </c>
      <c r="D70" s="2468">
        <f t="shared" si="20"/>
        <v>141</v>
      </c>
      <c r="E70" s="2468">
        <v>195</v>
      </c>
      <c r="F70" s="2469">
        <v>122</v>
      </c>
      <c r="G70" s="3702">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1894</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703">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1895</v>
      </c>
      <c r="B72" s="2443">
        <f t="shared" si="44"/>
        <v>146.57412060301507</v>
      </c>
      <c r="C72" s="2443">
        <f t="shared" si="44"/>
        <v>136.46831955922866</v>
      </c>
      <c r="D72" s="2443">
        <f t="shared" si="20"/>
        <v>136.46831955922866</v>
      </c>
      <c r="E72" s="2443">
        <f t="shared" si="45"/>
        <v>166.73864894795128</v>
      </c>
      <c r="F72" s="2443">
        <f t="shared" si="45"/>
        <v>115.05882352941177</v>
      </c>
      <c r="G72" s="3703">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1896</v>
      </c>
      <c r="B73" s="2443">
        <f t="shared" si="44"/>
        <v>144.04145728643215</v>
      </c>
      <c r="C73" s="2443">
        <f t="shared" si="44"/>
        <v>136.12396694214877</v>
      </c>
      <c r="D73" s="2443">
        <f t="shared" si="20"/>
        <v>136.12396694214877</v>
      </c>
      <c r="E73" s="2443">
        <f t="shared" si="45"/>
        <v>158.32225913621264</v>
      </c>
      <c r="F73" s="2443">
        <f t="shared" si="45"/>
        <v>114.04278074866311</v>
      </c>
      <c r="G73" s="3704">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8" thickBot="1">
      <c r="A74" s="2442" t="s">
        <v>1897</v>
      </c>
      <c r="B74" s="2468">
        <v>138</v>
      </c>
      <c r="C74" s="2468">
        <v>131</v>
      </c>
      <c r="D74" s="2468">
        <f t="shared" si="20"/>
        <v>131</v>
      </c>
      <c r="E74" s="2468">
        <v>155</v>
      </c>
      <c r="F74" s="2469">
        <v>114</v>
      </c>
      <c r="G74" s="3702">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1898</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703">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1899</v>
      </c>
      <c r="B76" s="2443">
        <f t="shared" si="48"/>
        <v>124.29032258064517</v>
      </c>
      <c r="C76" s="2443">
        <f t="shared" si="48"/>
        <v>123.8968609865471</v>
      </c>
      <c r="D76" s="2443">
        <f t="shared" si="20"/>
        <v>123.8968609865471</v>
      </c>
      <c r="E76" s="2443">
        <f t="shared" si="49"/>
        <v>138.00507614213197</v>
      </c>
      <c r="F76" s="2443">
        <f t="shared" si="49"/>
        <v>107.96106557377048</v>
      </c>
      <c r="G76" s="3703">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1900</v>
      </c>
      <c r="B77" s="2443">
        <f t="shared" si="48"/>
        <v>122.57204301075269</v>
      </c>
      <c r="C77" s="2443">
        <f t="shared" si="48"/>
        <v>123.4932735426009</v>
      </c>
      <c r="D77" s="2443">
        <f t="shared" si="20"/>
        <v>123.4932735426009</v>
      </c>
      <c r="E77" s="2443">
        <f t="shared" si="49"/>
        <v>129.82233502538071</v>
      </c>
      <c r="F77" s="2443">
        <f t="shared" si="49"/>
        <v>107.39446721311475</v>
      </c>
      <c r="G77" s="3704">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8" thickBot="1">
      <c r="A78" s="2442" t="s">
        <v>1901</v>
      </c>
      <c r="B78" s="2487">
        <v>121</v>
      </c>
      <c r="C78" s="2487">
        <v>122</v>
      </c>
      <c r="D78" s="2487">
        <f t="shared" si="20"/>
        <v>122</v>
      </c>
      <c r="E78" s="2487">
        <v>124</v>
      </c>
      <c r="F78" s="2488">
        <v>107</v>
      </c>
      <c r="G78" s="3702">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1902</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703">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1903</v>
      </c>
      <c r="B80" s="2443">
        <f t="shared" si="52"/>
        <v>116.99099099099099</v>
      </c>
      <c r="C80" s="2443">
        <f t="shared" si="52"/>
        <v>118.84848484848486</v>
      </c>
      <c r="D80" s="2443">
        <f t="shared" si="20"/>
        <v>118.84848484848486</v>
      </c>
      <c r="E80" s="2443">
        <f t="shared" si="53"/>
        <v>117.60960960960961</v>
      </c>
      <c r="F80" s="2443">
        <f t="shared" si="53"/>
        <v>104</v>
      </c>
      <c r="G80" s="3703">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8" thickBot="1">
      <c r="A81" s="2442" t="s">
        <v>1904</v>
      </c>
      <c r="B81" s="2490">
        <f t="shared" si="52"/>
        <v>112.48648648648648</v>
      </c>
      <c r="C81" s="2490">
        <f t="shared" si="52"/>
        <v>115.21212121212122</v>
      </c>
      <c r="D81" s="2490">
        <f t="shared" si="20"/>
        <v>115.21212121212122</v>
      </c>
      <c r="E81" s="2490">
        <f t="shared" si="53"/>
        <v>110.4024024024024</v>
      </c>
      <c r="F81" s="2490">
        <f t="shared" si="53"/>
        <v>104</v>
      </c>
      <c r="G81" s="3704">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8" thickBot="1">
      <c r="A82" s="2442" t="s">
        <v>1905</v>
      </c>
      <c r="B82" s="2507">
        <v>111</v>
      </c>
      <c r="C82" s="2507">
        <v>114</v>
      </c>
      <c r="D82" s="2507">
        <f t="shared" si="20"/>
        <v>114</v>
      </c>
      <c r="E82" s="2507">
        <v>108</v>
      </c>
      <c r="F82" s="2508">
        <v>104</v>
      </c>
      <c r="G82" s="3702">
        <v>2003</v>
      </c>
      <c r="H82" s="2497">
        <v>4</v>
      </c>
      <c r="I82" s="2509"/>
      <c r="J82" s="2509"/>
      <c r="K82" s="2509"/>
      <c r="L82" s="2509"/>
      <c r="N82" s="2510"/>
      <c r="O82" s="2509"/>
      <c r="P82" s="2509"/>
      <c r="Q82" s="2509"/>
      <c r="S82" s="2510"/>
      <c r="T82" s="2509"/>
      <c r="U82" s="2509"/>
      <c r="V82" s="2509"/>
      <c r="X82" s="2501"/>
      <c r="Y82" s="2501"/>
      <c r="Z82" s="2501"/>
    </row>
    <row r="83" spans="1:26">
      <c r="A83" s="2442" t="s">
        <v>1906</v>
      </c>
      <c r="B83" s="2511">
        <f t="shared" ref="B83:C85" si="54">B84+(B$82-B$86)/4</f>
        <v>109.75</v>
      </c>
      <c r="C83" s="2511">
        <f t="shared" si="54"/>
        <v>112.25</v>
      </c>
      <c r="D83" s="2511">
        <f t="shared" si="20"/>
        <v>112.25</v>
      </c>
      <c r="E83" s="2511">
        <f t="shared" ref="E83:F85" si="55">E84+(E$82-E$86)/4</f>
        <v>107.25</v>
      </c>
      <c r="F83" s="2511">
        <f t="shared" si="55"/>
        <v>103.5</v>
      </c>
      <c r="G83" s="3703">
        <v>2003</v>
      </c>
      <c r="H83" s="2466">
        <v>3</v>
      </c>
      <c r="I83" s="2509"/>
      <c r="J83" s="2509"/>
      <c r="K83" s="2509"/>
      <c r="L83" s="2509"/>
      <c r="X83" s="2501"/>
      <c r="Y83" s="2501"/>
      <c r="Z83" s="2501"/>
    </row>
    <row r="84" spans="1:26">
      <c r="A84" s="2442" t="s">
        <v>1907</v>
      </c>
      <c r="B84" s="2511">
        <f t="shared" si="54"/>
        <v>108.5</v>
      </c>
      <c r="C84" s="2511">
        <f t="shared" si="54"/>
        <v>110.5</v>
      </c>
      <c r="D84" s="2511">
        <f t="shared" si="20"/>
        <v>110.5</v>
      </c>
      <c r="E84" s="2511">
        <f t="shared" si="55"/>
        <v>106.5</v>
      </c>
      <c r="F84" s="2511">
        <f t="shared" si="55"/>
        <v>103</v>
      </c>
      <c r="G84" s="3703">
        <v>2003</v>
      </c>
      <c r="H84" s="2457">
        <v>2</v>
      </c>
      <c r="I84" s="2509"/>
      <c r="J84" s="2509"/>
      <c r="K84" s="2509"/>
      <c r="L84" s="2509"/>
      <c r="X84" s="2501"/>
      <c r="Y84" s="2501"/>
      <c r="Z84" s="2501"/>
    </row>
    <row r="85" spans="1:26" ht="13.8" thickBot="1">
      <c r="A85" s="2442" t="s">
        <v>1908</v>
      </c>
      <c r="B85" s="2511">
        <f t="shared" si="54"/>
        <v>107.25</v>
      </c>
      <c r="C85" s="2511">
        <f t="shared" si="54"/>
        <v>108.75</v>
      </c>
      <c r="D85" s="2511">
        <f t="shared" si="20"/>
        <v>108.75</v>
      </c>
      <c r="E85" s="2511">
        <f t="shared" si="55"/>
        <v>105.75</v>
      </c>
      <c r="F85" s="2511">
        <f t="shared" si="55"/>
        <v>102.5</v>
      </c>
      <c r="G85" s="3704">
        <v>2003</v>
      </c>
      <c r="H85" s="2512">
        <v>1</v>
      </c>
      <c r="I85" s="2509"/>
      <c r="J85" s="2509"/>
      <c r="K85" s="2509"/>
      <c r="L85" s="2509"/>
      <c r="S85" s="2445"/>
      <c r="T85" s="2441"/>
      <c r="U85" s="2441"/>
      <c r="X85" s="2501"/>
      <c r="Y85" s="2501"/>
      <c r="Z85" s="2501"/>
    </row>
    <row r="86" spans="1:26" ht="13.8" thickBot="1">
      <c r="A86" s="2442" t="s">
        <v>1909</v>
      </c>
      <c r="B86" s="2513">
        <v>106</v>
      </c>
      <c r="C86" s="2513">
        <v>107</v>
      </c>
      <c r="D86" s="2513">
        <f t="shared" si="20"/>
        <v>107</v>
      </c>
      <c r="E86" s="2513">
        <v>105</v>
      </c>
      <c r="F86" s="2514">
        <v>102</v>
      </c>
      <c r="G86" s="3702">
        <v>2002</v>
      </c>
      <c r="H86" s="2463">
        <v>4</v>
      </c>
      <c r="I86" s="2509"/>
      <c r="J86" s="2509"/>
      <c r="K86" s="2509"/>
      <c r="L86" s="2509"/>
      <c r="N86" s="2510"/>
      <c r="O86" s="2509"/>
      <c r="P86" s="2509"/>
      <c r="Q86" s="2509"/>
      <c r="S86" s="2510"/>
      <c r="T86" s="2509"/>
      <c r="U86" s="2509"/>
      <c r="V86" s="2509"/>
      <c r="X86" s="2501"/>
      <c r="Y86" s="2501"/>
      <c r="Z86" s="2501"/>
    </row>
    <row r="87" spans="1:26">
      <c r="A87" s="2442" t="s">
        <v>1910</v>
      </c>
      <c r="B87" s="2511">
        <f t="shared" ref="B87:C89" si="56">B88+(B$86-B$90)/4</f>
        <v>105</v>
      </c>
      <c r="C87" s="2511">
        <f t="shared" si="56"/>
        <v>106</v>
      </c>
      <c r="D87" s="2511">
        <f t="shared" si="20"/>
        <v>106</v>
      </c>
      <c r="E87" s="2511">
        <f t="shared" ref="E87:F89" si="57">E88+(E$86-E$90)/4</f>
        <v>104.5</v>
      </c>
      <c r="F87" s="2511">
        <f t="shared" si="57"/>
        <v>101.5</v>
      </c>
      <c r="G87" s="3703">
        <v>2002</v>
      </c>
      <c r="H87" s="2466">
        <v>3</v>
      </c>
      <c r="I87" s="2509"/>
      <c r="J87" s="2509"/>
      <c r="K87" s="2509"/>
      <c r="L87" s="2509"/>
      <c r="X87" s="2501"/>
      <c r="Y87" s="2501"/>
      <c r="Z87" s="2501"/>
    </row>
    <row r="88" spans="1:26">
      <c r="A88" s="2442" t="s">
        <v>1911</v>
      </c>
      <c r="B88" s="2511">
        <f t="shared" si="56"/>
        <v>104</v>
      </c>
      <c r="C88" s="2511">
        <f t="shared" si="56"/>
        <v>105</v>
      </c>
      <c r="D88" s="2511">
        <f t="shared" si="20"/>
        <v>105</v>
      </c>
      <c r="E88" s="2511">
        <f t="shared" si="57"/>
        <v>104</v>
      </c>
      <c r="F88" s="2511">
        <f t="shared" si="57"/>
        <v>101</v>
      </c>
      <c r="G88" s="3703">
        <v>2002</v>
      </c>
      <c r="H88" s="2457">
        <v>2</v>
      </c>
      <c r="I88" s="2509"/>
      <c r="J88" s="2509"/>
      <c r="K88" s="2509"/>
      <c r="L88" s="2509"/>
      <c r="X88" s="2501"/>
      <c r="Y88" s="2501"/>
      <c r="Z88" s="2501"/>
    </row>
    <row r="89" spans="1:26" s="2476" customFormat="1" ht="13.8" thickBot="1">
      <c r="A89" s="2472" t="s">
        <v>1912</v>
      </c>
      <c r="B89" s="2479">
        <f t="shared" si="56"/>
        <v>103</v>
      </c>
      <c r="C89" s="2479">
        <f t="shared" si="56"/>
        <v>104</v>
      </c>
      <c r="D89" s="2479">
        <f t="shared" si="20"/>
        <v>104</v>
      </c>
      <c r="E89" s="2479">
        <f t="shared" si="57"/>
        <v>103.5</v>
      </c>
      <c r="F89" s="2479">
        <f t="shared" si="57"/>
        <v>100.5</v>
      </c>
      <c r="G89" s="3704">
        <v>2002</v>
      </c>
      <c r="H89" s="2515">
        <v>1</v>
      </c>
      <c r="I89" s="2516"/>
      <c r="J89" s="2516"/>
      <c r="K89" s="2516"/>
      <c r="L89" s="2516"/>
      <c r="N89" s="2517"/>
      <c r="S89" s="2517"/>
      <c r="X89" s="2518"/>
      <c r="Y89" s="2518"/>
      <c r="Z89" s="2518"/>
    </row>
    <row r="90" spans="1:26" ht="13.8"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1913</v>
      </c>
      <c r="G92" s="2524"/>
      <c r="N92" s="2524"/>
      <c r="S92" s="2524"/>
    </row>
    <row r="93" spans="1:26" s="2523" customFormat="1">
      <c r="A93" s="2523" t="s">
        <v>1914</v>
      </c>
      <c r="G93" s="2524"/>
      <c r="N93" s="2524"/>
      <c r="S93" s="2524"/>
    </row>
    <row r="94" spans="1:26" s="2523" customFormat="1">
      <c r="A94" s="2523" t="s">
        <v>1915</v>
      </c>
      <c r="G94" s="2524"/>
      <c r="I94" s="2525"/>
      <c r="J94" s="2525"/>
      <c r="K94" s="2525"/>
      <c r="L94" s="2525"/>
      <c r="N94" s="2526"/>
      <c r="O94" s="2525"/>
      <c r="P94" s="2525"/>
      <c r="Q94" s="2525"/>
      <c r="S94" s="2526"/>
      <c r="T94" s="2525"/>
      <c r="U94" s="2525"/>
      <c r="V94" s="2525"/>
    </row>
    <row r="95" spans="1:26" s="2523" customFormat="1">
      <c r="A95" s="2523" t="s">
        <v>1916</v>
      </c>
      <c r="G95" s="2524"/>
      <c r="N95" s="2524"/>
      <c r="S95" s="2524"/>
    </row>
    <row r="102" spans="7:22" ht="13.8" thickBot="1"/>
    <row r="103" spans="7:22">
      <c r="G103" s="2440"/>
      <c r="S103" s="2527" t="s">
        <v>1917</v>
      </c>
      <c r="T103" s="2466" t="s">
        <v>1918</v>
      </c>
      <c r="U103" s="2466" t="s">
        <v>1919</v>
      </c>
      <c r="V103" s="2466" t="s">
        <v>1920</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8"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54"/>
  <sheetViews>
    <sheetView zoomScale="80" zoomScaleNormal="80" workbookViewId="0">
      <selection activeCell="AM35" sqref="AM35"/>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132">
        <f>基准地价!G23</f>
        <v>45849</v>
      </c>
      <c r="B1" s="3089" t="s">
        <v>3264</v>
      </c>
      <c r="C1" s="3090"/>
      <c r="D1" s="3090"/>
      <c r="E1" s="3090"/>
      <c r="F1" s="3090"/>
      <c r="G1" s="3090"/>
      <c r="H1" s="3090"/>
      <c r="I1" s="3090"/>
      <c r="J1" s="3091"/>
      <c r="K1" s="3090" t="s">
        <v>2789</v>
      </c>
      <c r="L1" s="3090"/>
      <c r="M1" s="3090"/>
      <c r="N1" s="3090"/>
      <c r="O1" s="3090"/>
      <c r="P1" s="3090"/>
      <c r="Q1" s="3091"/>
      <c r="R1" s="3710" t="s">
        <v>2797</v>
      </c>
      <c r="S1" s="3711"/>
      <c r="T1" s="3711"/>
      <c r="U1" s="3711"/>
      <c r="V1" s="3711"/>
      <c r="W1" s="3711"/>
      <c r="X1" s="3091"/>
      <c r="Y1" s="3710" t="s">
        <v>2808</v>
      </c>
      <c r="Z1" s="3711"/>
      <c r="AA1" s="3711"/>
      <c r="AB1" s="3711"/>
      <c r="AC1" s="3711"/>
      <c r="AD1" s="3711"/>
    </row>
    <row r="2" spans="1:44" ht="15" thickBot="1">
      <c r="A2" s="3084"/>
      <c r="B2" s="3092"/>
      <c r="C2" s="3093"/>
      <c r="D2" s="2423" t="s">
        <v>2791</v>
      </c>
      <c r="E2" s="2424" t="s">
        <v>2792</v>
      </c>
      <c r="F2" s="2424" t="s">
        <v>2793</v>
      </c>
      <c r="G2" s="2424" t="s">
        <v>2794</v>
      </c>
      <c r="H2" s="2424" t="s">
        <v>2795</v>
      </c>
      <c r="I2" s="2424" t="s">
        <v>2737</v>
      </c>
      <c r="J2" s="3094"/>
      <c r="K2" s="2423" t="s">
        <v>2791</v>
      </c>
      <c r="L2" s="2424" t="s">
        <v>2792</v>
      </c>
      <c r="M2" s="2424" t="s">
        <v>2793</v>
      </c>
      <c r="N2" s="2424" t="s">
        <v>2794</v>
      </c>
      <c r="O2" s="2424" t="s">
        <v>2795</v>
      </c>
      <c r="P2" s="2424" t="s">
        <v>2737</v>
      </c>
      <c r="Q2" s="3094"/>
      <c r="R2" s="2423" t="s">
        <v>2798</v>
      </c>
      <c r="S2" s="2424" t="s">
        <v>2799</v>
      </c>
      <c r="T2" s="2424" t="s">
        <v>2800</v>
      </c>
      <c r="U2" s="2424" t="s">
        <v>2801</v>
      </c>
      <c r="V2" s="2424" t="s">
        <v>2802</v>
      </c>
      <c r="W2" s="2424" t="s">
        <v>2803</v>
      </c>
      <c r="X2" s="3094"/>
      <c r="Y2" s="2423" t="s">
        <v>2791</v>
      </c>
      <c r="Z2" s="2424" t="s">
        <v>1470</v>
      </c>
      <c r="AA2" s="2424" t="s">
        <v>2809</v>
      </c>
      <c r="AB2" s="2424" t="s">
        <v>1469</v>
      </c>
      <c r="AC2" s="2424" t="s">
        <v>2795</v>
      </c>
      <c r="AD2" s="2424" t="s">
        <v>2454</v>
      </c>
      <c r="AF2" t="s">
        <v>3312</v>
      </c>
      <c r="AG2" t="s">
        <v>2738</v>
      </c>
      <c r="AH2" t="s">
        <v>1212</v>
      </c>
      <c r="AI2" t="s">
        <v>851</v>
      </c>
      <c r="AJ2" t="s">
        <v>905</v>
      </c>
      <c r="AK2" t="s">
        <v>2736</v>
      </c>
      <c r="AM2" t="s">
        <v>3312</v>
      </c>
      <c r="AN2" t="s">
        <v>2738</v>
      </c>
      <c r="AO2" t="s">
        <v>1212</v>
      </c>
      <c r="AP2" t="s">
        <v>851</v>
      </c>
      <c r="AQ2" t="s">
        <v>905</v>
      </c>
      <c r="AR2" t="s">
        <v>2736</v>
      </c>
    </row>
    <row r="3" spans="1:44">
      <c r="A3" s="3085" t="s">
        <v>2780</v>
      </c>
      <c r="B3" s="3095"/>
      <c r="C3" s="3096"/>
      <c r="D3" s="3096">
        <f>ROUND(AVERAGEIF(D4:D24,"&lt;&gt;0"),2)</f>
        <v>0.37</v>
      </c>
      <c r="E3" s="3096">
        <f>ROUND(AVERAGEIF(E4:E24,"&lt;&gt;0"),2)</f>
        <v>0.16</v>
      </c>
      <c r="F3" s="3096">
        <f>ROUND(AVERAGEIF(F4:F24,"&lt;&gt;0"),2)</f>
        <v>-0.12</v>
      </c>
      <c r="G3" s="3096">
        <f>ROUND(AVERAGEIF(G4:G24,"&lt;&gt;0"),2)</f>
        <v>0.44</v>
      </c>
      <c r="H3" s="3096">
        <f>ROUND(AVERAGEIF(H4:H24,"&lt;&gt;0"),2)</f>
        <v>0.5</v>
      </c>
      <c r="I3" s="3096">
        <f>F3</f>
        <v>-0.12</v>
      </c>
      <c r="J3" s="3097"/>
      <c r="K3" s="3098">
        <f>ROUND(AVERAGEIF(K4:K24,"&lt;&gt;0"),4)</f>
        <v>3.7000000000000002E-3</v>
      </c>
      <c r="L3" s="3099">
        <f>ROUND(AVERAGEIF(L4:L24,"&lt;&gt;0"),4)</f>
        <v>1.6000000000000001E-3</v>
      </c>
      <c r="M3" s="3099">
        <f>ROUND(AVERAGEIF(M4:M24,"&lt;&gt;0"),4)</f>
        <v>-1.1999999999999999E-3</v>
      </c>
      <c r="N3" s="3099">
        <f>ROUND(AVERAGEIF(N4:N24,"&lt;&gt;0"),4)</f>
        <v>4.4000000000000003E-3</v>
      </c>
      <c r="O3" s="3099">
        <f>ROUND(AVERAGEIF(O4:O24,"&lt;&gt;0"),4)</f>
        <v>5.0000000000000001E-3</v>
      </c>
      <c r="P3" s="3099">
        <f>M3</f>
        <v>-1.1999999999999999E-3</v>
      </c>
      <c r="Q3" s="3097"/>
      <c r="R3" s="3112">
        <f>ROUND(SUMPRODUCT(PRODUCT(1+K4:K24)),4)</f>
        <v>1.0680000000000001</v>
      </c>
      <c r="S3" s="3113">
        <f>ROUND(SUMPRODUCT(PRODUCT(1+L4:L24)),4)</f>
        <v>1.0290999999999999</v>
      </c>
      <c r="T3" s="3113">
        <f>ROUND(SUMPRODUCT(PRODUCT(1+M4:M24)),4)</f>
        <v>0.97850000000000004</v>
      </c>
      <c r="U3" s="3113">
        <f>ROUND(SUMPRODUCT(PRODUCT(1+N4:N24)),4)</f>
        <v>1.0807</v>
      </c>
      <c r="V3" s="3113">
        <f>ROUND(SUMPRODUCT(PRODUCT(1+O4:O24)),4)</f>
        <v>1.093</v>
      </c>
      <c r="W3" s="3112">
        <f>T3</f>
        <v>0.97850000000000004</v>
      </c>
      <c r="X3" s="3097"/>
      <c r="Y3" s="3119">
        <f>ROUND(AVERAGEIF(Y11:Y24,"&lt;&gt;0"),4)</f>
        <v>8.0999999999999996E-3</v>
      </c>
      <c r="Z3" s="3120">
        <f>ROUND(AVERAGEIF(Z11:Z24,"&lt;&gt;0"),4)</f>
        <v>3.7000000000000002E-3</v>
      </c>
      <c r="AA3" s="3121">
        <f>ROUND(AVERAGEIF(AA11:AA24,"&lt;&gt;0"),4)</f>
        <v>1.2999999999999999E-3</v>
      </c>
      <c r="AB3" s="3119">
        <f>ROUND(AVERAGEIF(AB11:AB24,"&lt;&gt;0"),4)</f>
        <v>8.8000000000000005E-3</v>
      </c>
      <c r="AC3" s="3122">
        <f>ROUND(AVERAGEIF(AC11:AC24,"&lt;&gt;0"),4)</f>
        <v>6.1999999999999998E-3</v>
      </c>
      <c r="AD3" s="3119">
        <f>AA3</f>
        <v>1.2999999999999999E-3</v>
      </c>
    </row>
    <row r="4" spans="1:44">
      <c r="A4" s="2439"/>
      <c r="B4" s="3133"/>
      <c r="C4" s="3134"/>
      <c r="D4" s="3134"/>
      <c r="E4" s="3134"/>
      <c r="F4" s="3134"/>
      <c r="G4" s="3134"/>
      <c r="H4" s="3134"/>
      <c r="I4" s="3134"/>
      <c r="J4" s="3091"/>
      <c r="K4" s="3101"/>
      <c r="L4" s="3102"/>
      <c r="M4" s="3102"/>
      <c r="N4" s="3102"/>
      <c r="O4" s="3102"/>
      <c r="P4" s="3102"/>
      <c r="Q4" s="3091"/>
      <c r="R4" s="3114"/>
      <c r="S4" s="3115"/>
      <c r="T4" s="3116"/>
      <c r="U4" s="3114"/>
      <c r="V4" s="3117"/>
      <c r="W4" s="3114"/>
      <c r="X4" s="3091"/>
      <c r="Y4" s="3105"/>
      <c r="Z4" s="3123"/>
      <c r="AA4" s="3124"/>
      <c r="AB4" s="3105"/>
      <c r="AC4" s="3125"/>
      <c r="AD4" s="3105"/>
    </row>
    <row r="5" spans="1:44">
      <c r="A5" s="3388" t="s">
        <v>3314</v>
      </c>
      <c r="B5" s="3135">
        <v>2025</v>
      </c>
      <c r="C5" s="3136">
        <v>4</v>
      </c>
      <c r="D5" s="3136">
        <v>0</v>
      </c>
      <c r="E5" s="3136">
        <v>0</v>
      </c>
      <c r="F5" s="3136">
        <v>0</v>
      </c>
      <c r="G5" s="3136">
        <v>0</v>
      </c>
      <c r="H5" s="3136">
        <v>0</v>
      </c>
      <c r="I5" s="3137">
        <f t="shared" ref="I5" si="0">F5</f>
        <v>0</v>
      </c>
      <c r="J5" s="3103"/>
      <c r="K5" s="3104">
        <f t="shared" ref="K5" si="1">D5/100</f>
        <v>0</v>
      </c>
      <c r="L5" s="3105">
        <f t="shared" ref="L5" si="2">E5/100</f>
        <v>0</v>
      </c>
      <c r="M5" s="3105">
        <f t="shared" ref="M5" si="3">F5/100</f>
        <v>0</v>
      </c>
      <c r="N5" s="3105">
        <f t="shared" ref="N5" si="4">G5/100</f>
        <v>0</v>
      </c>
      <c r="O5" s="3105">
        <f t="shared" ref="O5" si="5">H5/100</f>
        <v>0</v>
      </c>
      <c r="P5" s="3105">
        <f t="shared" ref="P5:P11" si="6">M5</f>
        <v>0</v>
      </c>
      <c r="Q5" s="3103"/>
      <c r="R5" s="3114">
        <f>ROUND(IF(项目基本情况!$B$8="出让",SUMPRODUCT(PRODUCT(1+K5:$K$24)),SUMPRODUCT(PRODUCT(1+K5:$K$23))),4)</f>
        <v>1.0577000000000001</v>
      </c>
      <c r="S5" s="3114">
        <f>ROUND(IF(项目基本情况!$B$8="出让",SUMPRODUCT(PRODUCT(1+L5:$L$24)),SUMPRODUCT(PRODUCT(1+L5:$L$23))),4)</f>
        <v>1.0275000000000001</v>
      </c>
      <c r="T5" s="3114">
        <f>ROUND(IF(项目基本情况!$B$8="出让",SUMPRODUCT(PRODUCT(1+M5:$M$24)),SUMPRODUCT(PRODUCT(1+M5:$M$23))),4)</f>
        <v>0.98089999999999999</v>
      </c>
      <c r="U5" s="3114">
        <f>ROUND(IF(项目基本情况!$B$8="出让",SUMPRODUCT(PRODUCT(1+N5:$N$24)),SUMPRODUCT(PRODUCT(1+N5:$N$23))),4)</f>
        <v>1.0689</v>
      </c>
      <c r="V5" s="3114">
        <f>ROUND(IF(项目基本情况!$B$8="出让",SUMPRODUCT(PRODUCT(1+O5:$O$24)),SUMPRODUCT(PRODUCT(1+O5:$O$23))),4)</f>
        <v>1.0891</v>
      </c>
      <c r="W5" s="3114">
        <f t="shared" ref="W5:W11" si="7">T5</f>
        <v>0.98089999999999999</v>
      </c>
      <c r="X5" s="3103"/>
      <c r="Y5" s="3105">
        <f t="shared" ref="Y5" si="8">IF(D5=0,0,ROUND(AVERAGE(D5:D18)/100,4))</f>
        <v>0</v>
      </c>
      <c r="Z5" s="3105">
        <f t="shared" ref="Z5" si="9">IF(E5=0,0,ROUND(AVERAGE(E5:E18)/100,4))</f>
        <v>0</v>
      </c>
      <c r="AA5" s="3105">
        <f t="shared" ref="AA5" si="10">IF(F5=0,0,ROUND(AVERAGE(F5:F18)/100,4))</f>
        <v>0</v>
      </c>
      <c r="AB5" s="3105">
        <f t="shared" ref="AB5" si="11">IF(G5=0,0,ROUND(AVERAGE(G5:G18)/100,4))</f>
        <v>0</v>
      </c>
      <c r="AC5" s="3105">
        <f t="shared" ref="AC5" si="12">IF(H5=0,0,ROUND(AVERAGE(H5:H18)/100,4))</f>
        <v>0</v>
      </c>
      <c r="AD5" s="3105">
        <f t="shared" ref="AD5" si="13">AA5</f>
        <v>0</v>
      </c>
      <c r="AF5" s="3400">
        <f t="shared" ref="AF5" si="14">$AF$24*R5</f>
        <v>105.77000000000001</v>
      </c>
      <c r="AG5" s="3400">
        <f t="shared" ref="AG5" si="15">$AG$24*S5</f>
        <v>102.75000000000001</v>
      </c>
      <c r="AH5" s="3400">
        <f t="shared" ref="AH5" si="16">$AH$24*T5</f>
        <v>98.09</v>
      </c>
      <c r="AI5" s="3400">
        <f t="shared" ref="AI5" si="17">$AI$24*U5</f>
        <v>106.89</v>
      </c>
      <c r="AJ5" s="3400">
        <f t="shared" ref="AJ5" si="18">$AJ$24*V5</f>
        <v>108.91</v>
      </c>
      <c r="AK5" s="3400">
        <f t="shared" ref="AK5" si="19">$AK$24*W5</f>
        <v>98.09</v>
      </c>
      <c r="AM5" s="3399">
        <v>100</v>
      </c>
      <c r="AN5" s="3399">
        <v>100</v>
      </c>
      <c r="AO5" s="3399">
        <v>100</v>
      </c>
      <c r="AP5" s="3399">
        <v>100</v>
      </c>
      <c r="AQ5" s="3399">
        <v>100</v>
      </c>
      <c r="AR5" s="3399">
        <v>100</v>
      </c>
    </row>
    <row r="6" spans="1:44">
      <c r="A6" s="3388" t="s">
        <v>3313</v>
      </c>
      <c r="B6" s="3135">
        <v>2025</v>
      </c>
      <c r="C6" s="3136">
        <v>3</v>
      </c>
      <c r="D6" s="3136">
        <v>0</v>
      </c>
      <c r="E6" s="3136">
        <v>0</v>
      </c>
      <c r="F6" s="3136">
        <v>0</v>
      </c>
      <c r="G6" s="3136">
        <v>0</v>
      </c>
      <c r="H6" s="3136">
        <v>0</v>
      </c>
      <c r="I6" s="3137">
        <f t="shared" ref="I6" si="20">F6</f>
        <v>0</v>
      </c>
      <c r="J6" s="3103"/>
      <c r="K6" s="3104">
        <f t="shared" ref="K6" si="21">D6/100</f>
        <v>0</v>
      </c>
      <c r="L6" s="3105">
        <f t="shared" ref="L6" si="22">E6/100</f>
        <v>0</v>
      </c>
      <c r="M6" s="3105">
        <f t="shared" ref="M6" si="23">F6/100</f>
        <v>0</v>
      </c>
      <c r="N6" s="3105">
        <f t="shared" ref="N6" si="24">G6/100</f>
        <v>0</v>
      </c>
      <c r="O6" s="3105">
        <f t="shared" ref="O6" si="25">H6/100</f>
        <v>0</v>
      </c>
      <c r="P6" s="3105">
        <f t="shared" si="6"/>
        <v>0</v>
      </c>
      <c r="Q6" s="3103"/>
      <c r="R6" s="3114">
        <f>ROUND(IF(项目基本情况!$B$8="出让",SUMPRODUCT(PRODUCT(1+K6:$K$24)),SUMPRODUCT(PRODUCT(1+K6:$K$23))),4)</f>
        <v>1.0577000000000001</v>
      </c>
      <c r="S6" s="3114">
        <f>ROUND(IF(项目基本情况!$B$8="出让",SUMPRODUCT(PRODUCT(1+L6:$L$24)),SUMPRODUCT(PRODUCT(1+L6:$L$23))),4)</f>
        <v>1.0275000000000001</v>
      </c>
      <c r="T6" s="3114">
        <f>ROUND(IF(项目基本情况!$B$8="出让",SUMPRODUCT(PRODUCT(1+M6:$M$24)),SUMPRODUCT(PRODUCT(1+M6:$M$23))),4)</f>
        <v>0.98089999999999999</v>
      </c>
      <c r="U6" s="3114">
        <f>ROUND(IF(项目基本情况!$B$8="出让",SUMPRODUCT(PRODUCT(1+N6:$N$24)),SUMPRODUCT(PRODUCT(1+N6:$N$23))),4)</f>
        <v>1.0689</v>
      </c>
      <c r="V6" s="3114">
        <f>ROUND(IF(项目基本情况!$B$8="出让",SUMPRODUCT(PRODUCT(1+O6:$O$24)),SUMPRODUCT(PRODUCT(1+O6:$O$23))),4)</f>
        <v>1.0891</v>
      </c>
      <c r="W6" s="3114">
        <f t="shared" si="7"/>
        <v>0.98089999999999999</v>
      </c>
      <c r="X6" s="3103"/>
      <c r="Y6" s="3105">
        <f t="shared" ref="Y6" si="26">IF(D6=0,0,ROUND(AVERAGE(D6:D19)/100,4))</f>
        <v>0</v>
      </c>
      <c r="Z6" s="3105">
        <f t="shared" ref="Z6" si="27">IF(E6=0,0,ROUND(AVERAGE(E6:E19)/100,4))</f>
        <v>0</v>
      </c>
      <c r="AA6" s="3105">
        <f t="shared" ref="AA6" si="28">IF(F6=0,0,ROUND(AVERAGE(F6:F19)/100,4))</f>
        <v>0</v>
      </c>
      <c r="AB6" s="3105">
        <f t="shared" ref="AB6" si="29">IF(G6=0,0,ROUND(AVERAGE(G6:G19)/100,4))</f>
        <v>0</v>
      </c>
      <c r="AC6" s="3105">
        <f t="shared" ref="AC6" si="30">IF(H6=0,0,ROUND(AVERAGE(H6:H19)/100,4))</f>
        <v>0</v>
      </c>
      <c r="AD6" s="3105">
        <f t="shared" ref="AD6" si="31">AA6</f>
        <v>0</v>
      </c>
      <c r="AF6" s="3400">
        <f t="shared" ref="AF6" si="32">$AF$24*R6</f>
        <v>105.77000000000001</v>
      </c>
      <c r="AG6" s="3400">
        <f t="shared" ref="AG6" si="33">$AG$24*S6</f>
        <v>102.75000000000001</v>
      </c>
      <c r="AH6" s="3400">
        <f t="shared" ref="AH6" si="34">$AH$24*T6</f>
        <v>98.09</v>
      </c>
      <c r="AI6" s="3400">
        <f t="shared" ref="AI6" si="35">$AI$24*U6</f>
        <v>106.89</v>
      </c>
      <c r="AJ6" s="3400">
        <f t="shared" ref="AJ6" si="36">$AJ$24*V6</f>
        <v>108.91</v>
      </c>
      <c r="AK6" s="3400">
        <f t="shared" ref="AK6" si="37">$AK$24*W6</f>
        <v>98.09</v>
      </c>
      <c r="AM6" s="3400">
        <f>AM5/(1+D5/100)</f>
        <v>100</v>
      </c>
      <c r="AN6" s="3400">
        <f t="shared" ref="AN6:AR6" si="38">AN5/(1+E5/100)</f>
        <v>100</v>
      </c>
      <c r="AO6" s="3400">
        <f t="shared" si="38"/>
        <v>100</v>
      </c>
      <c r="AP6" s="3400">
        <f t="shared" si="38"/>
        <v>100</v>
      </c>
      <c r="AQ6" s="3400">
        <f t="shared" si="38"/>
        <v>100</v>
      </c>
      <c r="AR6" s="3400">
        <f t="shared" si="38"/>
        <v>100</v>
      </c>
    </row>
    <row r="7" spans="1:44">
      <c r="A7" s="3087" t="s">
        <v>3315</v>
      </c>
      <c r="B7" s="3138">
        <v>2025</v>
      </c>
      <c r="C7" s="3139">
        <v>2</v>
      </c>
      <c r="D7" s="3139">
        <v>0.05</v>
      </c>
      <c r="E7" s="3139">
        <v>-0.62</v>
      </c>
      <c r="F7" s="3139">
        <v>-1.05</v>
      </c>
      <c r="G7" s="3139">
        <v>0.09</v>
      </c>
      <c r="H7" s="3140">
        <v>0.17</v>
      </c>
      <c r="I7" s="3141">
        <f t="shared" ref="I7" si="39">F7</f>
        <v>-1.05</v>
      </c>
      <c r="J7" s="3106"/>
      <c r="K7" s="3107">
        <f t="shared" ref="K7" si="40">D7/100</f>
        <v>5.0000000000000001E-4</v>
      </c>
      <c r="L7" s="3108">
        <f t="shared" ref="L7" si="41">E7/100</f>
        <v>-6.1999999999999998E-3</v>
      </c>
      <c r="M7" s="3108">
        <f t="shared" ref="M7" si="42">F7/100</f>
        <v>-1.0500000000000001E-2</v>
      </c>
      <c r="N7" s="3108">
        <f t="shared" ref="N7" si="43">G7/100</f>
        <v>8.9999999999999998E-4</v>
      </c>
      <c r="O7" s="3108">
        <f t="shared" ref="O7" si="44">H7/100</f>
        <v>1.7000000000000001E-3</v>
      </c>
      <c r="P7" s="3108">
        <f t="shared" si="6"/>
        <v>-1.0500000000000001E-2</v>
      </c>
      <c r="Q7" s="3106"/>
      <c r="R7" s="3106">
        <f>ROUND(IF(项目基本情况!$B$8="出让",SUMPRODUCT(PRODUCT(1+K7:$K$24)),SUMPRODUCT(PRODUCT(1+K7:$K$23))),4)</f>
        <v>1.0577000000000001</v>
      </c>
      <c r="S7" s="3106">
        <f>ROUND(IF(项目基本情况!$B$8="出让",SUMPRODUCT(PRODUCT(1+L7:$L$24)),SUMPRODUCT(PRODUCT(1+L7:$L$23))),4)</f>
        <v>1.0275000000000001</v>
      </c>
      <c r="T7" s="3106">
        <f>ROUND(IF(项目基本情况!$B$8="出让",SUMPRODUCT(PRODUCT(1+M7:$M$24)),SUMPRODUCT(PRODUCT(1+M7:$M$23))),4)</f>
        <v>0.98089999999999999</v>
      </c>
      <c r="U7" s="3106">
        <f>ROUND(IF(项目基本情况!$B$8="出让",SUMPRODUCT(PRODUCT(1+N7:$N$24)),SUMPRODUCT(PRODUCT(1+N7:$N$23))),4)</f>
        <v>1.0689</v>
      </c>
      <c r="V7" s="3106">
        <f>ROUND(IF(项目基本情况!$B$8="出让",SUMPRODUCT(PRODUCT(1+O7:$O$24)),SUMPRODUCT(PRODUCT(1+O7:$O$23))),4)</f>
        <v>1.0891</v>
      </c>
      <c r="W7" s="3106">
        <f t="shared" si="7"/>
        <v>0.98089999999999999</v>
      </c>
      <c r="X7" s="3103"/>
      <c r="Y7" s="3105">
        <f t="shared" ref="Y7" si="45">IF(D7=0,0,ROUND(AVERAGE(D7:D20)/100,4))</f>
        <v>2.3E-3</v>
      </c>
      <c r="Z7" s="3105">
        <f t="shared" ref="Z7" si="46">IF(E7=0,0,ROUND(AVERAGE(E7:E20)/100,4))</f>
        <v>1E-3</v>
      </c>
      <c r="AA7" s="3105">
        <f t="shared" ref="AA7" si="47">IF(F7=0,0,ROUND(AVERAGE(F7:F20)/100,4))</f>
        <v>-1.9E-3</v>
      </c>
      <c r="AB7" s="3105">
        <f t="shared" ref="AB7" si="48">IF(G7=0,0,ROUND(AVERAGE(G7:G20)/100,4))</f>
        <v>2.8999999999999998E-3</v>
      </c>
      <c r="AC7" s="3105">
        <f t="shared" ref="AC7" si="49">IF(H7=0,0,ROUND(AVERAGE(H7:H20)/100,4))</f>
        <v>4.7000000000000002E-3</v>
      </c>
      <c r="AD7" s="3105">
        <f t="shared" ref="AD7" si="50">AA7</f>
        <v>-1.9E-3</v>
      </c>
      <c r="AF7" s="3400">
        <f t="shared" ref="AF7" si="51">$AF$24*R7</f>
        <v>105.77000000000001</v>
      </c>
      <c r="AG7" s="3400">
        <f t="shared" ref="AG7" si="52">$AG$24*S7</f>
        <v>102.75000000000001</v>
      </c>
      <c r="AH7" s="3400">
        <f t="shared" ref="AH7" si="53">$AH$24*T7</f>
        <v>98.09</v>
      </c>
      <c r="AI7" s="3400">
        <f t="shared" ref="AI7" si="54">$AI$24*U7</f>
        <v>106.89</v>
      </c>
      <c r="AJ7" s="3400">
        <f t="shared" ref="AJ7" si="55">$AJ$24*V7</f>
        <v>108.91</v>
      </c>
      <c r="AK7" s="3400">
        <f t="shared" ref="AK7" si="56">$AK$24*W7</f>
        <v>98.09</v>
      </c>
      <c r="AM7" s="3400">
        <f t="shared" ref="AM7:AM24" si="57">AM6/(1+D6/100)</f>
        <v>100</v>
      </c>
      <c r="AN7" s="3400">
        <f t="shared" ref="AN7:AN24" si="58">AN6/(1+E6/100)</f>
        <v>100</v>
      </c>
      <c r="AO7" s="3400">
        <f t="shared" ref="AO7:AO24" si="59">AO6/(1+F6/100)</f>
        <v>100</v>
      </c>
      <c r="AP7" s="3400">
        <f t="shared" ref="AP7:AP24" si="60">AP6/(1+G6/100)</f>
        <v>100</v>
      </c>
      <c r="AQ7" s="3400">
        <f t="shared" ref="AQ7:AQ24" si="61">AQ6/(1+H6/100)</f>
        <v>100</v>
      </c>
      <c r="AR7" s="3400">
        <f t="shared" ref="AR7:AR24" si="62">AR6/(1+I6/100)</f>
        <v>100</v>
      </c>
    </row>
    <row r="8" spans="1:44">
      <c r="A8" s="3388" t="s">
        <v>3261</v>
      </c>
      <c r="B8" s="3135">
        <v>2025</v>
      </c>
      <c r="C8" s="3136">
        <v>1</v>
      </c>
      <c r="D8" s="3136">
        <v>0.56999999999999995</v>
      </c>
      <c r="E8" s="3136">
        <v>-0.56999999999999995</v>
      </c>
      <c r="F8" s="3136">
        <v>-0.9</v>
      </c>
      <c r="G8" s="3136">
        <v>1.1200000000000001</v>
      </c>
      <c r="H8" s="3136">
        <v>0.42</v>
      </c>
      <c r="I8" s="3137">
        <f t="shared" ref="I8" si="63">F8</f>
        <v>-0.9</v>
      </c>
      <c r="J8" s="3103"/>
      <c r="K8" s="3104">
        <f t="shared" ref="K8" si="64">D8/100</f>
        <v>5.6999999999999993E-3</v>
      </c>
      <c r="L8" s="3105">
        <f t="shared" ref="L8" si="65">E8/100</f>
        <v>-5.6999999999999993E-3</v>
      </c>
      <c r="M8" s="3105">
        <f t="shared" ref="M8" si="66">F8/100</f>
        <v>-9.0000000000000011E-3</v>
      </c>
      <c r="N8" s="3105">
        <f t="shared" ref="N8" si="67">G8/100</f>
        <v>1.1200000000000002E-2</v>
      </c>
      <c r="O8" s="3105">
        <f t="shared" ref="O8" si="68">H8/100</f>
        <v>4.1999999999999997E-3</v>
      </c>
      <c r="P8" s="3105">
        <f t="shared" si="6"/>
        <v>-9.0000000000000011E-3</v>
      </c>
      <c r="Q8" s="3103"/>
      <c r="R8" s="3114">
        <f>ROUND(IF(项目基本情况!$B$8="出让",SUMPRODUCT(PRODUCT(1+K8:$K$24)),SUMPRODUCT(PRODUCT(1+K8:$K$23))),4)</f>
        <v>1.0571999999999999</v>
      </c>
      <c r="S8" s="3114">
        <f>ROUND(IF(项目基本情况!$B$8="出让",SUMPRODUCT(PRODUCT(1+L8:$L$24)),SUMPRODUCT(PRODUCT(1+L8:$L$23))),4)</f>
        <v>1.0339</v>
      </c>
      <c r="T8" s="3114">
        <f>ROUND(IF(项目基本情况!$B$8="出让",SUMPRODUCT(PRODUCT(1+M8:$M$24)),SUMPRODUCT(PRODUCT(1+M8:$M$23))),4)</f>
        <v>0.99129999999999996</v>
      </c>
      <c r="U8" s="3114">
        <f>ROUND(IF(项目基本情况!$B$8="出让",SUMPRODUCT(PRODUCT(1+N8:$N$24)),SUMPRODUCT(PRODUCT(1+N8:$N$23))),4)</f>
        <v>1.0679000000000001</v>
      </c>
      <c r="V8" s="3114">
        <f>ROUND(IF(项目基本情况!$B$8="出让",SUMPRODUCT(PRODUCT(1+O8:$O$24)),SUMPRODUCT(PRODUCT(1+O8:$O$23))),4)</f>
        <v>1.0871999999999999</v>
      </c>
      <c r="W8" s="3114">
        <f t="shared" si="7"/>
        <v>0.99129999999999996</v>
      </c>
      <c r="X8" s="3103"/>
      <c r="Y8" s="3105">
        <f t="shared" ref="Y8" si="69">IF(D8=0,0,ROUND(AVERAGE(D8:D21)/100,4))</f>
        <v>3.0000000000000001E-3</v>
      </c>
      <c r="Z8" s="3105">
        <f t="shared" ref="Z8" si="70">IF(E8=0,0,ROUND(AVERAGE(E8:E21)/100,4))</f>
        <v>1.6000000000000001E-3</v>
      </c>
      <c r="AA8" s="3105">
        <f t="shared" ref="AA8" si="71">IF(F8=0,0,ROUND(AVERAGE(F8:F21)/100,4))</f>
        <v>-1.1000000000000001E-3</v>
      </c>
      <c r="AB8" s="3105">
        <f t="shared" ref="AB8" si="72">IF(G8=0,0,ROUND(AVERAGE(G8:G21)/100,4))</f>
        <v>3.7000000000000002E-3</v>
      </c>
      <c r="AC8" s="3105">
        <f t="shared" ref="AC8" si="73">IF(H8=0,0,ROUND(AVERAGE(H8:H21)/100,4))</f>
        <v>4.8999999999999998E-3</v>
      </c>
      <c r="AD8" s="3105">
        <f t="shared" ref="AD8" si="74">AA8</f>
        <v>-1.1000000000000001E-3</v>
      </c>
      <c r="AF8" s="3400">
        <f t="shared" ref="AF8:AF22" si="75">$AF$24*R8</f>
        <v>105.72</v>
      </c>
      <c r="AG8" s="3400">
        <f t="shared" ref="AG8:AG22" si="76">$AG$24*S8</f>
        <v>103.39</v>
      </c>
      <c r="AH8" s="3400">
        <f t="shared" ref="AH8:AH22" si="77">$AH$24*T8</f>
        <v>99.13</v>
      </c>
      <c r="AI8" s="3400">
        <f t="shared" ref="AI8:AI22" si="78">$AI$24*U8</f>
        <v>106.79</v>
      </c>
      <c r="AJ8" s="3400">
        <f t="shared" ref="AJ8:AJ22" si="79">$AJ$24*V8</f>
        <v>108.72</v>
      </c>
      <c r="AK8" s="3400">
        <f t="shared" ref="AK8:AK22" si="80">$AK$24*W8</f>
        <v>99.13</v>
      </c>
      <c r="AM8" s="3400">
        <f t="shared" si="57"/>
        <v>99.950024987506254</v>
      </c>
      <c r="AN8" s="3400">
        <f t="shared" si="58"/>
        <v>100.6238679814852</v>
      </c>
      <c r="AO8" s="3400">
        <f t="shared" si="59"/>
        <v>101.06114199090449</v>
      </c>
      <c r="AP8" s="3400">
        <f t="shared" si="60"/>
        <v>99.910080927165566</v>
      </c>
      <c r="AQ8" s="3400">
        <f t="shared" si="61"/>
        <v>99.830288509533787</v>
      </c>
      <c r="AR8" s="3400">
        <f t="shared" si="62"/>
        <v>101.06114199090449</v>
      </c>
    </row>
    <row r="9" spans="1:44">
      <c r="A9" s="3388" t="s">
        <v>3316</v>
      </c>
      <c r="B9" s="3135">
        <v>2024</v>
      </c>
      <c r="C9" s="3136">
        <v>4</v>
      </c>
      <c r="D9" s="3136">
        <v>-1.02</v>
      </c>
      <c r="E9" s="3136">
        <v>-0.48</v>
      </c>
      <c r="F9" s="3136">
        <v>-0.75</v>
      </c>
      <c r="G9" s="3136">
        <v>-1.05</v>
      </c>
      <c r="H9" s="3136">
        <v>0.08</v>
      </c>
      <c r="I9" s="3137">
        <f t="shared" ref="I9" si="81">F9</f>
        <v>-0.75</v>
      </c>
      <c r="J9" s="3103"/>
      <c r="K9" s="3104">
        <f t="shared" ref="K9" si="82">D9/100</f>
        <v>-1.0200000000000001E-2</v>
      </c>
      <c r="L9" s="3105">
        <f t="shared" ref="L9" si="83">E9/100</f>
        <v>-4.7999999999999996E-3</v>
      </c>
      <c r="M9" s="3105">
        <f t="shared" ref="M9" si="84">F9/100</f>
        <v>-7.4999999999999997E-3</v>
      </c>
      <c r="N9" s="3105">
        <f t="shared" ref="N9" si="85">G9/100</f>
        <v>-1.0500000000000001E-2</v>
      </c>
      <c r="O9" s="3105">
        <f t="shared" ref="O9" si="86">H9/100</f>
        <v>8.0000000000000004E-4</v>
      </c>
      <c r="P9" s="3105">
        <f t="shared" si="6"/>
        <v>-7.4999999999999997E-3</v>
      </c>
      <c r="Q9" s="3103"/>
      <c r="R9" s="3114">
        <f>ROUND(IF(项目基本情况!$B$8="出让",SUMPRODUCT(PRODUCT(1+K9:$K$24)),SUMPRODUCT(PRODUCT(1+K9:$K$23))),4)</f>
        <v>1.0511999999999999</v>
      </c>
      <c r="S9" s="3114">
        <f>ROUND(IF(项目基本情况!$B$8="出让",SUMPRODUCT(PRODUCT(1+L9:$L$24)),SUMPRODUCT(PRODUCT(1+L9:$L$23))),4)</f>
        <v>1.0398000000000001</v>
      </c>
      <c r="T9" s="3114">
        <f>ROUND(IF(项目基本情况!$B$8="出让",SUMPRODUCT(PRODUCT(1+M9:$M$24)),SUMPRODUCT(PRODUCT(1+M9:$M$23))),4)</f>
        <v>1.0003</v>
      </c>
      <c r="U9" s="3114">
        <f>ROUND(IF(项目基本情况!$B$8="出让",SUMPRODUCT(PRODUCT(1+N9:$N$24)),SUMPRODUCT(PRODUCT(1+N9:$N$23))),4)</f>
        <v>1.0561</v>
      </c>
      <c r="V9" s="3114">
        <f>ROUND(IF(项目基本情况!$B$8="出让",SUMPRODUCT(PRODUCT(1+O9:$O$24)),SUMPRODUCT(PRODUCT(1+O9:$O$23))),4)</f>
        <v>1.0827</v>
      </c>
      <c r="W9" s="3114">
        <f t="shared" si="7"/>
        <v>1.0003</v>
      </c>
      <c r="X9" s="3106"/>
      <c r="Y9" s="3108">
        <f t="shared" ref="Y9" si="87">IF(D9=0,0,ROUND(AVERAGE(D9:D22)/100,4))</f>
        <v>2.8999999999999998E-3</v>
      </c>
      <c r="Z9" s="3108">
        <f t="shared" ref="Z9" si="88">IF(E9=0,0,ROUND(AVERAGE(E9:E22)/100,4))</f>
        <v>2.3E-3</v>
      </c>
      <c r="AA9" s="3108">
        <f t="shared" ref="AA9" si="89">IF(F9=0,0,ROUND(AVERAGE(F9:F22)/100,4))</f>
        <v>-2.9999999999999997E-4</v>
      </c>
      <c r="AB9" s="3108">
        <f t="shared" ref="AB9" si="90">IF(G9=0,0,ROUND(AVERAGE(G9:G22)/100,4))</f>
        <v>3.3E-3</v>
      </c>
      <c r="AC9" s="3108">
        <f t="shared" ref="AC9" si="91">IF(H9=0,0,ROUND(AVERAGE(H9:H22)/100,4))</f>
        <v>5.0000000000000001E-3</v>
      </c>
      <c r="AD9" s="3108">
        <f t="shared" ref="AD9" si="92">AA9</f>
        <v>-2.9999999999999997E-4</v>
      </c>
      <c r="AF9" s="3400">
        <f t="shared" si="75"/>
        <v>105.11999999999999</v>
      </c>
      <c r="AG9" s="3400">
        <f t="shared" si="76"/>
        <v>103.98</v>
      </c>
      <c r="AH9" s="3400">
        <f t="shared" si="77"/>
        <v>100.03</v>
      </c>
      <c r="AI9" s="3400">
        <f t="shared" si="78"/>
        <v>105.61</v>
      </c>
      <c r="AJ9" s="3400">
        <f t="shared" si="79"/>
        <v>108.27</v>
      </c>
      <c r="AK9" s="3400">
        <f t="shared" si="80"/>
        <v>100.03</v>
      </c>
      <c r="AM9" s="3400">
        <f t="shared" si="57"/>
        <v>99.383538816253605</v>
      </c>
      <c r="AN9" s="3400">
        <f t="shared" si="58"/>
        <v>101.20071204011386</v>
      </c>
      <c r="AO9" s="3400">
        <f t="shared" si="59"/>
        <v>101.97895256398031</v>
      </c>
      <c r="AP9" s="3400">
        <f t="shared" si="60"/>
        <v>98.80348192955455</v>
      </c>
      <c r="AQ9" s="3400">
        <f t="shared" si="61"/>
        <v>99.412754938790869</v>
      </c>
      <c r="AR9" s="3400">
        <f t="shared" si="62"/>
        <v>101.97895256398031</v>
      </c>
    </row>
    <row r="10" spans="1:44">
      <c r="A10" s="3388" t="s">
        <v>3256</v>
      </c>
      <c r="B10" s="3135">
        <v>2024</v>
      </c>
      <c r="C10" s="3136">
        <v>3</v>
      </c>
      <c r="D10" s="3136">
        <v>-1.19</v>
      </c>
      <c r="E10" s="3136">
        <v>-0.47</v>
      </c>
      <c r="F10" s="3136">
        <v>-0.28999999999999998</v>
      </c>
      <c r="G10" s="3136">
        <v>-0.74</v>
      </c>
      <c r="H10" s="3136">
        <v>-0.21</v>
      </c>
      <c r="I10" s="3137">
        <f t="shared" ref="I10" si="93">F10</f>
        <v>-0.28999999999999998</v>
      </c>
      <c r="J10" s="3103"/>
      <c r="K10" s="3104">
        <f t="shared" ref="K10" si="94">D10/100</f>
        <v>-1.1899999999999999E-2</v>
      </c>
      <c r="L10" s="3105">
        <f t="shared" ref="L10" si="95">E10/100</f>
        <v>-4.6999999999999993E-3</v>
      </c>
      <c r="M10" s="3105">
        <f t="shared" ref="M10" si="96">F10/100</f>
        <v>-2.8999999999999998E-3</v>
      </c>
      <c r="N10" s="3105">
        <f t="shared" ref="N10" si="97">G10/100</f>
        <v>-7.4000000000000003E-3</v>
      </c>
      <c r="O10" s="3105">
        <f t="shared" ref="O10" si="98">H10/100</f>
        <v>-2.0999999999999999E-3</v>
      </c>
      <c r="P10" s="3105">
        <f t="shared" si="6"/>
        <v>-2.8999999999999998E-3</v>
      </c>
      <c r="Q10" s="3103"/>
      <c r="R10" s="3114">
        <f>ROUND(IF(项目基本情况!$B$8="出让",SUMPRODUCT(PRODUCT(1+K10:$K$24)),SUMPRODUCT(PRODUCT(1+K10:$K$23))),4)</f>
        <v>1.0620000000000001</v>
      </c>
      <c r="S10" s="3114">
        <f>ROUND(IF(项目基本情况!$B$8="出让",SUMPRODUCT(PRODUCT(1+L10:$L$24)),SUMPRODUCT(PRODUCT(1+L10:$L$23))),4)</f>
        <v>1.0448</v>
      </c>
      <c r="T10" s="3114">
        <f>ROUND(IF(项目基本情况!$B$8="出让",SUMPRODUCT(PRODUCT(1+M10:$M$24)),SUMPRODUCT(PRODUCT(1+M10:$M$23))),4)</f>
        <v>1.0079</v>
      </c>
      <c r="U10" s="3114">
        <f>ROUND(IF(项目基本情况!$B$8="出让",SUMPRODUCT(PRODUCT(1+N10:$N$24)),SUMPRODUCT(PRODUCT(1+N10:$N$23))),4)</f>
        <v>1.0672999999999999</v>
      </c>
      <c r="V10" s="3114">
        <f>ROUND(IF(项目基本情况!$B$8="出让",SUMPRODUCT(PRODUCT(1+O10:$O$24)),SUMPRODUCT(PRODUCT(1+O10:$O$23))),4)</f>
        <v>1.0818000000000001</v>
      </c>
      <c r="W10" s="3114">
        <f t="shared" si="7"/>
        <v>1.0079</v>
      </c>
      <c r="X10" s="3103"/>
      <c r="Y10" s="3105">
        <f t="shared" ref="Y10:AC11" si="99">IF(D10=0,0,ROUND(AVERAGE(D10:D23)/100,4))</f>
        <v>4.3E-3</v>
      </c>
      <c r="Z10" s="3105">
        <f t="shared" si="99"/>
        <v>3.0999999999999999E-3</v>
      </c>
      <c r="AA10" s="3105">
        <f t="shared" si="99"/>
        <v>5.9999999999999995E-4</v>
      </c>
      <c r="AB10" s="3105">
        <f t="shared" si="99"/>
        <v>4.7000000000000002E-3</v>
      </c>
      <c r="AC10" s="3105">
        <f t="shared" si="99"/>
        <v>5.5999999999999999E-3</v>
      </c>
      <c r="AD10" s="3105">
        <f t="shared" ref="AD10" si="100">AA10</f>
        <v>5.9999999999999995E-4</v>
      </c>
      <c r="AF10" s="3400">
        <f t="shared" si="75"/>
        <v>106.2</v>
      </c>
      <c r="AG10" s="3400">
        <f t="shared" si="76"/>
        <v>104.47999999999999</v>
      </c>
      <c r="AH10" s="3400">
        <f t="shared" si="77"/>
        <v>100.79</v>
      </c>
      <c r="AI10" s="3400">
        <f t="shared" si="78"/>
        <v>106.72999999999999</v>
      </c>
      <c r="AJ10" s="3400">
        <f t="shared" si="79"/>
        <v>108.18</v>
      </c>
      <c r="AK10" s="3400">
        <f t="shared" si="80"/>
        <v>100.79</v>
      </c>
      <c r="AM10" s="3400">
        <f t="shared" si="57"/>
        <v>100.40769732900949</v>
      </c>
      <c r="AN10" s="3400">
        <f t="shared" si="58"/>
        <v>101.68881836828162</v>
      </c>
      <c r="AO10" s="3400">
        <f t="shared" si="59"/>
        <v>102.74957437176857</v>
      </c>
      <c r="AP10" s="3400">
        <f t="shared" si="60"/>
        <v>99.851927164784783</v>
      </c>
      <c r="AQ10" s="3400">
        <f t="shared" si="61"/>
        <v>99.333288308144361</v>
      </c>
      <c r="AR10" s="3400">
        <f t="shared" si="62"/>
        <v>102.74957437176857</v>
      </c>
    </row>
    <row r="11" spans="1:44">
      <c r="A11" s="3086" t="s">
        <v>3262</v>
      </c>
      <c r="B11" s="3135">
        <v>2024</v>
      </c>
      <c r="C11" s="3136">
        <v>2</v>
      </c>
      <c r="D11" s="3136">
        <v>-0.59</v>
      </c>
      <c r="E11" s="3136">
        <v>-0.21</v>
      </c>
      <c r="F11" s="3136">
        <v>-1.38</v>
      </c>
      <c r="G11" s="3136">
        <v>-1.24</v>
      </c>
      <c r="H11" s="3142">
        <v>0.34</v>
      </c>
      <c r="I11" s="3137">
        <f t="shared" ref="I11:I24" si="101">F11</f>
        <v>-1.38</v>
      </c>
      <c r="J11" s="3103"/>
      <c r="K11" s="3104">
        <f t="shared" ref="K11:O24" si="102">D11/100</f>
        <v>-5.8999999999999999E-3</v>
      </c>
      <c r="L11" s="3105">
        <f t="shared" si="102"/>
        <v>-2.0999999999999999E-3</v>
      </c>
      <c r="M11" s="3105">
        <f t="shared" si="102"/>
        <v>-1.38E-2</v>
      </c>
      <c r="N11" s="3105">
        <f t="shared" si="102"/>
        <v>-1.24E-2</v>
      </c>
      <c r="O11" s="3105">
        <f t="shared" si="102"/>
        <v>3.4000000000000002E-3</v>
      </c>
      <c r="P11" s="3105">
        <f t="shared" si="6"/>
        <v>-1.38E-2</v>
      </c>
      <c r="Q11" s="3103"/>
      <c r="R11" s="3114">
        <f>ROUND(IF(项目基本情况!$B$8="出让",SUMPRODUCT(PRODUCT(1+K11:$K$24)),SUMPRODUCT(PRODUCT(1+K11:$K$23))),4)</f>
        <v>1.0748</v>
      </c>
      <c r="S11" s="3114">
        <f>ROUND(IF(项目基本情况!$B$8="出让",SUMPRODUCT(PRODUCT(1+L11:$L$24)),SUMPRODUCT(PRODUCT(1+L11:$L$23))),4)</f>
        <v>1.0498000000000001</v>
      </c>
      <c r="T11" s="3114">
        <f>ROUND(IF(项目基本情况!$B$8="出让",SUMPRODUCT(PRODUCT(1+M11:$M$24)),SUMPRODUCT(PRODUCT(1+M11:$M$23))),4)</f>
        <v>1.0107999999999999</v>
      </c>
      <c r="U11" s="3114">
        <f>ROUND(IF(项目基本情况!$B$8="出让",SUMPRODUCT(PRODUCT(1+N11:$N$24)),SUMPRODUCT(PRODUCT(1+N11:$N$23))),4)</f>
        <v>1.0752999999999999</v>
      </c>
      <c r="V11" s="3114">
        <f>ROUND(IF(项目基本情况!$B$8="出让",SUMPRODUCT(PRODUCT(1+O11:$O$24)),SUMPRODUCT(PRODUCT(1+O11:$O$23))),4)</f>
        <v>1.0841000000000001</v>
      </c>
      <c r="W11" s="3114">
        <f t="shared" si="7"/>
        <v>1.0107999999999999</v>
      </c>
      <c r="X11" s="3103"/>
      <c r="Y11" s="3105">
        <f t="shared" si="99"/>
        <v>5.8999999999999999E-3</v>
      </c>
      <c r="Z11" s="3105">
        <f t="shared" si="99"/>
        <v>3.5999999999999999E-3</v>
      </c>
      <c r="AA11" s="3105">
        <f t="shared" si="99"/>
        <v>5.9999999999999995E-4</v>
      </c>
      <c r="AB11" s="3105">
        <f t="shared" si="99"/>
        <v>6.0000000000000001E-3</v>
      </c>
      <c r="AC11" s="3105">
        <f t="shared" si="99"/>
        <v>6.0000000000000001E-3</v>
      </c>
      <c r="AD11" s="3105">
        <f t="shared" ref="AD11:AD23" si="103">AA11</f>
        <v>5.9999999999999995E-4</v>
      </c>
      <c r="AF11" s="3400">
        <f t="shared" si="75"/>
        <v>107.48</v>
      </c>
      <c r="AG11" s="3400">
        <f t="shared" si="76"/>
        <v>104.98</v>
      </c>
      <c r="AH11" s="3400">
        <f t="shared" si="77"/>
        <v>101.08</v>
      </c>
      <c r="AI11" s="3400">
        <f t="shared" si="78"/>
        <v>107.52999999999999</v>
      </c>
      <c r="AJ11" s="3400">
        <f t="shared" si="79"/>
        <v>108.41000000000001</v>
      </c>
      <c r="AK11" s="3400">
        <f t="shared" si="80"/>
        <v>101.08</v>
      </c>
      <c r="AM11" s="3400">
        <f t="shared" si="57"/>
        <v>101.61693890194262</v>
      </c>
      <c r="AN11" s="3400">
        <f t="shared" si="58"/>
        <v>102.16901272810371</v>
      </c>
      <c r="AO11" s="3400">
        <f t="shared" si="59"/>
        <v>103.04841477461495</v>
      </c>
      <c r="AP11" s="3400">
        <f t="shared" si="60"/>
        <v>100.59634008138704</v>
      </c>
      <c r="AQ11" s="3400">
        <f t="shared" si="61"/>
        <v>99.542327195254401</v>
      </c>
      <c r="AR11" s="3400">
        <f t="shared" si="62"/>
        <v>103.04841477461495</v>
      </c>
    </row>
    <row r="12" spans="1:44">
      <c r="A12" s="3086" t="s">
        <v>3259</v>
      </c>
      <c r="B12" s="3135">
        <v>2024</v>
      </c>
      <c r="C12" s="3136">
        <v>1</v>
      </c>
      <c r="D12" s="3136">
        <v>0.08</v>
      </c>
      <c r="E12" s="3136">
        <v>0.46</v>
      </c>
      <c r="F12" s="3136">
        <v>-0.16</v>
      </c>
      <c r="G12" s="3136">
        <v>0.26</v>
      </c>
      <c r="H12" s="3142">
        <v>0.59</v>
      </c>
      <c r="I12" s="3137">
        <f t="shared" si="101"/>
        <v>-0.16</v>
      </c>
      <c r="J12" s="3103"/>
      <c r="K12" s="3104">
        <f t="shared" ref="K12" si="104">D12/100</f>
        <v>8.0000000000000004E-4</v>
      </c>
      <c r="L12" s="3105">
        <f t="shared" ref="L12" si="105">E12/100</f>
        <v>4.5999999999999999E-3</v>
      </c>
      <c r="M12" s="3105">
        <f t="shared" ref="M12" si="106">F12/100</f>
        <v>-1.6000000000000001E-3</v>
      </c>
      <c r="N12" s="3105">
        <f t="shared" ref="N12" si="107">G12/100</f>
        <v>2.5999999999999999E-3</v>
      </c>
      <c r="O12" s="3105">
        <f t="shared" ref="O12" si="108">H12/100</f>
        <v>5.8999999999999999E-3</v>
      </c>
      <c r="P12" s="3105">
        <f t="shared" ref="P12" si="109">M12</f>
        <v>-1.6000000000000001E-3</v>
      </c>
      <c r="Q12" s="3103"/>
      <c r="R12" s="3114">
        <f>ROUND(IF(项目基本情况!$B$8="出让",SUMPRODUCT(PRODUCT(1+K12:$K$24)),SUMPRODUCT(PRODUCT(1+K12:$K$23))),4)</f>
        <v>1.0811999999999999</v>
      </c>
      <c r="S12" s="3114">
        <f>ROUND(IF(项目基本情况!$B$8="出让",SUMPRODUCT(PRODUCT(1+L12:$L$24)),SUMPRODUCT(PRODUCT(1+L12:$L$23))),4)</f>
        <v>1.052</v>
      </c>
      <c r="T12" s="3114">
        <f>ROUND(IF(项目基本情况!$B$8="出让",SUMPRODUCT(PRODUCT(1+M12:$M$24)),SUMPRODUCT(PRODUCT(1+M12:$M$23))),4)</f>
        <v>1.0249999999999999</v>
      </c>
      <c r="U12" s="3114">
        <f>ROUND(IF(项目基本情况!$B$8="出让",SUMPRODUCT(PRODUCT(1+N12:$N$24)),SUMPRODUCT(PRODUCT(1+N12:$N$23))),4)</f>
        <v>1.0888</v>
      </c>
      <c r="V12" s="3114">
        <f>ROUND(IF(项目基本情况!$B$8="出让",SUMPRODUCT(PRODUCT(1+O12:$O$24)),SUMPRODUCT(PRODUCT(1+O12:$O$23))),4)</f>
        <v>1.0804</v>
      </c>
      <c r="W12" s="3114">
        <f t="shared" ref="W12" si="110">T12</f>
        <v>1.0249999999999999</v>
      </c>
      <c r="X12" s="3103"/>
      <c r="Y12" s="3105">
        <f t="shared" ref="Y12" si="111">IF(D12=0,0,ROUND(AVERAGE(D12:D23)/100,4))</f>
        <v>6.4999999999999997E-3</v>
      </c>
      <c r="Z12" s="3105">
        <f t="shared" ref="Z12" si="112">IF(E12=0,0,ROUND(AVERAGE(E12:E23)/100,4))</f>
        <v>4.1999999999999997E-3</v>
      </c>
      <c r="AA12" s="3105">
        <f t="shared" ref="AA12" si="113">IF(F12=0,0,ROUND(AVERAGE(F12:F23)/100,4))</f>
        <v>2.0999999999999999E-3</v>
      </c>
      <c r="AB12" s="3105">
        <f t="shared" ref="AB12" si="114">IF(G12=0,0,ROUND(AVERAGE(G12:G23)/100,4))</f>
        <v>7.1000000000000004E-3</v>
      </c>
      <c r="AC12" s="3105">
        <f t="shared" ref="AC12" si="115">IF(H12=0,0,ROUND(AVERAGE(H12:H23)/100,4))</f>
        <v>6.4999999999999997E-3</v>
      </c>
      <c r="AD12" s="3105">
        <f t="shared" ref="AD12" si="116">AA12</f>
        <v>2.0999999999999999E-3</v>
      </c>
      <c r="AF12" s="3400">
        <f t="shared" si="75"/>
        <v>108.11999999999999</v>
      </c>
      <c r="AG12" s="3400">
        <f t="shared" si="76"/>
        <v>105.2</v>
      </c>
      <c r="AH12" s="3400">
        <f t="shared" si="77"/>
        <v>102.49999999999999</v>
      </c>
      <c r="AI12" s="3400">
        <f t="shared" si="78"/>
        <v>108.88</v>
      </c>
      <c r="AJ12" s="3400">
        <f t="shared" si="79"/>
        <v>108.04</v>
      </c>
      <c r="AK12" s="3400">
        <f t="shared" si="80"/>
        <v>102.49999999999999</v>
      </c>
      <c r="AM12" s="3400">
        <f t="shared" si="57"/>
        <v>102.22003712095626</v>
      </c>
      <c r="AN12" s="3400">
        <f t="shared" si="58"/>
        <v>102.38401916835726</v>
      </c>
      <c r="AO12" s="3400">
        <f t="shared" si="59"/>
        <v>104.49038204686165</v>
      </c>
      <c r="AP12" s="3400">
        <f t="shared" si="60"/>
        <v>101.85939659921733</v>
      </c>
      <c r="AQ12" s="3400">
        <f t="shared" si="61"/>
        <v>99.205030092938401</v>
      </c>
      <c r="AR12" s="3400">
        <f t="shared" si="62"/>
        <v>104.49038204686165</v>
      </c>
    </row>
    <row r="13" spans="1:44">
      <c r="A13" s="3086" t="s">
        <v>3254</v>
      </c>
      <c r="B13" s="3135">
        <v>2023</v>
      </c>
      <c r="C13" s="3136">
        <v>4</v>
      </c>
      <c r="D13" s="3136">
        <v>0.19</v>
      </c>
      <c r="E13" s="3136">
        <v>0.24</v>
      </c>
      <c r="F13" s="3136">
        <v>-0.16</v>
      </c>
      <c r="G13" s="3136">
        <v>0.17</v>
      </c>
      <c r="H13" s="3142">
        <v>0.61</v>
      </c>
      <c r="I13" s="3137">
        <f t="shared" ref="I13" si="117">F13</f>
        <v>-0.16</v>
      </c>
      <c r="J13" s="3103"/>
      <c r="K13" s="3104">
        <f t="shared" si="102"/>
        <v>1.9E-3</v>
      </c>
      <c r="L13" s="3105">
        <f t="shared" si="102"/>
        <v>2.3999999999999998E-3</v>
      </c>
      <c r="M13" s="3105">
        <f t="shared" si="102"/>
        <v>-1.6000000000000001E-3</v>
      </c>
      <c r="N13" s="3105">
        <f t="shared" si="102"/>
        <v>1.7000000000000001E-3</v>
      </c>
      <c r="O13" s="3105">
        <f t="shared" si="102"/>
        <v>6.0999999999999995E-3</v>
      </c>
      <c r="P13" s="3105">
        <f t="shared" ref="P13" si="118">M13</f>
        <v>-1.6000000000000001E-3</v>
      </c>
      <c r="Q13" s="3103"/>
      <c r="R13" s="3114">
        <f>ROUND(IF(项目基本情况!$B$8="出让",SUMPRODUCT(PRODUCT(1+K13:$K$24)),SUMPRODUCT(PRODUCT(1+K13:$K$23))),4)</f>
        <v>1.0804</v>
      </c>
      <c r="S13" s="3114">
        <f>ROUND(IF(项目基本情况!$B$8="出让",SUMPRODUCT(PRODUCT(1+L13:$L$24)),SUMPRODUCT(PRODUCT(1+L13:$L$23))),4)</f>
        <v>1.0471999999999999</v>
      </c>
      <c r="T13" s="3114">
        <f>ROUND(IF(项目基本情况!$B$8="出让",SUMPRODUCT(PRODUCT(1+M13:$M$24)),SUMPRODUCT(PRODUCT(1+M13:$M$23))),4)</f>
        <v>1.0266</v>
      </c>
      <c r="U13" s="3114">
        <f>ROUND(IF(项目基本情况!$B$8="出让",SUMPRODUCT(PRODUCT(1+N13:$N$24)),SUMPRODUCT(PRODUCT(1+N13:$N$23))),4)</f>
        <v>1.0859000000000001</v>
      </c>
      <c r="V13" s="3114">
        <f>ROUND(IF(项目基本情况!$B$8="出让",SUMPRODUCT(PRODUCT(1+O13:$O$24)),SUMPRODUCT(PRODUCT(1+O13:$O$23))),4)</f>
        <v>1.0741000000000001</v>
      </c>
      <c r="W13" s="3114">
        <f t="shared" ref="W13" si="119">T13</f>
        <v>1.0266</v>
      </c>
      <c r="X13" s="3103"/>
      <c r="Y13" s="3105">
        <f t="shared" ref="Y13" si="120">IF(D13=0,0,ROUND(AVERAGE(D13:D24)/100,4))</f>
        <v>7.3000000000000001E-3</v>
      </c>
      <c r="Z13" s="3105">
        <f t="shared" ref="Z13" si="121">IF(E13=0,0,ROUND(AVERAGE(E13:E24)/100,4))</f>
        <v>4.0000000000000001E-3</v>
      </c>
      <c r="AA13" s="3105">
        <f t="shared" ref="AA13" si="122">IF(F13=0,0,ROUND(AVERAGE(F13:F24)/100,4))</f>
        <v>2E-3</v>
      </c>
      <c r="AB13" s="3105">
        <f t="shared" ref="AB13" si="123">IF(G13=0,0,ROUND(AVERAGE(G13:G24)/100,4))</f>
        <v>7.7999999999999996E-3</v>
      </c>
      <c r="AC13" s="3105">
        <f t="shared" ref="AC13" si="124">IF(H13=0,0,ROUND(AVERAGE(H13:H24)/100,4))</f>
        <v>6.3E-3</v>
      </c>
      <c r="AD13" s="3105">
        <f t="shared" si="103"/>
        <v>2E-3</v>
      </c>
      <c r="AF13" s="3400">
        <f t="shared" si="75"/>
        <v>108.04</v>
      </c>
      <c r="AG13" s="3400">
        <f t="shared" si="76"/>
        <v>104.71999999999998</v>
      </c>
      <c r="AH13" s="3400">
        <f t="shared" si="77"/>
        <v>102.66</v>
      </c>
      <c r="AI13" s="3400">
        <f t="shared" si="78"/>
        <v>108.59</v>
      </c>
      <c r="AJ13" s="3400">
        <f t="shared" si="79"/>
        <v>107.41000000000001</v>
      </c>
      <c r="AK13" s="3400">
        <f t="shared" si="80"/>
        <v>102.66</v>
      </c>
      <c r="AM13" s="3400">
        <f t="shared" si="57"/>
        <v>102.13832645978844</v>
      </c>
      <c r="AN13" s="3400">
        <f t="shared" si="58"/>
        <v>101.91520920600962</v>
      </c>
      <c r="AO13" s="3400">
        <f t="shared" si="59"/>
        <v>104.65783458219317</v>
      </c>
      <c r="AP13" s="3400">
        <f t="shared" si="60"/>
        <v>101.5952489519423</v>
      </c>
      <c r="AQ13" s="3400">
        <f t="shared" si="61"/>
        <v>98.623153487362956</v>
      </c>
      <c r="AR13" s="3400">
        <f t="shared" si="62"/>
        <v>104.65783458219317</v>
      </c>
    </row>
    <row r="14" spans="1:44">
      <c r="A14" s="3086" t="s">
        <v>3253</v>
      </c>
      <c r="B14" s="3135">
        <v>2023</v>
      </c>
      <c r="C14" s="3136">
        <v>3</v>
      </c>
      <c r="D14" s="3136">
        <v>0.25</v>
      </c>
      <c r="E14" s="3136">
        <v>0.5</v>
      </c>
      <c r="F14" s="3136">
        <v>0.31</v>
      </c>
      <c r="G14" s="3136">
        <v>0.21</v>
      </c>
      <c r="H14" s="3142">
        <v>0.43</v>
      </c>
      <c r="I14" s="3137">
        <f t="shared" si="101"/>
        <v>0.31</v>
      </c>
      <c r="J14" s="3103"/>
      <c r="K14" s="3104">
        <f t="shared" ref="K14:K16" si="125">D14/100</f>
        <v>2.5000000000000001E-3</v>
      </c>
      <c r="L14" s="3105">
        <f t="shared" ref="L14:L16" si="126">E14/100</f>
        <v>5.0000000000000001E-3</v>
      </c>
      <c r="M14" s="3105">
        <f t="shared" ref="M14:M16" si="127">F14/100</f>
        <v>3.0999999999999999E-3</v>
      </c>
      <c r="N14" s="3105">
        <f t="shared" ref="N14:N16" si="128">G14/100</f>
        <v>2.0999999999999999E-3</v>
      </c>
      <c r="O14" s="3105">
        <f t="shared" ref="O14:O16" si="129">H14/100</f>
        <v>4.3E-3</v>
      </c>
      <c r="P14" s="3105">
        <f t="shared" ref="P14:P16" si="130">M14</f>
        <v>3.0999999999999999E-3</v>
      </c>
      <c r="Q14" s="3103"/>
      <c r="R14" s="3114">
        <f>ROUND(IF(项目基本情况!$B$8="出让",SUMPRODUCT(PRODUCT(1+K14:$K$24)),SUMPRODUCT(PRODUCT(1+K14:$K$23))),4)</f>
        <v>1.0783</v>
      </c>
      <c r="S14" s="3114">
        <f>ROUND(IF(项目基本情况!$B$8="出让",SUMPRODUCT(PRODUCT(1+L14:$L$24)),SUMPRODUCT(PRODUCT(1+L14:$L$23))),4)</f>
        <v>1.0447</v>
      </c>
      <c r="T14" s="3114">
        <f>ROUND(IF(项目基本情况!$B$8="出让",SUMPRODUCT(PRODUCT(1+M14:$M$24)),SUMPRODUCT(PRODUCT(1+M14:$M$23))),4)</f>
        <v>1.0282</v>
      </c>
      <c r="U14" s="3114">
        <f>ROUND(IF(项目基本情况!$B$8="出让",SUMPRODUCT(PRODUCT(1+N14:$N$24)),SUMPRODUCT(PRODUCT(1+N14:$N$23))),4)</f>
        <v>1.0841000000000001</v>
      </c>
      <c r="V14" s="3114">
        <f>ROUND(IF(项目基本情况!$B$8="出让",SUMPRODUCT(PRODUCT(1+O14:$O$24)),SUMPRODUCT(PRODUCT(1+O14:$O$23))),4)</f>
        <v>1.0674999999999999</v>
      </c>
      <c r="W14" s="3114">
        <f t="shared" ref="W14:W16" si="131">T14</f>
        <v>1.0282</v>
      </c>
      <c r="X14" s="3103"/>
      <c r="Y14" s="3105">
        <f t="shared" ref="Y14:AC14" si="132">IF(D14=0,0,ROUND(AVERAGE(D14:D25)/100,4))</f>
        <v>7.7999999999999996E-3</v>
      </c>
      <c r="Z14" s="3105">
        <f t="shared" si="132"/>
        <v>4.1000000000000003E-3</v>
      </c>
      <c r="AA14" s="3105">
        <f t="shared" si="132"/>
        <v>2.3E-3</v>
      </c>
      <c r="AB14" s="3105">
        <f t="shared" si="132"/>
        <v>8.3999999999999995E-3</v>
      </c>
      <c r="AC14" s="3105">
        <f t="shared" si="132"/>
        <v>6.3E-3</v>
      </c>
      <c r="AD14" s="3105">
        <f t="shared" ref="AD14:AD16" si="133">AA14</f>
        <v>2.3E-3</v>
      </c>
      <c r="AF14" s="3400">
        <f t="shared" si="75"/>
        <v>107.83</v>
      </c>
      <c r="AG14" s="3400">
        <f t="shared" si="76"/>
        <v>104.47</v>
      </c>
      <c r="AH14" s="3400">
        <f t="shared" si="77"/>
        <v>102.82</v>
      </c>
      <c r="AI14" s="3400">
        <f t="shared" si="78"/>
        <v>108.41000000000001</v>
      </c>
      <c r="AJ14" s="3400">
        <f t="shared" si="79"/>
        <v>106.74999999999999</v>
      </c>
      <c r="AK14" s="3400">
        <f t="shared" si="80"/>
        <v>102.82</v>
      </c>
      <c r="AM14" s="3400">
        <f t="shared" si="57"/>
        <v>101.94463165963514</v>
      </c>
      <c r="AN14" s="3400">
        <f t="shared" si="58"/>
        <v>101.67119833001759</v>
      </c>
      <c r="AO14" s="3400">
        <f t="shared" si="59"/>
        <v>104.8255554709467</v>
      </c>
      <c r="AP14" s="3400">
        <f t="shared" si="60"/>
        <v>101.4228301407031</v>
      </c>
      <c r="AQ14" s="3400">
        <f t="shared" si="61"/>
        <v>98.025199768773433</v>
      </c>
      <c r="AR14" s="3400">
        <f t="shared" si="62"/>
        <v>104.8255554709467</v>
      </c>
    </row>
    <row r="15" spans="1:44">
      <c r="A15" s="3086" t="s">
        <v>3251</v>
      </c>
      <c r="B15" s="3135">
        <v>2023</v>
      </c>
      <c r="C15" s="3136">
        <v>2</v>
      </c>
      <c r="D15" s="3136">
        <v>0.91</v>
      </c>
      <c r="E15" s="3136">
        <v>0.66</v>
      </c>
      <c r="F15" s="3136">
        <v>0.47</v>
      </c>
      <c r="G15" s="3136">
        <v>0.96</v>
      </c>
      <c r="H15" s="3142">
        <v>0.71</v>
      </c>
      <c r="I15" s="3137">
        <f t="shared" si="101"/>
        <v>0.47</v>
      </c>
      <c r="J15" s="3103"/>
      <c r="K15" s="3104">
        <f t="shared" si="125"/>
        <v>9.1000000000000004E-3</v>
      </c>
      <c r="L15" s="3105">
        <f t="shared" si="126"/>
        <v>6.6E-3</v>
      </c>
      <c r="M15" s="3105">
        <f t="shared" si="127"/>
        <v>4.6999999999999993E-3</v>
      </c>
      <c r="N15" s="3105">
        <f t="shared" si="128"/>
        <v>9.5999999999999992E-3</v>
      </c>
      <c r="O15" s="3105">
        <f t="shared" si="129"/>
        <v>7.0999999999999995E-3</v>
      </c>
      <c r="P15" s="3105">
        <f t="shared" si="130"/>
        <v>4.6999999999999993E-3</v>
      </c>
      <c r="Q15" s="3103"/>
      <c r="R15" s="3114">
        <f>ROUND(IF(项目基本情况!$B$8="出让",SUMPRODUCT(PRODUCT(1+K15:$K$24)),SUMPRODUCT(PRODUCT(1+K15:$K$23))),4)</f>
        <v>1.0755999999999999</v>
      </c>
      <c r="S15" s="3114">
        <f>ROUND(IF(项目基本情况!$B$8="出让",SUMPRODUCT(PRODUCT(1+L15:$L$24)),SUMPRODUCT(PRODUCT(1+L15:$L$23))),4)</f>
        <v>1.0395000000000001</v>
      </c>
      <c r="T15" s="3114">
        <f>ROUND(IF(项目基本情况!$B$8="出让",SUMPRODUCT(PRODUCT(1+M15:$M$24)),SUMPRODUCT(PRODUCT(1+M15:$M$23))),4)</f>
        <v>1.0250999999999999</v>
      </c>
      <c r="U15" s="3114">
        <f>ROUND(IF(项目基本情况!$B$8="出让",SUMPRODUCT(PRODUCT(1+N15:$N$24)),SUMPRODUCT(PRODUCT(1+N15:$N$23))),4)</f>
        <v>1.0818000000000001</v>
      </c>
      <c r="V15" s="3114">
        <f>ROUND(IF(项目基本情况!$B$8="出让",SUMPRODUCT(PRODUCT(1+O15:$O$24)),SUMPRODUCT(PRODUCT(1+O15:$O$23))),4)</f>
        <v>1.0629999999999999</v>
      </c>
      <c r="W15" s="3114">
        <f t="shared" si="131"/>
        <v>1.0250999999999999</v>
      </c>
      <c r="X15" s="3103"/>
      <c r="Y15" s="3105">
        <f t="shared" ref="Y15:AC15" si="134">IF(D15=0,0,ROUND(AVERAGE(D15:D26)/100,4))</f>
        <v>8.3000000000000001E-3</v>
      </c>
      <c r="Z15" s="3105">
        <f t="shared" si="134"/>
        <v>4.0000000000000001E-3</v>
      </c>
      <c r="AA15" s="3105">
        <f t="shared" si="134"/>
        <v>2.2000000000000001E-3</v>
      </c>
      <c r="AB15" s="3105">
        <f t="shared" si="134"/>
        <v>8.9999999999999993E-3</v>
      </c>
      <c r="AC15" s="3105">
        <f t="shared" si="134"/>
        <v>6.4999999999999997E-3</v>
      </c>
      <c r="AD15" s="3105">
        <f t="shared" si="133"/>
        <v>2.2000000000000001E-3</v>
      </c>
      <c r="AF15" s="3400">
        <f t="shared" si="75"/>
        <v>107.55999999999999</v>
      </c>
      <c r="AG15" s="3400">
        <f t="shared" si="76"/>
        <v>103.95</v>
      </c>
      <c r="AH15" s="3400">
        <f t="shared" si="77"/>
        <v>102.50999999999999</v>
      </c>
      <c r="AI15" s="3400">
        <f t="shared" si="78"/>
        <v>108.18</v>
      </c>
      <c r="AJ15" s="3400">
        <f t="shared" si="79"/>
        <v>106.3</v>
      </c>
      <c r="AK15" s="3400">
        <f t="shared" si="80"/>
        <v>102.50999999999999</v>
      </c>
      <c r="AM15" s="3400">
        <f t="shared" si="57"/>
        <v>101.69040564552134</v>
      </c>
      <c r="AN15" s="3400">
        <f t="shared" si="58"/>
        <v>101.16537147265433</v>
      </c>
      <c r="AO15" s="3400">
        <f t="shared" si="59"/>
        <v>104.50160050936765</v>
      </c>
      <c r="AP15" s="3400">
        <f t="shared" si="60"/>
        <v>101.21028853478006</v>
      </c>
      <c r="AQ15" s="3400">
        <f t="shared" si="61"/>
        <v>97.605496135391249</v>
      </c>
      <c r="AR15" s="3400">
        <f t="shared" si="62"/>
        <v>104.50160050936765</v>
      </c>
    </row>
    <row r="16" spans="1:44">
      <c r="A16" s="3086" t="s">
        <v>3249</v>
      </c>
      <c r="B16" s="3135">
        <v>2023</v>
      </c>
      <c r="C16" s="3136">
        <v>1</v>
      </c>
      <c r="D16" s="3136">
        <v>0.89</v>
      </c>
      <c r="E16" s="3136">
        <v>0.74</v>
      </c>
      <c r="F16" s="3136">
        <v>0.56999999999999995</v>
      </c>
      <c r="G16" s="3136">
        <v>0.92</v>
      </c>
      <c r="H16" s="3142">
        <v>0.5</v>
      </c>
      <c r="I16" s="3137">
        <f t="shared" si="101"/>
        <v>0.56999999999999995</v>
      </c>
      <c r="J16" s="3103"/>
      <c r="K16" s="3104">
        <f t="shared" si="125"/>
        <v>8.8999999999999999E-3</v>
      </c>
      <c r="L16" s="3105">
        <f t="shared" si="126"/>
        <v>7.4000000000000003E-3</v>
      </c>
      <c r="M16" s="3105">
        <f t="shared" si="127"/>
        <v>5.6999999999999993E-3</v>
      </c>
      <c r="N16" s="3105">
        <f t="shared" si="128"/>
        <v>9.1999999999999998E-3</v>
      </c>
      <c r="O16" s="3105">
        <f t="shared" si="129"/>
        <v>5.0000000000000001E-3</v>
      </c>
      <c r="P16" s="3105">
        <f t="shared" si="130"/>
        <v>5.6999999999999993E-3</v>
      </c>
      <c r="Q16" s="3103"/>
      <c r="R16" s="3114">
        <f>ROUND(IF(项目基本情况!$B$8="出让",SUMPRODUCT(PRODUCT(1+K16:$K$24)),SUMPRODUCT(PRODUCT(1+K16:$K$23))),4)</f>
        <v>1.0659000000000001</v>
      </c>
      <c r="S16" s="3114">
        <f>ROUND(IF(项目基本情况!$B$8="出让",SUMPRODUCT(PRODUCT(1+L16:$L$24)),SUMPRODUCT(PRODUCT(1+L16:$L$23))),4)</f>
        <v>1.0326</v>
      </c>
      <c r="T16" s="3114">
        <f>ROUND(IF(项目基本情况!$B$8="出让",SUMPRODUCT(PRODUCT(1+M16:$M$24)),SUMPRODUCT(PRODUCT(1+M16:$M$23))),4)</f>
        <v>1.0203</v>
      </c>
      <c r="U16" s="3114">
        <f>ROUND(IF(项目基本情况!$B$8="出让",SUMPRODUCT(PRODUCT(1+N16:$N$24)),SUMPRODUCT(PRODUCT(1+N16:$N$23))),4)</f>
        <v>1.0714999999999999</v>
      </c>
      <c r="V16" s="3114">
        <f>ROUND(IF(项目基本情况!$B$8="出让",SUMPRODUCT(PRODUCT(1+O16:$O$24)),SUMPRODUCT(PRODUCT(1+O16:$O$23))),4)</f>
        <v>1.0555000000000001</v>
      </c>
      <c r="W16" s="3114">
        <f t="shared" si="131"/>
        <v>1.0203</v>
      </c>
      <c r="X16" s="3103"/>
      <c r="Y16" s="3105">
        <f t="shared" ref="Y16:AC16" si="135">IF(D16=0,0,ROUND(AVERAGE(D16:D27)/100,4))</f>
        <v>8.2000000000000007E-3</v>
      </c>
      <c r="Z16" s="3105">
        <f t="shared" si="135"/>
        <v>3.8E-3</v>
      </c>
      <c r="AA16" s="3105">
        <f t="shared" si="135"/>
        <v>2E-3</v>
      </c>
      <c r="AB16" s="3105">
        <f t="shared" si="135"/>
        <v>8.8999999999999999E-3</v>
      </c>
      <c r="AC16" s="3105">
        <f t="shared" si="135"/>
        <v>6.4000000000000003E-3</v>
      </c>
      <c r="AD16" s="3105">
        <f t="shared" si="133"/>
        <v>2E-3</v>
      </c>
      <c r="AF16" s="3400">
        <f t="shared" si="75"/>
        <v>106.59</v>
      </c>
      <c r="AG16" s="3400">
        <f t="shared" si="76"/>
        <v>103.25999999999999</v>
      </c>
      <c r="AH16" s="3400">
        <f t="shared" si="77"/>
        <v>102.03</v>
      </c>
      <c r="AI16" s="3400">
        <f t="shared" si="78"/>
        <v>107.14999999999999</v>
      </c>
      <c r="AJ16" s="3400">
        <f t="shared" si="79"/>
        <v>105.55000000000001</v>
      </c>
      <c r="AK16" s="3400">
        <f t="shared" si="80"/>
        <v>102.03</v>
      </c>
      <c r="AM16" s="3400">
        <f t="shared" si="57"/>
        <v>100.77336799675089</v>
      </c>
      <c r="AN16" s="3400">
        <f t="shared" si="58"/>
        <v>100.50205789057652</v>
      </c>
      <c r="AO16" s="3400">
        <f t="shared" si="59"/>
        <v>104.01274062841411</v>
      </c>
      <c r="AP16" s="3400">
        <f t="shared" si="60"/>
        <v>100.24790861210386</v>
      </c>
      <c r="AQ16" s="3400">
        <f t="shared" si="61"/>
        <v>96.917382718092782</v>
      </c>
      <c r="AR16" s="3400">
        <f t="shared" si="62"/>
        <v>104.01274062841411</v>
      </c>
    </row>
    <row r="17" spans="1:44">
      <c r="A17" s="3086" t="s">
        <v>3247</v>
      </c>
      <c r="B17" s="3135">
        <v>2022</v>
      </c>
      <c r="C17" s="3136">
        <v>4</v>
      </c>
      <c r="D17" s="3136">
        <v>0.62</v>
      </c>
      <c r="E17" s="3136">
        <v>0.2</v>
      </c>
      <c r="F17" s="3136">
        <v>0.11</v>
      </c>
      <c r="G17" s="3136">
        <v>0.69</v>
      </c>
      <c r="H17" s="3142">
        <v>0.53</v>
      </c>
      <c r="I17" s="3137">
        <f t="shared" si="101"/>
        <v>0.11</v>
      </c>
      <c r="J17" s="3103"/>
      <c r="K17" s="3104">
        <f t="shared" si="102"/>
        <v>6.1999999999999998E-3</v>
      </c>
      <c r="L17" s="3105">
        <f t="shared" si="102"/>
        <v>2E-3</v>
      </c>
      <c r="M17" s="3105">
        <f t="shared" si="102"/>
        <v>1.1000000000000001E-3</v>
      </c>
      <c r="N17" s="3105">
        <f t="shared" si="102"/>
        <v>6.8999999999999999E-3</v>
      </c>
      <c r="O17" s="3105">
        <f t="shared" si="102"/>
        <v>5.3E-3</v>
      </c>
      <c r="P17" s="3105">
        <f t="shared" ref="P17:P24" si="136">M17</f>
        <v>1.1000000000000001E-3</v>
      </c>
      <c r="Q17" s="3103"/>
      <c r="R17" s="3114">
        <f>ROUND(IF(项目基本情况!B8="出让",SUMPRODUCT(PRODUCT(1+K17:K24)),SUMPRODUCT(PRODUCT(1+K17:K23))),4)</f>
        <v>1.0565</v>
      </c>
      <c r="S17" s="3114">
        <f>ROUND(IF(项目基本情况!B8="出让",SUMPRODUCT(PRODUCT(1+L17:L24)),SUMPRODUCT(PRODUCT(1+L17:L23))),4)</f>
        <v>1.0250999999999999</v>
      </c>
      <c r="T17" s="3114">
        <f>ROUND(IF(项目基本情况!B8="出让",SUMPRODUCT(PRODUCT(1+M17:M24)),SUMPRODUCT(PRODUCT(1+M17:M23))),4)</f>
        <v>1.0145</v>
      </c>
      <c r="U17" s="3114">
        <f>ROUND(IF(项目基本情况!B8="出让",SUMPRODUCT(PRODUCT(1+N17:N24)),SUMPRODUCT(PRODUCT(1+N17:N23))),4)</f>
        <v>1.0618000000000001</v>
      </c>
      <c r="V17" s="3114">
        <f>ROUND(IF(项目基本情况!B8="出让",SUMPRODUCT(PRODUCT(1+O17:O24)),SUMPRODUCT(PRODUCT(1+O17:O23))),4)</f>
        <v>1.0502</v>
      </c>
      <c r="W17" s="3114">
        <f t="shared" ref="W17:W24" si="137">T17</f>
        <v>1.0145</v>
      </c>
      <c r="X17" s="3103"/>
      <c r="Y17" s="3105">
        <f>IF(D17=0,0,ROUND(AVERAGE(D17:D25)/100,4))</f>
        <v>8.0999999999999996E-3</v>
      </c>
      <c r="Z17" s="3105">
        <f>IF(E17=0,0,ROUND(AVERAGE(E17:E24)/100,4))</f>
        <v>3.3E-3</v>
      </c>
      <c r="AA17" s="3105">
        <f>IF(F17=0,0,ROUND(AVERAGE(F17:F24)/100,4))</f>
        <v>1.5E-3</v>
      </c>
      <c r="AB17" s="3105">
        <f>IF(G17=0,0,ROUND(AVERAGE(G17:G24)/100,4))</f>
        <v>8.8999999999999999E-3</v>
      </c>
      <c r="AC17" s="3105">
        <f>IF(H17=0,0,ROUND(AVERAGE(H17:H24)/100,4))</f>
        <v>6.6E-3</v>
      </c>
      <c r="AD17" s="3105">
        <f t="shared" si="103"/>
        <v>1.5E-3</v>
      </c>
      <c r="AF17" s="3400">
        <f t="shared" si="75"/>
        <v>105.65</v>
      </c>
      <c r="AG17" s="3400">
        <f t="shared" si="76"/>
        <v>102.50999999999999</v>
      </c>
      <c r="AH17" s="3400">
        <f t="shared" si="77"/>
        <v>101.44999999999999</v>
      </c>
      <c r="AI17" s="3400">
        <f t="shared" si="78"/>
        <v>106.18</v>
      </c>
      <c r="AJ17" s="3400">
        <f t="shared" si="79"/>
        <v>105.02</v>
      </c>
      <c r="AK17" s="3400">
        <f t="shared" si="80"/>
        <v>101.44999999999999</v>
      </c>
      <c r="AM17" s="3400">
        <f t="shared" si="57"/>
        <v>99.884396864655471</v>
      </c>
      <c r="AN17" s="3400">
        <f t="shared" si="58"/>
        <v>99.763805728187918</v>
      </c>
      <c r="AO17" s="3400">
        <f t="shared" si="59"/>
        <v>103.42322822751726</v>
      </c>
      <c r="AP17" s="3400">
        <f t="shared" si="60"/>
        <v>99.334035485635994</v>
      </c>
      <c r="AQ17" s="3400">
        <f t="shared" si="61"/>
        <v>96.435206684669438</v>
      </c>
      <c r="AR17" s="3400">
        <f t="shared" si="62"/>
        <v>103.42322822751726</v>
      </c>
    </row>
    <row r="18" spans="1:44">
      <c r="A18" s="3086" t="s">
        <v>3244</v>
      </c>
      <c r="B18" s="3135">
        <v>2022</v>
      </c>
      <c r="C18" s="3136">
        <v>3</v>
      </c>
      <c r="D18" s="3136">
        <v>0.66</v>
      </c>
      <c r="E18" s="3136">
        <v>0.32</v>
      </c>
      <c r="F18" s="3136">
        <v>0.23</v>
      </c>
      <c r="G18" s="3136">
        <v>0.72</v>
      </c>
      <c r="H18" s="3142">
        <v>0.63</v>
      </c>
      <c r="I18" s="3137">
        <f t="shared" si="101"/>
        <v>0.23</v>
      </c>
      <c r="J18" s="3103"/>
      <c r="K18" s="3104">
        <f t="shared" si="102"/>
        <v>6.6E-3</v>
      </c>
      <c r="L18" s="3105">
        <f t="shared" si="102"/>
        <v>3.2000000000000002E-3</v>
      </c>
      <c r="M18" s="3105">
        <f t="shared" si="102"/>
        <v>2.3E-3</v>
      </c>
      <c r="N18" s="3105">
        <f t="shared" si="102"/>
        <v>7.1999999999999998E-3</v>
      </c>
      <c r="O18" s="3105">
        <f t="shared" si="102"/>
        <v>6.3E-3</v>
      </c>
      <c r="P18" s="3105">
        <f t="shared" si="136"/>
        <v>2.3E-3</v>
      </c>
      <c r="Q18" s="3103"/>
      <c r="R18" s="3114">
        <f>ROUND(IF(项目基本情况!B8="出让",SUMPRODUCT(PRODUCT(1+K18:K24)),SUMPRODUCT(PRODUCT(1+K18:K23))),4)</f>
        <v>1.05</v>
      </c>
      <c r="S18" s="3114">
        <f>ROUND(IF(项目基本情况!B8="出让",SUMPRODUCT(PRODUCT(1+L18:L24)),SUMPRODUCT(PRODUCT(1+L18:L23))),4)</f>
        <v>1.0229999999999999</v>
      </c>
      <c r="T18" s="3114">
        <f>ROUND(IF(项目基本情况!B8="出让",SUMPRODUCT(PRODUCT(1+M18:M24)),SUMPRODUCT(PRODUCT(1+M18:M23))),4)</f>
        <v>1.0134000000000001</v>
      </c>
      <c r="U18" s="3114">
        <f>ROUND(IF(项目基本情况!B8="出让",SUMPRODUCT(PRODUCT(1+N18:N24)),SUMPRODUCT(PRODUCT(1+N18:N23))),4)</f>
        <v>1.0545</v>
      </c>
      <c r="V18" s="3114">
        <f>ROUND(IF(项目基本情况!B8="出让",SUMPRODUCT(PRODUCT(1+O18:O24)),SUMPRODUCT(PRODUCT(1+O18:O23))),4)</f>
        <v>1.0447</v>
      </c>
      <c r="W18" s="3114">
        <f t="shared" si="137"/>
        <v>1.0134000000000001</v>
      </c>
      <c r="X18" s="3103"/>
      <c r="Y18" s="3105">
        <f>IF(D18=0,0,ROUND(AVERAGE(D18:D24)/100,4))</f>
        <v>8.3999999999999995E-3</v>
      </c>
      <c r="Z18" s="3105">
        <f>IF(E18=0,0,ROUND(AVERAGE(E18:E24)/100,4))</f>
        <v>3.5000000000000001E-3</v>
      </c>
      <c r="AA18" s="3105">
        <f>IF(F18=0,0,ROUND(AVERAGE(F18:F24)/100,4))</f>
        <v>1.5E-3</v>
      </c>
      <c r="AB18" s="3105">
        <f>IF(G18=0,0,ROUND(AVERAGE(G18:G24)/100,4))</f>
        <v>9.1999999999999998E-3</v>
      </c>
      <c r="AC18" s="3105">
        <f>IF(H18=0,0,ROUND(AVERAGE(H18:H24)/100,4))</f>
        <v>6.7999999999999996E-3</v>
      </c>
      <c r="AD18" s="3105">
        <f t="shared" si="103"/>
        <v>1.5E-3</v>
      </c>
      <c r="AF18" s="3400">
        <f t="shared" si="75"/>
        <v>105</v>
      </c>
      <c r="AG18" s="3400">
        <f t="shared" si="76"/>
        <v>102.3</v>
      </c>
      <c r="AH18" s="3400">
        <f t="shared" si="77"/>
        <v>101.34</v>
      </c>
      <c r="AI18" s="3400">
        <f t="shared" si="78"/>
        <v>105.45</v>
      </c>
      <c r="AJ18" s="3400">
        <f t="shared" si="79"/>
        <v>104.47</v>
      </c>
      <c r="AK18" s="3400">
        <f t="shared" si="80"/>
        <v>101.34</v>
      </c>
      <c r="AM18" s="3400">
        <f t="shared" si="57"/>
        <v>99.268929501744651</v>
      </c>
      <c r="AN18" s="3400">
        <f t="shared" si="58"/>
        <v>99.564676375437045</v>
      </c>
      <c r="AO18" s="3400">
        <f t="shared" si="59"/>
        <v>103.30958768106807</v>
      </c>
      <c r="AP18" s="3400">
        <f t="shared" si="60"/>
        <v>98.653327525708619</v>
      </c>
      <c r="AQ18" s="3400">
        <f t="shared" si="61"/>
        <v>95.926794672903043</v>
      </c>
      <c r="AR18" s="3400">
        <f t="shared" si="62"/>
        <v>103.30958768106807</v>
      </c>
    </row>
    <row r="19" spans="1:44">
      <c r="A19" s="3086" t="s">
        <v>3245</v>
      </c>
      <c r="B19" s="3135">
        <v>2022</v>
      </c>
      <c r="C19" s="3136">
        <v>2</v>
      </c>
      <c r="D19" s="3136">
        <v>0.93</v>
      </c>
      <c r="E19" s="3136">
        <v>0.15</v>
      </c>
      <c r="F19" s="3136">
        <v>0.01</v>
      </c>
      <c r="G19" s="3136">
        <v>1.05</v>
      </c>
      <c r="H19" s="3142">
        <v>1.08</v>
      </c>
      <c r="I19" s="3137">
        <f t="shared" si="101"/>
        <v>0.01</v>
      </c>
      <c r="J19" s="3103"/>
      <c r="K19" s="3104">
        <f t="shared" si="102"/>
        <v>9.300000000000001E-3</v>
      </c>
      <c r="L19" s="3105">
        <f t="shared" si="102"/>
        <v>1.5E-3</v>
      </c>
      <c r="M19" s="3105">
        <f t="shared" si="102"/>
        <v>1E-4</v>
      </c>
      <c r="N19" s="3105">
        <f t="shared" si="102"/>
        <v>1.0500000000000001E-2</v>
      </c>
      <c r="O19" s="3105">
        <f t="shared" si="102"/>
        <v>1.0800000000000001E-2</v>
      </c>
      <c r="P19" s="3105">
        <f t="shared" si="136"/>
        <v>1E-4</v>
      </c>
      <c r="Q19" s="3103"/>
      <c r="R19" s="3114">
        <f>ROUND(IF(项目基本情况!B8="出让",SUMPRODUCT(PRODUCT(1+K19:K24)),SUMPRODUCT(PRODUCT(1+K19:K23))),4)</f>
        <v>1.0430999999999999</v>
      </c>
      <c r="S19" s="3114">
        <f>ROUND(IF(项目基本情况!B8="出让",SUMPRODUCT(PRODUCT(1+L19:L24)),SUMPRODUCT(PRODUCT(1+L19:L23))),4)</f>
        <v>1.0197000000000001</v>
      </c>
      <c r="T19" s="3114">
        <f>ROUND(IF(项目基本情况!B8="出让",SUMPRODUCT(PRODUCT(1+M19:M24)),SUMPRODUCT(PRODUCT(1+M19:M23))),4)</f>
        <v>1.0109999999999999</v>
      </c>
      <c r="U19" s="3114">
        <f>ROUND(IF(项目基本情况!B8="出让",SUMPRODUCT(PRODUCT(1+N19:N24)),SUMPRODUCT(PRODUCT(1+N19:N23))),4)</f>
        <v>1.0468999999999999</v>
      </c>
      <c r="V19" s="3114">
        <f>ROUND(IF(项目基本情况!B8="出让",SUMPRODUCT(PRODUCT(1+O19:O24)),SUMPRODUCT(PRODUCT(1+O19:O23))),4)</f>
        <v>1.0382</v>
      </c>
      <c r="W19" s="3114">
        <f t="shared" si="137"/>
        <v>1.0109999999999999</v>
      </c>
      <c r="X19" s="3103"/>
      <c r="Y19" s="3105">
        <f>IF(D19=0,0,ROUND(AVERAGE(D19:D24)/100,4))</f>
        <v>8.6999999999999994E-3</v>
      </c>
      <c r="Z19" s="3105">
        <f>IF(E19=0,0,ROUND(AVERAGE(E19:E24)/100,4))</f>
        <v>3.5000000000000001E-3</v>
      </c>
      <c r="AA19" s="3105">
        <f>IF(F19=0,0,ROUND(AVERAGE(F19:F24)/100,4))</f>
        <v>1.4E-3</v>
      </c>
      <c r="AB19" s="3105">
        <f>IF(G19=0,0,ROUND(AVERAGE(G19:G24)/100,4))</f>
        <v>9.4999999999999998E-3</v>
      </c>
      <c r="AC19" s="3105">
        <f>IF(H19=0,0,ROUND(AVERAGE(H19:H24)/100,4))</f>
        <v>6.8999999999999999E-3</v>
      </c>
      <c r="AD19" s="3105">
        <f t="shared" si="103"/>
        <v>1.4E-3</v>
      </c>
      <c r="AF19" s="3400">
        <f t="shared" si="75"/>
        <v>104.30999999999999</v>
      </c>
      <c r="AG19" s="3400">
        <f t="shared" si="76"/>
        <v>101.97</v>
      </c>
      <c r="AH19" s="3400">
        <f t="shared" si="77"/>
        <v>101.1</v>
      </c>
      <c r="AI19" s="3400">
        <f t="shared" si="78"/>
        <v>104.69</v>
      </c>
      <c r="AJ19" s="3400">
        <f t="shared" si="79"/>
        <v>103.82000000000001</v>
      </c>
      <c r="AK19" s="3400">
        <f t="shared" si="80"/>
        <v>101.1</v>
      </c>
      <c r="AM19" s="3400">
        <f t="shared" si="57"/>
        <v>98.618050369307227</v>
      </c>
      <c r="AN19" s="3400">
        <f t="shared" si="58"/>
        <v>99.247085701193214</v>
      </c>
      <c r="AO19" s="3400">
        <f t="shared" si="59"/>
        <v>103.07252088303709</v>
      </c>
      <c r="AP19" s="3400">
        <f t="shared" si="60"/>
        <v>97.948101197089571</v>
      </c>
      <c r="AQ19" s="3400">
        <f t="shared" si="61"/>
        <v>95.326239364904154</v>
      </c>
      <c r="AR19" s="3400">
        <f t="shared" si="62"/>
        <v>103.07252088303709</v>
      </c>
    </row>
    <row r="20" spans="1:44">
      <c r="A20" s="3086" t="s">
        <v>2781</v>
      </c>
      <c r="B20" s="3135">
        <v>2022</v>
      </c>
      <c r="C20" s="3136">
        <v>1</v>
      </c>
      <c r="D20" s="3136">
        <v>0.89</v>
      </c>
      <c r="E20" s="3136">
        <v>0.44</v>
      </c>
      <c r="F20" s="3136">
        <v>0.37</v>
      </c>
      <c r="G20" s="3136">
        <v>0.96</v>
      </c>
      <c r="H20" s="3142">
        <v>0.64</v>
      </c>
      <c r="I20" s="3137">
        <f t="shared" si="101"/>
        <v>0.37</v>
      </c>
      <c r="J20" s="3103"/>
      <c r="K20" s="3104">
        <f t="shared" si="102"/>
        <v>8.8999999999999999E-3</v>
      </c>
      <c r="L20" s="3105">
        <f t="shared" si="102"/>
        <v>4.4000000000000003E-3</v>
      </c>
      <c r="M20" s="3105">
        <f t="shared" si="102"/>
        <v>3.7000000000000002E-3</v>
      </c>
      <c r="N20" s="3105">
        <f t="shared" si="102"/>
        <v>9.5999999999999992E-3</v>
      </c>
      <c r="O20" s="3105">
        <f t="shared" si="102"/>
        <v>6.4000000000000003E-3</v>
      </c>
      <c r="P20" s="3105">
        <f t="shared" si="136"/>
        <v>3.7000000000000002E-3</v>
      </c>
      <c r="Q20" s="3103"/>
      <c r="R20" s="3114">
        <f>ROUND(IF(项目基本情况!B8="出让",SUMPRODUCT(PRODUCT(1+K20:K24)),SUMPRODUCT(PRODUCT(1+K20:K23))),4)</f>
        <v>1.0335000000000001</v>
      </c>
      <c r="S20" s="3114">
        <f>ROUND(IF(项目基本情况!B8="出让",SUMPRODUCT(PRODUCT(1+L20:L24)),SUMPRODUCT(PRODUCT(1+L20:L23))),4)</f>
        <v>1.0182</v>
      </c>
      <c r="T20" s="3114">
        <f>ROUND(IF(项目基本情况!B8="出让",SUMPRODUCT(PRODUCT(1+M20:M24)),SUMPRODUCT(PRODUCT(1+M20:M23))),4)</f>
        <v>1.0108999999999999</v>
      </c>
      <c r="U20" s="3114">
        <f>ROUND(IF(项目基本情况!B8="出让",SUMPRODUCT(PRODUCT(1+N20:N24)),SUMPRODUCT(PRODUCT(1+N20:N23))),4)</f>
        <v>1.0361</v>
      </c>
      <c r="V20" s="3114">
        <f>ROUND(IF(项目基本情况!B8="出让",SUMPRODUCT(PRODUCT(1+O20:O24)),SUMPRODUCT(PRODUCT(1+O20:O23))),4)</f>
        <v>1.0270999999999999</v>
      </c>
      <c r="W20" s="3114">
        <f t="shared" si="137"/>
        <v>1.0108999999999999</v>
      </c>
      <c r="X20" s="3103"/>
      <c r="Y20" s="3105">
        <f>IF(D20=0,0,ROUND(AVERAGE(D20:D24)/100,4))</f>
        <v>8.6E-3</v>
      </c>
      <c r="Z20" s="3105">
        <f>IF(E20=0,0,ROUND(AVERAGE(E20:E24)/100,4))</f>
        <v>3.8999999999999998E-3</v>
      </c>
      <c r="AA20" s="3105">
        <f>IF(F20=0,0,ROUND(AVERAGE(F20:F24)/100,4))</f>
        <v>1.6999999999999999E-3</v>
      </c>
      <c r="AB20" s="3105">
        <f>IF(G20=0,0,ROUND(AVERAGE(G20:G24)/100,4))</f>
        <v>9.2999999999999992E-3</v>
      </c>
      <c r="AC20" s="3105">
        <f>IF(H20=0,0,ROUND(AVERAGE(H20:H24)/100,4))</f>
        <v>6.1000000000000004E-3</v>
      </c>
      <c r="AD20" s="3105">
        <f t="shared" si="103"/>
        <v>1.6999999999999999E-3</v>
      </c>
      <c r="AF20" s="3400">
        <f t="shared" si="75"/>
        <v>103.35000000000001</v>
      </c>
      <c r="AG20" s="3400">
        <f t="shared" si="76"/>
        <v>101.82</v>
      </c>
      <c r="AH20" s="3400">
        <f t="shared" si="77"/>
        <v>101.08999999999999</v>
      </c>
      <c r="AI20" s="3400">
        <f t="shared" si="78"/>
        <v>103.61</v>
      </c>
      <c r="AJ20" s="3400">
        <f t="shared" si="79"/>
        <v>102.71</v>
      </c>
      <c r="AK20" s="3400">
        <f t="shared" si="80"/>
        <v>101.08999999999999</v>
      </c>
      <c r="AM20" s="3400">
        <f t="shared" si="57"/>
        <v>97.709353382846743</v>
      </c>
      <c r="AN20" s="3400">
        <f t="shared" si="58"/>
        <v>99.098438044127022</v>
      </c>
      <c r="AO20" s="3400">
        <f t="shared" si="59"/>
        <v>103.06221466157093</v>
      </c>
      <c r="AP20" s="3400">
        <f t="shared" si="60"/>
        <v>96.930332703700714</v>
      </c>
      <c r="AQ20" s="3400">
        <f t="shared" si="61"/>
        <v>94.307716031761146</v>
      </c>
      <c r="AR20" s="3400">
        <f t="shared" si="62"/>
        <v>103.06221466157093</v>
      </c>
    </row>
    <row r="21" spans="1:44">
      <c r="A21" s="3086" t="s">
        <v>2782</v>
      </c>
      <c r="B21" s="3135">
        <v>2021</v>
      </c>
      <c r="C21" s="3136">
        <v>4</v>
      </c>
      <c r="D21" s="3136">
        <v>1.03</v>
      </c>
      <c r="E21" s="3136">
        <v>0.24</v>
      </c>
      <c r="F21" s="3136">
        <v>7.0000000000000007E-2</v>
      </c>
      <c r="G21" s="3136">
        <v>1.17</v>
      </c>
      <c r="H21" s="3142">
        <v>0.55000000000000004</v>
      </c>
      <c r="I21" s="3137">
        <f t="shared" si="101"/>
        <v>7.0000000000000007E-2</v>
      </c>
      <c r="J21" s="3103"/>
      <c r="K21" s="3104">
        <f t="shared" si="102"/>
        <v>1.03E-2</v>
      </c>
      <c r="L21" s="3105">
        <f t="shared" si="102"/>
        <v>2.3999999999999998E-3</v>
      </c>
      <c r="M21" s="3105">
        <f t="shared" si="102"/>
        <v>7.000000000000001E-4</v>
      </c>
      <c r="N21" s="3105">
        <f t="shared" si="102"/>
        <v>1.1699999999999999E-2</v>
      </c>
      <c r="O21" s="3105">
        <f t="shared" si="102"/>
        <v>5.5000000000000005E-3</v>
      </c>
      <c r="P21" s="3105">
        <f t="shared" si="136"/>
        <v>7.000000000000001E-4</v>
      </c>
      <c r="Q21" s="3103"/>
      <c r="R21" s="3114">
        <f>ROUND(IF(项目基本情况!B8="出让",SUMPRODUCT(PRODUCT(1+K21:K24)),SUMPRODUCT(PRODUCT(1+K21:K23))),4)</f>
        <v>1.0244</v>
      </c>
      <c r="S21" s="3114">
        <f>ROUND(IF(项目基本情况!B8="出让",SUMPRODUCT(PRODUCT(1+L21:L24)),SUMPRODUCT(PRODUCT(1+L21:L23))),4)</f>
        <v>1.0138</v>
      </c>
      <c r="T21" s="3114">
        <f>ROUND(IF(项目基本情况!B8="出让",SUMPRODUCT(PRODUCT(1+M21:M24)),SUMPRODUCT(PRODUCT(1+M21:M23))),4)</f>
        <v>1.0072000000000001</v>
      </c>
      <c r="U21" s="3114">
        <f>ROUND(IF(项目基本情况!B8="出让",SUMPRODUCT(PRODUCT(1+N21:N24)),SUMPRODUCT(PRODUCT(1+N21:N23))),4)</f>
        <v>1.0262</v>
      </c>
      <c r="V21" s="3114">
        <f>ROUND(IF(项目基本情况!B8="出让",SUMPRODUCT(PRODUCT(1+O21:O24)),SUMPRODUCT(PRODUCT(1+O21:O23))),4)</f>
        <v>1.0205</v>
      </c>
      <c r="W21" s="3114">
        <f t="shared" si="137"/>
        <v>1.0072000000000001</v>
      </c>
      <c r="X21" s="3103"/>
      <c r="Y21" s="3105">
        <f>IF(D21=0,0,ROUND(AVERAGE(D21:D24)/100,4))</f>
        <v>8.5000000000000006E-3</v>
      </c>
      <c r="Z21" s="3105">
        <f>IF(E21=0,0,ROUND(AVERAGE(E21:E24)/100,4))</f>
        <v>3.8E-3</v>
      </c>
      <c r="AA21" s="3105">
        <f>IF(F21=0,0,ROUND(AVERAGE(F21:F24)/100,4))</f>
        <v>1.1999999999999999E-3</v>
      </c>
      <c r="AB21" s="3105">
        <f>IF(G21=0,0,ROUND(AVERAGE(G21:G24)/100,4))</f>
        <v>9.2999999999999992E-3</v>
      </c>
      <c r="AC21" s="3105">
        <f>IF(H21=0,0,ROUND(AVERAGE(H21:H24)/100,4))</f>
        <v>6.0000000000000001E-3</v>
      </c>
      <c r="AD21" s="3105">
        <f t="shared" si="103"/>
        <v>1.1999999999999999E-3</v>
      </c>
      <c r="AF21" s="3400">
        <f t="shared" si="75"/>
        <v>102.44</v>
      </c>
      <c r="AG21" s="3400">
        <f t="shared" si="76"/>
        <v>101.38000000000001</v>
      </c>
      <c r="AH21" s="3400">
        <f t="shared" si="77"/>
        <v>100.72000000000001</v>
      </c>
      <c r="AI21" s="3400">
        <f t="shared" si="78"/>
        <v>102.62</v>
      </c>
      <c r="AJ21" s="3400">
        <f t="shared" si="79"/>
        <v>102.05</v>
      </c>
      <c r="AK21" s="3400">
        <f t="shared" si="80"/>
        <v>100.72000000000001</v>
      </c>
      <c r="AM21" s="3400">
        <f t="shared" si="57"/>
        <v>96.847411421198089</v>
      </c>
      <c r="AN21" s="3400">
        <f t="shared" si="58"/>
        <v>98.664315057872386</v>
      </c>
      <c r="AO21" s="3400">
        <f t="shared" si="59"/>
        <v>102.68229018787579</v>
      </c>
      <c r="AP21" s="3400">
        <f t="shared" si="60"/>
        <v>96.008649666898478</v>
      </c>
      <c r="AQ21" s="3400">
        <f t="shared" si="61"/>
        <v>93.70798492822054</v>
      </c>
      <c r="AR21" s="3400">
        <f t="shared" si="62"/>
        <v>102.68229018787579</v>
      </c>
    </row>
    <row r="22" spans="1:44">
      <c r="A22" s="3086" t="s">
        <v>2783</v>
      </c>
      <c r="B22" s="3135">
        <v>2021</v>
      </c>
      <c r="C22" s="3136">
        <v>3</v>
      </c>
      <c r="D22" s="3136">
        <v>0.47</v>
      </c>
      <c r="E22" s="3136">
        <v>0.41</v>
      </c>
      <c r="F22" s="3136">
        <v>0.24</v>
      </c>
      <c r="G22" s="3136">
        <v>0.48</v>
      </c>
      <c r="H22" s="3142">
        <v>0.48</v>
      </c>
      <c r="I22" s="3137">
        <f t="shared" si="101"/>
        <v>0.24</v>
      </c>
      <c r="J22" s="3103"/>
      <c r="K22" s="3104">
        <f t="shared" si="102"/>
        <v>4.6999999999999993E-3</v>
      </c>
      <c r="L22" s="3105">
        <f t="shared" si="102"/>
        <v>4.0999999999999995E-3</v>
      </c>
      <c r="M22" s="3105">
        <f t="shared" si="102"/>
        <v>2.3999999999999998E-3</v>
      </c>
      <c r="N22" s="3105">
        <f t="shared" si="102"/>
        <v>4.7999999999999996E-3</v>
      </c>
      <c r="O22" s="3105">
        <f t="shared" si="102"/>
        <v>4.7999999999999996E-3</v>
      </c>
      <c r="P22" s="3105">
        <f t="shared" si="136"/>
        <v>2.3999999999999998E-3</v>
      </c>
      <c r="Q22" s="3103"/>
      <c r="R22" s="3114">
        <f>ROUND(IF(项目基本情况!B8="出让",SUMPRODUCT(PRODUCT(1+K22:K24)),SUMPRODUCT(PRODUCT(1+K22:K23))),4)</f>
        <v>1.0139</v>
      </c>
      <c r="S22" s="3114">
        <f>ROUND(IF(项目基本情况!B8="出让",SUMPRODUCT(PRODUCT(1+L22:L24)),SUMPRODUCT(PRODUCT(1+L22:L23))),4)</f>
        <v>1.0113000000000001</v>
      </c>
      <c r="T22" s="3114">
        <f>ROUND(IF(项目基本情况!B8="出让",SUMPRODUCT(PRODUCT(1+M22:M24)),SUMPRODUCT(PRODUCT(1+M22:M23))),4)</f>
        <v>1.0065</v>
      </c>
      <c r="U22" s="3114">
        <f>ROUND(IF(项目基本情况!B8="出让",SUMPRODUCT(PRODUCT(1+N22:N24)),SUMPRODUCT(PRODUCT(1+N22:N23))),4)</f>
        <v>1.0143</v>
      </c>
      <c r="V22" s="3114">
        <f>ROUND(IF(项目基本情况!B8="出让",SUMPRODUCT(PRODUCT(1+O22:O24)),SUMPRODUCT(PRODUCT(1+O22:O23))),4)</f>
        <v>1.0148999999999999</v>
      </c>
      <c r="W22" s="3114">
        <f t="shared" si="137"/>
        <v>1.0065</v>
      </c>
      <c r="X22" s="3103"/>
      <c r="Y22" s="3105">
        <f>IF(D22=0,0,ROUND(AVERAGE(D22:D24)/100,4))</f>
        <v>7.9000000000000008E-3</v>
      </c>
      <c r="Z22" s="3105">
        <f>IF(E22=0,0,ROUND(AVERAGE(E22:E24)/100,4))</f>
        <v>4.3E-3</v>
      </c>
      <c r="AA22" s="3105">
        <f>IF(F22=0,0,ROUND(AVERAGE(F22:F24)/100,4))</f>
        <v>1.2999999999999999E-3</v>
      </c>
      <c r="AB22" s="3105">
        <f>IF(G22=0,0,ROUND(AVERAGE(G22:G24)/100,4))</f>
        <v>8.5000000000000006E-3</v>
      </c>
      <c r="AC22" s="3105">
        <f>IF(H22=0,0,ROUND(AVERAGE(H22:H24)/100,4))</f>
        <v>6.1999999999999998E-3</v>
      </c>
      <c r="AD22" s="3105">
        <f t="shared" si="103"/>
        <v>1.2999999999999999E-3</v>
      </c>
      <c r="AF22" s="3400">
        <f t="shared" si="75"/>
        <v>101.39</v>
      </c>
      <c r="AG22" s="3400">
        <f t="shared" si="76"/>
        <v>101.13000000000001</v>
      </c>
      <c r="AH22" s="3400">
        <f t="shared" si="77"/>
        <v>100.64999999999999</v>
      </c>
      <c r="AI22" s="3400">
        <f t="shared" si="78"/>
        <v>101.42999999999999</v>
      </c>
      <c r="AJ22" s="3400">
        <f t="shared" si="79"/>
        <v>101.49</v>
      </c>
      <c r="AK22" s="3400">
        <f t="shared" si="80"/>
        <v>100.64999999999999</v>
      </c>
      <c r="AM22" s="3400">
        <f t="shared" si="57"/>
        <v>95.860052876569426</v>
      </c>
      <c r="AN22" s="3400">
        <f t="shared" si="58"/>
        <v>98.428087647518353</v>
      </c>
      <c r="AO22" s="3400">
        <f t="shared" si="59"/>
        <v>102.61046286387109</v>
      </c>
      <c r="AP22" s="3400">
        <f t="shared" si="60"/>
        <v>94.898339099435077</v>
      </c>
      <c r="AQ22" s="3400">
        <f t="shared" si="61"/>
        <v>93.195410172273029</v>
      </c>
      <c r="AR22" s="3400">
        <f t="shared" si="62"/>
        <v>102.61046286387109</v>
      </c>
    </row>
    <row r="23" spans="1:44">
      <c r="A23" s="3086" t="s">
        <v>2784</v>
      </c>
      <c r="B23" s="3135">
        <v>2021</v>
      </c>
      <c r="C23" s="3136">
        <v>2</v>
      </c>
      <c r="D23" s="3136">
        <v>0.92</v>
      </c>
      <c r="E23" s="3136">
        <v>0.72</v>
      </c>
      <c r="F23" s="3136">
        <v>0.41</v>
      </c>
      <c r="G23" s="3136">
        <v>0.95</v>
      </c>
      <c r="H23" s="3142">
        <v>1.01</v>
      </c>
      <c r="I23" s="3137">
        <f t="shared" si="101"/>
        <v>0.41</v>
      </c>
      <c r="J23" s="3103"/>
      <c r="K23" s="3104">
        <f t="shared" si="102"/>
        <v>9.1999999999999998E-3</v>
      </c>
      <c r="L23" s="3105">
        <f t="shared" si="102"/>
        <v>7.1999999999999998E-3</v>
      </c>
      <c r="M23" s="3105">
        <f t="shared" si="102"/>
        <v>4.0999999999999995E-3</v>
      </c>
      <c r="N23" s="3105">
        <f t="shared" si="102"/>
        <v>9.4999999999999998E-3</v>
      </c>
      <c r="O23" s="3105">
        <f t="shared" si="102"/>
        <v>1.01E-2</v>
      </c>
      <c r="P23" s="3105">
        <f t="shared" si="136"/>
        <v>4.0999999999999995E-3</v>
      </c>
      <c r="Q23" s="3103"/>
      <c r="R23" s="3114">
        <f>ROUND(IF(项目基本情况!B8="出让",SUMPRODUCT(PRODUCT(1+K23:K24)),SUMPRODUCT(PRODUCT(1+K23:K23))),4)</f>
        <v>1.0092000000000001</v>
      </c>
      <c r="S23" s="3114">
        <f>ROUND(IF(项目基本情况!B8="出让",SUMPRODUCT(PRODUCT(1+L23:L24)),SUMPRODUCT(PRODUCT(1+L23:L23))),4)</f>
        <v>1.0072000000000001</v>
      </c>
      <c r="T23" s="3114">
        <f>ROUND(IF(项目基本情况!B8="出让",SUMPRODUCT(PRODUCT(1+M23:M24)),SUMPRODUCT(PRODUCT(1+M23:M23))),4)</f>
        <v>1.0041</v>
      </c>
      <c r="U23" s="3114">
        <f>ROUND(IF(项目基本情况!B8="出让",SUMPRODUCT(PRODUCT(1+N23:N24)),SUMPRODUCT(PRODUCT(1+N23:N23))),4)</f>
        <v>1.0095000000000001</v>
      </c>
      <c r="V23" s="3114">
        <f>ROUND(IF(项目基本情况!B8="出让",SUMPRODUCT(PRODUCT(1+O23:O24)),SUMPRODUCT(PRODUCT(1+O23:O23))),4)</f>
        <v>1.0101</v>
      </c>
      <c r="W23" s="3114">
        <f t="shared" si="137"/>
        <v>1.0041</v>
      </c>
      <c r="X23" s="3103"/>
      <c r="Y23" s="3105">
        <f>IF(D23=0,0,ROUND(AVERAGE(D23:D24)/100,4))</f>
        <v>9.4999999999999998E-3</v>
      </c>
      <c r="Z23" s="3105">
        <f>IF(E23=0,0,ROUND(AVERAGE(E23:E24)/100,4))</f>
        <v>4.4000000000000003E-3</v>
      </c>
      <c r="AA23" s="3105">
        <f>IF(F23=0,0,ROUND(AVERAGE(F23:F24)/100,4))</f>
        <v>8.0000000000000004E-4</v>
      </c>
      <c r="AB23" s="3105">
        <f>IF(G23=0,0,ROUND(AVERAGE(G23:G24)/100,4))</f>
        <v>1.03E-2</v>
      </c>
      <c r="AC23" s="3105">
        <f>IF(H23=0,0,ROUND(AVERAGE(H23:H24)/100,4))</f>
        <v>6.8999999999999999E-3</v>
      </c>
      <c r="AD23" s="3105">
        <f t="shared" si="103"/>
        <v>8.0000000000000004E-4</v>
      </c>
      <c r="AF23" s="3400">
        <f>$AF$24*R23</f>
        <v>100.92000000000002</v>
      </c>
      <c r="AG23" s="3400">
        <f>$AG$24*S23</f>
        <v>100.72000000000001</v>
      </c>
      <c r="AH23" s="3400">
        <f>$AH$24*T23</f>
        <v>100.41</v>
      </c>
      <c r="AI23" s="3400">
        <f>$AI$24*U23</f>
        <v>100.95</v>
      </c>
      <c r="AJ23" s="3400">
        <f>$AJ$24*V23</f>
        <v>101.01</v>
      </c>
      <c r="AK23" s="3400">
        <f>$AK$24*W23</f>
        <v>100.41</v>
      </c>
      <c r="AM23" s="3400">
        <f t="shared" si="57"/>
        <v>95.411618270697161</v>
      </c>
      <c r="AN23" s="3400">
        <f t="shared" si="58"/>
        <v>98.02618030825451</v>
      </c>
      <c r="AO23" s="3400">
        <f t="shared" si="59"/>
        <v>102.36478737417308</v>
      </c>
      <c r="AP23" s="3400">
        <f t="shared" si="60"/>
        <v>94.445003084628866</v>
      </c>
      <c r="AQ23" s="3400">
        <f t="shared" si="61"/>
        <v>92.750209168265357</v>
      </c>
      <c r="AR23" s="3400">
        <f t="shared" si="62"/>
        <v>102.36478737417308</v>
      </c>
    </row>
    <row r="24" spans="1:44" ht="15" thickBot="1">
      <c r="A24" s="3088" t="s">
        <v>2785</v>
      </c>
      <c r="B24" s="3143">
        <v>2021</v>
      </c>
      <c r="C24" s="3144">
        <v>1</v>
      </c>
      <c r="D24" s="3144">
        <v>0.97</v>
      </c>
      <c r="E24" s="3144">
        <v>0.16</v>
      </c>
      <c r="F24" s="3144">
        <v>-0.25</v>
      </c>
      <c r="G24" s="3144">
        <v>1.1100000000000001</v>
      </c>
      <c r="H24" s="3145">
        <v>0.36</v>
      </c>
      <c r="I24" s="3146">
        <f t="shared" si="101"/>
        <v>-0.25</v>
      </c>
      <c r="J24" s="3109"/>
      <c r="K24" s="3110">
        <f t="shared" si="102"/>
        <v>9.7000000000000003E-3</v>
      </c>
      <c r="L24" s="3111">
        <f t="shared" si="102"/>
        <v>1.6000000000000001E-3</v>
      </c>
      <c r="M24" s="3111">
        <f>F24/100</f>
        <v>-2.5000000000000001E-3</v>
      </c>
      <c r="N24" s="3111">
        <f t="shared" si="102"/>
        <v>1.11E-2</v>
      </c>
      <c r="O24" s="3111">
        <f t="shared" si="102"/>
        <v>3.5999999999999999E-3</v>
      </c>
      <c r="P24" s="3111">
        <f t="shared" si="136"/>
        <v>-2.5000000000000001E-3</v>
      </c>
      <c r="Q24" s="3109"/>
      <c r="R24" s="3118">
        <v>1</v>
      </c>
      <c r="S24" s="3118">
        <v>1</v>
      </c>
      <c r="T24" s="3118">
        <v>1</v>
      </c>
      <c r="U24" s="3118">
        <v>1</v>
      </c>
      <c r="V24" s="3118">
        <v>1</v>
      </c>
      <c r="W24" s="3118">
        <f t="shared" si="137"/>
        <v>1</v>
      </c>
      <c r="X24" s="3109"/>
      <c r="Y24" s="3111">
        <f>IF(D24=0,0,ROUND(AVERAGE(D24:D24)/100,4))</f>
        <v>9.7000000000000003E-3</v>
      </c>
      <c r="Z24" s="3111">
        <f>IF(E24=0,0,ROUND(AVERAGE(E24:E24)/100,4))</f>
        <v>1.6000000000000001E-3</v>
      </c>
      <c r="AA24" s="3111">
        <f>IF(F24=0,0,ROUND(AVERAGE(F24:F24)/100,4))</f>
        <v>-2.5000000000000001E-3</v>
      </c>
      <c r="AB24" s="3111">
        <f>IF(G24=0,0,ROUND(AVERAGE(G24:G24)/100,4))</f>
        <v>1.11E-2</v>
      </c>
      <c r="AC24" s="3111">
        <f>IF(H24=0,0,ROUND(AVERAGE(H24:H24)/100,4))</f>
        <v>3.5999999999999999E-3</v>
      </c>
      <c r="AD24" s="3111">
        <f>AA24</f>
        <v>-2.5000000000000001E-3</v>
      </c>
      <c r="AF24" s="3401">
        <v>100</v>
      </c>
      <c r="AG24" s="3401">
        <v>100</v>
      </c>
      <c r="AH24" s="3401">
        <v>100</v>
      </c>
      <c r="AI24" s="3401">
        <v>100</v>
      </c>
      <c r="AJ24" s="3401">
        <v>100</v>
      </c>
      <c r="AK24" s="3401">
        <v>100</v>
      </c>
      <c r="AM24" s="3400">
        <f t="shared" si="57"/>
        <v>94.541833403386008</v>
      </c>
      <c r="AN24" s="3400">
        <f t="shared" si="58"/>
        <v>97.325437160697476</v>
      </c>
      <c r="AO24" s="3400">
        <f t="shared" si="59"/>
        <v>101.94680547173894</v>
      </c>
      <c r="AP24" s="3400">
        <f t="shared" si="60"/>
        <v>93.556219004090011</v>
      </c>
      <c r="AQ24" s="3400">
        <f t="shared" si="61"/>
        <v>91.82279889938161</v>
      </c>
      <c r="AR24" s="3400">
        <f t="shared" si="62"/>
        <v>101.94680547173894</v>
      </c>
    </row>
    <row r="25" spans="1:44" ht="15" thickTop="1"/>
    <row r="26" spans="1:44">
      <c r="A26" s="3387" t="s">
        <v>3266</v>
      </c>
    </row>
    <row r="27" spans="1:44">
      <c r="I27" s="2748" t="s">
        <v>2796</v>
      </c>
    </row>
    <row r="29" spans="1:44">
      <c r="A29" s="2439"/>
      <c r="B29" s="3089" t="s">
        <v>3265</v>
      </c>
      <c r="C29" s="3090"/>
      <c r="D29" s="3090"/>
      <c r="E29" s="3090"/>
      <c r="F29" s="3090"/>
      <c r="G29" s="3090"/>
      <c r="H29" s="3090"/>
      <c r="I29" s="3090"/>
      <c r="J29" s="3091"/>
      <c r="K29" s="3090" t="s">
        <v>2789</v>
      </c>
      <c r="L29" s="3090"/>
      <c r="M29" s="3090"/>
      <c r="N29" s="3090"/>
      <c r="O29" s="3090"/>
      <c r="P29" s="3090"/>
      <c r="Q29" s="3091"/>
      <c r="R29" s="3710" t="s">
        <v>2804</v>
      </c>
      <c r="S29" s="3711"/>
      <c r="T29" s="3711"/>
      <c r="U29" s="3711"/>
      <c r="V29" s="3711"/>
      <c r="W29" s="3711"/>
      <c r="X29" s="3091"/>
      <c r="Y29" s="3710" t="s">
        <v>1925</v>
      </c>
      <c r="Z29" s="3711"/>
      <c r="AA29" s="3711"/>
      <c r="AB29" s="3711"/>
      <c r="AC29" s="3711"/>
      <c r="AD29" s="3711"/>
    </row>
    <row r="30" spans="1:44" ht="15" thickBot="1">
      <c r="A30" s="3084"/>
      <c r="B30" s="3092"/>
      <c r="C30" s="3093"/>
      <c r="D30" s="2423" t="s">
        <v>2791</v>
      </c>
      <c r="E30" s="2424" t="s">
        <v>2792</v>
      </c>
      <c r="F30" s="2424" t="s">
        <v>2793</v>
      </c>
      <c r="G30" s="2424" t="s">
        <v>1469</v>
      </c>
      <c r="H30" s="2424"/>
      <c r="I30" s="2424" t="s">
        <v>2737</v>
      </c>
      <c r="J30" s="3094"/>
      <c r="K30" s="2423" t="s">
        <v>2791</v>
      </c>
      <c r="L30" s="2424" t="s">
        <v>2792</v>
      </c>
      <c r="M30" s="2424" t="s">
        <v>2793</v>
      </c>
      <c r="N30" s="2424" t="s">
        <v>2794</v>
      </c>
      <c r="O30" s="2424"/>
      <c r="P30" s="2424" t="s">
        <v>2737</v>
      </c>
      <c r="Q30" s="3094"/>
      <c r="R30" s="2423" t="s">
        <v>2805</v>
      </c>
      <c r="S30" s="2424" t="s">
        <v>2806</v>
      </c>
      <c r="T30" s="2424" t="s">
        <v>2793</v>
      </c>
      <c r="U30" s="2424" t="s">
        <v>1469</v>
      </c>
      <c r="V30" s="2424"/>
      <c r="W30" s="2424" t="s">
        <v>2807</v>
      </c>
      <c r="X30" s="3094"/>
      <c r="Y30" s="2423" t="s">
        <v>2790</v>
      </c>
      <c r="Z30" s="2424" t="s">
        <v>2792</v>
      </c>
      <c r="AA30" s="2424" t="s">
        <v>2793</v>
      </c>
      <c r="AB30" s="2424" t="s">
        <v>1469</v>
      </c>
      <c r="AC30" s="2424"/>
      <c r="AD30" s="2424" t="s">
        <v>2810</v>
      </c>
      <c r="AG30" t="s">
        <v>2738</v>
      </c>
      <c r="AH30" t="s">
        <v>1212</v>
      </c>
      <c r="AI30" t="s">
        <v>851</v>
      </c>
      <c r="AK30" t="s">
        <v>2736</v>
      </c>
      <c r="AN30" t="s">
        <v>2738</v>
      </c>
      <c r="AO30" t="s">
        <v>1212</v>
      </c>
      <c r="AP30" t="s">
        <v>851</v>
      </c>
      <c r="AR30" t="s">
        <v>2736</v>
      </c>
    </row>
    <row r="31" spans="1:44">
      <c r="A31" s="3085" t="s">
        <v>2786</v>
      </c>
      <c r="B31" s="3095"/>
      <c r="C31" s="3096"/>
      <c r="D31" s="3096"/>
      <c r="E31" s="3096">
        <f>ROUND(AVERAGEIF(E32:E52,"&lt;&gt;0"),2)</f>
        <v>0.09</v>
      </c>
      <c r="F31" s="3096">
        <f>ROUND(AVERAGEIF(F32:F52,"&lt;&gt;0"),2)</f>
        <v>0.01</v>
      </c>
      <c r="G31" s="3096">
        <f>ROUND(AVERAGEIF(G32:G52,"&lt;&gt;0"),2)</f>
        <v>0.24</v>
      </c>
      <c r="H31" s="3096"/>
      <c r="I31" s="3096">
        <f>F31</f>
        <v>0.01</v>
      </c>
      <c r="J31" s="3097"/>
      <c r="K31" s="3098"/>
      <c r="L31" s="3099">
        <f>ROUND(AVERAGEIF(L32:L52,"&lt;&gt;0"),4)</f>
        <v>8.9999999999999998E-4</v>
      </c>
      <c r="M31" s="3099">
        <f>ROUND(AVERAGEIF(M32:M52,"&lt;&gt;0"),4)</f>
        <v>1E-4</v>
      </c>
      <c r="N31" s="3099">
        <f>ROUND(AVERAGEIF(N32:N52,"&lt;&gt;0"),4)</f>
        <v>2.3999999999999998E-3</v>
      </c>
      <c r="O31" s="3099"/>
      <c r="P31" s="3099">
        <f>M31</f>
        <v>1E-4</v>
      </c>
      <c r="Q31" s="3097"/>
      <c r="R31" s="3112"/>
      <c r="S31" s="3113">
        <f>ROUND(SUMPRODUCT(PRODUCT(1+L32:L52)),4)</f>
        <v>1.0153000000000001</v>
      </c>
      <c r="T31" s="3113">
        <f>ROUND(SUMPRODUCT(PRODUCT(1+M32:M52)),4)</f>
        <v>1.0016</v>
      </c>
      <c r="U31" s="3113">
        <f>ROUND(SUMPRODUCT(PRODUCT(1+N32:N52)),4)</f>
        <v>1.044</v>
      </c>
      <c r="V31" s="3113"/>
      <c r="W31" s="3112">
        <f>T31</f>
        <v>1.0016</v>
      </c>
      <c r="X31" s="3097"/>
      <c r="Y31" s="3119"/>
      <c r="Z31" s="3120">
        <f>ROUND(AVERAGEIF(Z32:Z52,"&lt;&gt;0"),4)</f>
        <v>3.5000000000000001E-3</v>
      </c>
      <c r="AA31" s="3121">
        <f>ROUND(AVERAGEIF(AA32:AA52,"&lt;&gt;0"),4)</f>
        <v>2.8E-3</v>
      </c>
      <c r="AB31" s="3119">
        <f>ROUND(AVERAGEIF(AB32:AB52,"&lt;&gt;0"),4)</f>
        <v>6.6E-3</v>
      </c>
      <c r="AC31" s="3122"/>
      <c r="AD31" s="3119">
        <f>AA31</f>
        <v>2.8E-3</v>
      </c>
    </row>
    <row r="32" spans="1:44">
      <c r="A32" s="2439"/>
      <c r="B32" s="3100"/>
      <c r="C32" s="2439"/>
      <c r="D32" s="2439"/>
      <c r="E32" s="2439"/>
      <c r="F32" s="2439"/>
      <c r="G32" s="2439"/>
      <c r="H32" s="2439"/>
      <c r="I32" s="2439"/>
      <c r="J32" s="3091"/>
      <c r="K32" s="3101"/>
      <c r="L32" s="3102"/>
      <c r="M32" s="3102"/>
      <c r="N32" s="3102"/>
      <c r="O32" s="3102"/>
      <c r="P32" s="3102"/>
      <c r="Q32" s="3091"/>
      <c r="R32" s="3114"/>
      <c r="S32" s="3115"/>
      <c r="T32" s="3116"/>
      <c r="U32" s="3114"/>
      <c r="V32" s="3117"/>
      <c r="W32" s="3114"/>
      <c r="X32" s="3091"/>
      <c r="Y32" s="3105"/>
      <c r="Z32" s="3123"/>
      <c r="AA32" s="3124"/>
      <c r="AB32" s="3105"/>
      <c r="AC32" s="3125"/>
      <c r="AD32" s="3105"/>
    </row>
    <row r="33" spans="1:44">
      <c r="A33" s="3388" t="s">
        <v>3314</v>
      </c>
      <c r="B33" s="3135">
        <v>2025</v>
      </c>
      <c r="C33" s="3136">
        <v>4</v>
      </c>
      <c r="D33" s="3136"/>
      <c r="E33" s="3136">
        <v>0</v>
      </c>
      <c r="F33" s="3136">
        <v>0</v>
      </c>
      <c r="G33" s="3136">
        <v>0</v>
      </c>
      <c r="H33" s="3136"/>
      <c r="I33" s="3137">
        <f t="shared" ref="I33" si="138">F33</f>
        <v>0</v>
      </c>
      <c r="J33" s="3103"/>
      <c r="K33" s="3104"/>
      <c r="L33" s="3105">
        <f t="shared" ref="L33" si="139">E33/100</f>
        <v>0</v>
      </c>
      <c r="M33" s="3105">
        <f t="shared" ref="M33" si="140">F33/100</f>
        <v>0</v>
      </c>
      <c r="N33" s="3105">
        <f t="shared" ref="N33" si="141">G33/100</f>
        <v>0</v>
      </c>
      <c r="O33" s="3105"/>
      <c r="P33" s="3105">
        <f t="shared" ref="P33:P39" si="142">M33</f>
        <v>0</v>
      </c>
      <c r="Q33" s="3103"/>
      <c r="R33" s="3114"/>
      <c r="S33" s="3114">
        <f>ROUND(IF(项目基本情况!$B$8="出让",SUMPRODUCT(PRODUCT(1+L33:L$52)),SUMPRODUCT(PRODUCT(1+L33:L$51))),4)</f>
        <v>1.0118</v>
      </c>
      <c r="T33" s="3114">
        <f>ROUND(IF(项目基本情况!$B$8="出让",SUMPRODUCT(PRODUCT(1+M33:M$52)),SUMPRODUCT(PRODUCT(1+M33:M$51))),4)</f>
        <v>0.99680000000000002</v>
      </c>
      <c r="U33" s="3114">
        <f>ROUND(IF(项目基本情况!$B$8="出让",SUMPRODUCT(PRODUCT(1+N33:N$52)),SUMPRODUCT(PRODUCT(1+N33:N$51))),4)</f>
        <v>1.0338000000000001</v>
      </c>
      <c r="V33" s="3114"/>
      <c r="W33" s="3114">
        <f t="shared" ref="W33:W39" si="143">T33</f>
        <v>0.99680000000000002</v>
      </c>
      <c r="X33" s="3103"/>
      <c r="Y33" s="3105"/>
      <c r="Z33" s="3123">
        <f t="shared" ref="Z33" si="144">IF(E33=0,0,ROUND(AVERAGE(E33:E46)/100,4))</f>
        <v>0</v>
      </c>
      <c r="AA33" s="3123">
        <f t="shared" ref="AA33" si="145">IF(F33=0,0,ROUND(AVERAGE(F33:F46)/100,4))</f>
        <v>0</v>
      </c>
      <c r="AB33" s="3123">
        <f t="shared" ref="AB33" si="146">IF(G33=0,0,ROUND(AVERAGE(G33:G46)/100,4))</f>
        <v>0</v>
      </c>
      <c r="AC33" s="3125"/>
      <c r="AD33" s="3105">
        <f t="shared" ref="AD33:AD39" si="147">IF(I33=0,0,ROUND(AVERAGE(I33:I46)/100,4))</f>
        <v>0</v>
      </c>
      <c r="AG33" s="3400">
        <f t="shared" ref="AG33:AG36" si="148">$AG$52*S33</f>
        <v>101.18</v>
      </c>
      <c r="AH33" s="3400">
        <f t="shared" ref="AH33:AH36" si="149">$AH$52*T33</f>
        <v>99.68</v>
      </c>
      <c r="AI33" s="3400">
        <f t="shared" ref="AI33:AI36" si="150">$AI$52*U33</f>
        <v>103.38000000000001</v>
      </c>
      <c r="AJ33" s="3400"/>
      <c r="AK33" s="3400">
        <f t="shared" ref="AK33:AK36" si="151">$AK$52*W33</f>
        <v>99.68</v>
      </c>
      <c r="AN33" s="3399">
        <v>100</v>
      </c>
      <c r="AO33" s="3399">
        <v>100</v>
      </c>
      <c r="AP33" s="3399">
        <v>100</v>
      </c>
      <c r="AQ33" s="3399"/>
      <c r="AR33" s="3399">
        <v>100</v>
      </c>
    </row>
    <row r="34" spans="1:44">
      <c r="A34" s="3388" t="s">
        <v>3313</v>
      </c>
      <c r="B34" s="3135">
        <v>2025</v>
      </c>
      <c r="C34" s="3136">
        <v>3</v>
      </c>
      <c r="D34" s="3136"/>
      <c r="E34" s="3136">
        <v>0</v>
      </c>
      <c r="F34" s="3136">
        <v>0</v>
      </c>
      <c r="G34" s="3136">
        <v>0</v>
      </c>
      <c r="H34" s="3136"/>
      <c r="I34" s="3137">
        <f t="shared" ref="I34" si="152">F34</f>
        <v>0</v>
      </c>
      <c r="J34" s="3103"/>
      <c r="K34" s="3104"/>
      <c r="L34" s="3105">
        <f t="shared" ref="L34" si="153">E34/100</f>
        <v>0</v>
      </c>
      <c r="M34" s="3105">
        <f t="shared" ref="M34" si="154">F34/100</f>
        <v>0</v>
      </c>
      <c r="N34" s="3105">
        <f t="shared" ref="N34" si="155">G34/100</f>
        <v>0</v>
      </c>
      <c r="O34" s="3105"/>
      <c r="P34" s="3105">
        <f t="shared" si="142"/>
        <v>0</v>
      </c>
      <c r="Q34" s="3103"/>
      <c r="R34" s="3114"/>
      <c r="S34" s="3114">
        <f>ROUND(IF(项目基本情况!$B$8="出让",SUMPRODUCT(PRODUCT(1+L34:L$52)),SUMPRODUCT(PRODUCT(1+L34:L$51))),4)</f>
        <v>1.0118</v>
      </c>
      <c r="T34" s="3114">
        <f>ROUND(IF(项目基本情况!$B$8="出让",SUMPRODUCT(PRODUCT(1+M34:M$52)),SUMPRODUCT(PRODUCT(1+M34:M$51))),4)</f>
        <v>0.99680000000000002</v>
      </c>
      <c r="U34" s="3114">
        <f>ROUND(IF(项目基本情况!$B$8="出让",SUMPRODUCT(PRODUCT(1+N34:N$52)),SUMPRODUCT(PRODUCT(1+N34:N$51))),4)</f>
        <v>1.0338000000000001</v>
      </c>
      <c r="V34" s="3114"/>
      <c r="W34" s="3114">
        <f t="shared" si="143"/>
        <v>0.99680000000000002</v>
      </c>
      <c r="X34" s="3103"/>
      <c r="Y34" s="3105"/>
      <c r="Z34" s="3123">
        <f t="shared" ref="Z34" si="156">IF(E34=0,0,ROUND(AVERAGE(E34:E47)/100,4))</f>
        <v>0</v>
      </c>
      <c r="AA34" s="3123">
        <f t="shared" ref="AA34" si="157">IF(F34=0,0,ROUND(AVERAGE(F34:F47)/100,4))</f>
        <v>0</v>
      </c>
      <c r="AB34" s="3123">
        <f t="shared" ref="AB34" si="158">IF(G34=0,0,ROUND(AVERAGE(G34:G47)/100,4))</f>
        <v>0</v>
      </c>
      <c r="AC34" s="3125"/>
      <c r="AD34" s="3105">
        <f t="shared" si="147"/>
        <v>0</v>
      </c>
      <c r="AG34" s="3400">
        <f t="shared" si="148"/>
        <v>101.18</v>
      </c>
      <c r="AH34" s="3400">
        <f t="shared" si="149"/>
        <v>99.68</v>
      </c>
      <c r="AI34" s="3400">
        <f t="shared" si="150"/>
        <v>103.38000000000001</v>
      </c>
      <c r="AJ34" s="3400"/>
      <c r="AK34" s="3400">
        <f t="shared" si="151"/>
        <v>99.68</v>
      </c>
      <c r="AN34" s="3400">
        <f>AN33/(1+E33/100)</f>
        <v>100</v>
      </c>
      <c r="AO34" s="3400">
        <f t="shared" ref="AO34:AR34" si="159">AO33/(1+F33/100)</f>
        <v>100</v>
      </c>
      <c r="AP34" s="3400">
        <f t="shared" si="159"/>
        <v>100</v>
      </c>
      <c r="AQ34" s="3400"/>
      <c r="AR34" s="3400">
        <f t="shared" si="159"/>
        <v>100</v>
      </c>
    </row>
    <row r="35" spans="1:44">
      <c r="A35" s="3087" t="s">
        <v>3317</v>
      </c>
      <c r="B35" s="3138">
        <v>2025</v>
      </c>
      <c r="C35" s="3139">
        <v>2</v>
      </c>
      <c r="D35" s="3139"/>
      <c r="E35" s="3139">
        <v>-0.31</v>
      </c>
      <c r="F35" s="3139">
        <v>-1.03</v>
      </c>
      <c r="G35" s="3139">
        <v>0.03</v>
      </c>
      <c r="H35" s="3140"/>
      <c r="I35" s="3141">
        <f t="shared" ref="I35" si="160">F35</f>
        <v>-1.03</v>
      </c>
      <c r="J35" s="3106"/>
      <c r="K35" s="3107"/>
      <c r="L35" s="3108">
        <f t="shared" ref="L35" si="161">E35/100</f>
        <v>-3.0999999999999999E-3</v>
      </c>
      <c r="M35" s="3108">
        <f t="shared" ref="M35" si="162">F35/100</f>
        <v>-1.03E-2</v>
      </c>
      <c r="N35" s="3108">
        <f t="shared" ref="N35" si="163">G35/100</f>
        <v>2.9999999999999997E-4</v>
      </c>
      <c r="O35" s="3108"/>
      <c r="P35" s="3108">
        <f t="shared" si="142"/>
        <v>-1.03E-2</v>
      </c>
      <c r="Q35" s="3106"/>
      <c r="R35" s="3106"/>
      <c r="S35" s="3106">
        <f>ROUND(IF(项目基本情况!$B$8="出让",SUMPRODUCT(PRODUCT(1+L35:L$52)),SUMPRODUCT(PRODUCT(1+L35:L$51))),4)</f>
        <v>1.0118</v>
      </c>
      <c r="T35" s="3106">
        <f>ROUND(IF(项目基本情况!$B$8="出让",SUMPRODUCT(PRODUCT(1+M35:M$52)),SUMPRODUCT(PRODUCT(1+M35:M$51))),4)</f>
        <v>0.99680000000000002</v>
      </c>
      <c r="U35" s="3106">
        <f>ROUND(IF(项目基本情况!$B$8="出让",SUMPRODUCT(PRODUCT(1+N35:N$52)),SUMPRODUCT(PRODUCT(1+N35:N$51))),4)</f>
        <v>1.0338000000000001</v>
      </c>
      <c r="V35" s="3106"/>
      <c r="W35" s="3106">
        <f t="shared" si="143"/>
        <v>0.99680000000000002</v>
      </c>
      <c r="X35" s="3103"/>
      <c r="Y35" s="3105"/>
      <c r="Z35" s="3123">
        <f t="shared" ref="Z35" si="164">IF(E35=0,0,ROUND(AVERAGE(E35:E48)/100,4))</f>
        <v>-2.9999999999999997E-4</v>
      </c>
      <c r="AA35" s="3123">
        <f t="shared" ref="AA35" si="165">IF(F35=0,0,ROUND(AVERAGE(F35:F48)/100,4))</f>
        <v>-8.0000000000000004E-4</v>
      </c>
      <c r="AB35" s="3123">
        <f t="shared" ref="AB35" si="166">IF(G35=0,0,ROUND(AVERAGE(G35:G48)/100,4))</f>
        <v>5.0000000000000001E-4</v>
      </c>
      <c r="AC35" s="3125"/>
      <c r="AD35" s="3105">
        <f t="shared" si="147"/>
        <v>-8.0000000000000004E-4</v>
      </c>
      <c r="AG35" s="3400">
        <f t="shared" si="148"/>
        <v>101.18</v>
      </c>
      <c r="AH35" s="3400">
        <f t="shared" si="149"/>
        <v>99.68</v>
      </c>
      <c r="AI35" s="3400">
        <f t="shared" si="150"/>
        <v>103.38000000000001</v>
      </c>
      <c r="AJ35" s="3400"/>
      <c r="AK35" s="3400">
        <f t="shared" si="151"/>
        <v>99.68</v>
      </c>
      <c r="AN35" s="3400">
        <f t="shared" ref="AN35:AN52" si="167">AN34/(1+E34/100)</f>
        <v>100</v>
      </c>
      <c r="AO35" s="3400">
        <f t="shared" ref="AO35:AO52" si="168">AO34/(1+F34/100)</f>
        <v>100</v>
      </c>
      <c r="AP35" s="3400">
        <f t="shared" ref="AP35:AP52" si="169">AP34/(1+G34/100)</f>
        <v>100</v>
      </c>
      <c r="AQ35" s="3400"/>
      <c r="AR35" s="3400">
        <f t="shared" ref="AR35:AR52" si="170">AR34/(1+I34/100)</f>
        <v>100</v>
      </c>
    </row>
    <row r="36" spans="1:44">
      <c r="A36" s="3388" t="s">
        <v>3261</v>
      </c>
      <c r="B36" s="3135">
        <v>2025</v>
      </c>
      <c r="C36" s="3136">
        <v>1</v>
      </c>
      <c r="D36" s="3136"/>
      <c r="E36" s="3136">
        <v>-1.47</v>
      </c>
      <c r="F36" s="3136">
        <v>-0.98</v>
      </c>
      <c r="G36" s="3136">
        <v>-0.51</v>
      </c>
      <c r="H36" s="3136"/>
      <c r="I36" s="3137">
        <f t="shared" ref="I36" si="171">F36</f>
        <v>-0.98</v>
      </c>
      <c r="J36" s="3103"/>
      <c r="K36" s="3104"/>
      <c r="L36" s="3105">
        <f t="shared" ref="L36" si="172">E36/100</f>
        <v>-1.47E-2</v>
      </c>
      <c r="M36" s="3105">
        <f t="shared" ref="M36" si="173">F36/100</f>
        <v>-9.7999999999999997E-3</v>
      </c>
      <c r="N36" s="3105">
        <f t="shared" ref="N36" si="174">G36/100</f>
        <v>-5.1000000000000004E-3</v>
      </c>
      <c r="O36" s="3105"/>
      <c r="P36" s="3105">
        <f t="shared" si="142"/>
        <v>-9.7999999999999997E-3</v>
      </c>
      <c r="Q36" s="3103"/>
      <c r="R36" s="3114"/>
      <c r="S36" s="3114">
        <f>ROUND(IF(项目基本情况!$B$8="出让",SUMPRODUCT(PRODUCT(1+L36:L$52)),SUMPRODUCT(PRODUCT(1+L36:L$51))),4)</f>
        <v>1.0148999999999999</v>
      </c>
      <c r="T36" s="3114">
        <f>ROUND(IF(项目基本情况!$B$8="出让",SUMPRODUCT(PRODUCT(1+M36:M$52)),SUMPRODUCT(PRODUCT(1+M36:M$51))),4)</f>
        <v>1.0072000000000001</v>
      </c>
      <c r="U36" s="3114">
        <f>ROUND(IF(项目基本情况!$B$8="出让",SUMPRODUCT(PRODUCT(1+N36:N$52)),SUMPRODUCT(PRODUCT(1+N36:N$51))),4)</f>
        <v>1.0335000000000001</v>
      </c>
      <c r="V36" s="3114"/>
      <c r="W36" s="3114">
        <f t="shared" si="143"/>
        <v>1.0072000000000001</v>
      </c>
      <c r="X36" s="3103"/>
      <c r="Y36" s="3105"/>
      <c r="Z36" s="3123">
        <f t="shared" ref="Z36" si="175">IF(E36=0,0,ROUND(AVERAGE(E36:E49)/100,4))</f>
        <v>4.0000000000000002E-4</v>
      </c>
      <c r="AA36" s="3123">
        <f t="shared" ref="AA36" si="176">IF(F36=0,0,ROUND(AVERAGE(F36:F49)/100,4))</f>
        <v>0</v>
      </c>
      <c r="AB36" s="3123">
        <f t="shared" ref="AB36" si="177">IF(G36=0,0,ROUND(AVERAGE(G36:G49)/100,4))</f>
        <v>1E-3</v>
      </c>
      <c r="AC36" s="3125"/>
      <c r="AD36" s="3105">
        <f t="shared" si="147"/>
        <v>0</v>
      </c>
      <c r="AG36" s="3400">
        <f t="shared" si="148"/>
        <v>101.49</v>
      </c>
      <c r="AH36" s="3400">
        <f t="shared" si="149"/>
        <v>100.72000000000001</v>
      </c>
      <c r="AI36" s="3400">
        <f t="shared" si="150"/>
        <v>103.35000000000001</v>
      </c>
      <c r="AJ36" s="3400"/>
      <c r="AK36" s="3400">
        <f t="shared" si="151"/>
        <v>100.72000000000001</v>
      </c>
      <c r="AN36" s="3400">
        <f t="shared" si="167"/>
        <v>100.31096398836392</v>
      </c>
      <c r="AO36" s="3400">
        <f t="shared" si="168"/>
        <v>101.04071940992219</v>
      </c>
      <c r="AP36" s="3400">
        <f t="shared" si="169"/>
        <v>99.970008997300809</v>
      </c>
      <c r="AQ36" s="3400"/>
      <c r="AR36" s="3400">
        <f t="shared" si="170"/>
        <v>101.04071940992219</v>
      </c>
    </row>
    <row r="37" spans="1:44">
      <c r="A37" s="3388" t="s">
        <v>3316</v>
      </c>
      <c r="B37" s="3135">
        <v>2024</v>
      </c>
      <c r="C37" s="3136">
        <v>4</v>
      </c>
      <c r="D37" s="3136"/>
      <c r="E37" s="3136">
        <v>-0.61</v>
      </c>
      <c r="F37" s="3136">
        <v>-0.71</v>
      </c>
      <c r="G37" s="3136">
        <v>-0.88</v>
      </c>
      <c r="H37" s="3136"/>
      <c r="I37" s="3137">
        <f t="shared" ref="I37" si="178">F37</f>
        <v>-0.71</v>
      </c>
      <c r="J37" s="3103"/>
      <c r="K37" s="3104"/>
      <c r="L37" s="3105">
        <f t="shared" ref="L37" si="179">E37/100</f>
        <v>-6.0999999999999995E-3</v>
      </c>
      <c r="M37" s="3105">
        <f t="shared" ref="M37" si="180">F37/100</f>
        <v>-7.0999999999999995E-3</v>
      </c>
      <c r="N37" s="3105">
        <f t="shared" ref="N37" si="181">G37/100</f>
        <v>-8.8000000000000005E-3</v>
      </c>
      <c r="O37" s="3105"/>
      <c r="P37" s="3105">
        <f t="shared" si="142"/>
        <v>-7.0999999999999995E-3</v>
      </c>
      <c r="Q37" s="3103"/>
      <c r="R37" s="3114"/>
      <c r="S37" s="3114">
        <f>ROUND(IF(项目基本情况!$B$8="出让",SUMPRODUCT(PRODUCT(1+L37:L$52)),SUMPRODUCT(PRODUCT(1+L37:L$51))),4)</f>
        <v>1.0301</v>
      </c>
      <c r="T37" s="3114">
        <f>ROUND(IF(项目基本情况!$B$8="出让",SUMPRODUCT(PRODUCT(1+M37:M$52)),SUMPRODUCT(PRODUCT(1+M37:M$51))),4)</f>
        <v>1.0170999999999999</v>
      </c>
      <c r="U37" s="3114">
        <f>ROUND(IF(项目基本情况!$B$8="出让",SUMPRODUCT(PRODUCT(1+N37:N$52)),SUMPRODUCT(PRODUCT(1+N37:N$51))),4)</f>
        <v>1.0387999999999999</v>
      </c>
      <c r="V37" s="3114"/>
      <c r="W37" s="3114">
        <f t="shared" si="143"/>
        <v>1.0170999999999999</v>
      </c>
      <c r="X37" s="3106"/>
      <c r="Y37" s="3108"/>
      <c r="Z37" s="3126">
        <f t="shared" ref="Z37" si="182">IF(E37=0,0,ROUND(AVERAGE(E37:E50)/100,4))</f>
        <v>1.6999999999999999E-3</v>
      </c>
      <c r="AA37" s="3127">
        <f t="shared" ref="AA37" si="183">IF(F37=0,0,ROUND(AVERAGE(F37:F50)/100,4))</f>
        <v>8.9999999999999998E-4</v>
      </c>
      <c r="AB37" s="3108">
        <f t="shared" ref="AB37" si="184">IF(G37=0,0,ROUND(AVERAGE(G37:G50)/100,4))</f>
        <v>2E-3</v>
      </c>
      <c r="AC37" s="3128"/>
      <c r="AD37" s="3108">
        <f t="shared" si="147"/>
        <v>8.9999999999999998E-4</v>
      </c>
      <c r="AG37" s="3400">
        <f t="shared" ref="AG37:AG51" si="185">$AG$52*S37</f>
        <v>103.01</v>
      </c>
      <c r="AH37" s="3400">
        <f t="shared" ref="AH37:AH51" si="186">$AH$52*T37</f>
        <v>101.71</v>
      </c>
      <c r="AI37" s="3400">
        <f t="shared" ref="AI37:AI51" si="187">$AI$52*U37</f>
        <v>103.88</v>
      </c>
      <c r="AJ37" s="3400"/>
      <c r="AK37" s="3400">
        <f t="shared" ref="AK37:AK51" si="188">$AK$52*W37</f>
        <v>101.71</v>
      </c>
      <c r="AN37" s="3400">
        <f t="shared" si="167"/>
        <v>101.80753474917682</v>
      </c>
      <c r="AO37" s="3400">
        <f t="shared" si="168"/>
        <v>102.04071845073943</v>
      </c>
      <c r="AP37" s="3400">
        <f t="shared" si="169"/>
        <v>100.48246959222114</v>
      </c>
      <c r="AQ37" s="3400"/>
      <c r="AR37" s="3400">
        <f t="shared" si="170"/>
        <v>102.04071845073943</v>
      </c>
    </row>
    <row r="38" spans="1:44">
      <c r="A38" s="3388" t="s">
        <v>3257</v>
      </c>
      <c r="B38" s="3135">
        <v>2024</v>
      </c>
      <c r="C38" s="3136">
        <v>3</v>
      </c>
      <c r="D38" s="3136"/>
      <c r="E38" s="3136">
        <v>-0.66</v>
      </c>
      <c r="F38" s="3136">
        <v>-0.52</v>
      </c>
      <c r="G38" s="3136">
        <v>-2.87</v>
      </c>
      <c r="H38" s="3136"/>
      <c r="I38" s="3137">
        <f t="shared" ref="I38" si="189">F38</f>
        <v>-0.52</v>
      </c>
      <c r="J38" s="3103"/>
      <c r="K38" s="3104"/>
      <c r="L38" s="3105">
        <f t="shared" ref="L38" si="190">E38/100</f>
        <v>-6.6E-3</v>
      </c>
      <c r="M38" s="3105">
        <f t="shared" ref="M38" si="191">F38/100</f>
        <v>-5.1999999999999998E-3</v>
      </c>
      <c r="N38" s="3105">
        <f t="shared" ref="N38" si="192">G38/100</f>
        <v>-2.87E-2</v>
      </c>
      <c r="O38" s="3105"/>
      <c r="P38" s="3105">
        <f t="shared" si="142"/>
        <v>-5.1999999999999998E-3</v>
      </c>
      <c r="Q38" s="3103"/>
      <c r="R38" s="3114"/>
      <c r="S38" s="3114">
        <f>ROUND(IF(项目基本情况!$B$8="出让",SUMPRODUCT(PRODUCT(1+L38:L$52)),SUMPRODUCT(PRODUCT(1+L38:L$51))),4)</f>
        <v>1.0364</v>
      </c>
      <c r="T38" s="3114">
        <f>ROUND(IF(项目基本情况!$B$8="出让",SUMPRODUCT(PRODUCT(1+M38:M$52)),SUMPRODUCT(PRODUCT(1+M38:M$51))),4)</f>
        <v>1.0244</v>
      </c>
      <c r="U38" s="3114">
        <f>ROUND(IF(项目基本情况!$B$8="出让",SUMPRODUCT(PRODUCT(1+N38:N$52)),SUMPRODUCT(PRODUCT(1+N38:N$51))),4)</f>
        <v>1.048</v>
      </c>
      <c r="V38" s="3114"/>
      <c r="W38" s="3114">
        <f t="shared" si="143"/>
        <v>1.0244</v>
      </c>
      <c r="X38" s="3103"/>
      <c r="Y38" s="3105"/>
      <c r="Z38" s="3123">
        <f t="shared" ref="Z38:AB39" si="193">IF(E38=0,0,ROUND(AVERAGE(E38:E51)/100,4))</f>
        <v>2.5999999999999999E-3</v>
      </c>
      <c r="AA38" s="3123">
        <f t="shared" si="193"/>
        <v>1.6999999999999999E-3</v>
      </c>
      <c r="AB38" s="3123">
        <f t="shared" si="193"/>
        <v>3.3999999999999998E-3</v>
      </c>
      <c r="AC38" s="3125"/>
      <c r="AD38" s="3105">
        <f t="shared" si="147"/>
        <v>1.6999999999999999E-3</v>
      </c>
      <c r="AG38" s="3400">
        <f t="shared" si="185"/>
        <v>103.64</v>
      </c>
      <c r="AH38" s="3400">
        <f t="shared" si="186"/>
        <v>102.44</v>
      </c>
      <c r="AI38" s="3400">
        <f t="shared" si="187"/>
        <v>104.80000000000001</v>
      </c>
      <c r="AJ38" s="3400"/>
      <c r="AK38" s="3400">
        <f t="shared" si="188"/>
        <v>102.44</v>
      </c>
      <c r="AN38" s="3400">
        <f t="shared" si="167"/>
        <v>102.4323722197171</v>
      </c>
      <c r="AO38" s="3400">
        <f t="shared" si="168"/>
        <v>102.7703882070092</v>
      </c>
      <c r="AP38" s="3400">
        <f t="shared" si="169"/>
        <v>101.37456577100599</v>
      </c>
      <c r="AQ38" s="3400"/>
      <c r="AR38" s="3400">
        <f t="shared" si="170"/>
        <v>102.7703882070092</v>
      </c>
    </row>
    <row r="39" spans="1:44">
      <c r="A39" s="3086" t="s">
        <v>3263</v>
      </c>
      <c r="B39" s="3135">
        <v>2024</v>
      </c>
      <c r="C39" s="3136">
        <v>2</v>
      </c>
      <c r="D39" s="3136"/>
      <c r="E39" s="3136">
        <v>-0.31</v>
      </c>
      <c r="F39" s="3136">
        <v>-0.39</v>
      </c>
      <c r="G39" s="3136">
        <v>1.23</v>
      </c>
      <c r="H39" s="3142"/>
      <c r="I39" s="3137">
        <f t="shared" ref="I39:I52" si="194">F39</f>
        <v>-0.39</v>
      </c>
      <c r="J39" s="3103"/>
      <c r="K39" s="3104"/>
      <c r="L39" s="3105">
        <f t="shared" ref="L39:N52" si="195">E39/100</f>
        <v>-3.0999999999999999E-3</v>
      </c>
      <c r="M39" s="3105">
        <f t="shared" si="195"/>
        <v>-3.9000000000000003E-3</v>
      </c>
      <c r="N39" s="3105">
        <f t="shared" si="195"/>
        <v>1.23E-2</v>
      </c>
      <c r="O39" s="3105"/>
      <c r="P39" s="3105">
        <f t="shared" si="142"/>
        <v>-3.9000000000000003E-3</v>
      </c>
      <c r="Q39" s="3103"/>
      <c r="R39" s="3114"/>
      <c r="S39" s="3114">
        <f>ROUND(IF(项目基本情况!$B$8="出让",SUMPRODUCT(PRODUCT(1+L39:L$52)),SUMPRODUCT(PRODUCT(1+L39:L$51))),4)</f>
        <v>1.0432999999999999</v>
      </c>
      <c r="T39" s="3114">
        <f>ROUND(IF(项目基本情况!$B$8="出让",SUMPRODUCT(PRODUCT(1+M39:M$52)),SUMPRODUCT(PRODUCT(1+M39:M$51))),4)</f>
        <v>1.0298</v>
      </c>
      <c r="U39" s="3114">
        <f>ROUND(IF(项目基本情况!$B$8="出让",SUMPRODUCT(PRODUCT(1+N39:N$52)),SUMPRODUCT(PRODUCT(1+N39:N$51))),4)</f>
        <v>1.079</v>
      </c>
      <c r="V39" s="3114"/>
      <c r="W39" s="3114">
        <f t="shared" si="143"/>
        <v>1.0298</v>
      </c>
      <c r="X39" s="3103"/>
      <c r="Y39" s="3105"/>
      <c r="Z39" s="3123">
        <f t="shared" si="193"/>
        <v>3.3E-3</v>
      </c>
      <c r="AA39" s="3124">
        <f t="shared" si="193"/>
        <v>2.3999999999999998E-3</v>
      </c>
      <c r="AB39" s="3105">
        <f t="shared" si="193"/>
        <v>6.1999999999999998E-3</v>
      </c>
      <c r="AC39" s="3125"/>
      <c r="AD39" s="3105">
        <f t="shared" si="147"/>
        <v>2.3999999999999998E-3</v>
      </c>
      <c r="AG39" s="3400">
        <f t="shared" si="185"/>
        <v>104.32999999999998</v>
      </c>
      <c r="AH39" s="3400">
        <f t="shared" si="186"/>
        <v>102.98</v>
      </c>
      <c r="AI39" s="3400">
        <f t="shared" si="187"/>
        <v>107.89999999999999</v>
      </c>
      <c r="AJ39" s="3400"/>
      <c r="AK39" s="3400">
        <f t="shared" si="188"/>
        <v>102.98</v>
      </c>
      <c r="AN39" s="3400">
        <f t="shared" si="167"/>
        <v>103.11291747505244</v>
      </c>
      <c r="AO39" s="3400">
        <f t="shared" si="168"/>
        <v>103.30758766285605</v>
      </c>
      <c r="AP39" s="3400">
        <f t="shared" si="169"/>
        <v>104.36998432101923</v>
      </c>
      <c r="AQ39" s="3400"/>
      <c r="AR39" s="3400">
        <f t="shared" si="170"/>
        <v>103.30758766285605</v>
      </c>
    </row>
    <row r="40" spans="1:44">
      <c r="A40" s="3086" t="s">
        <v>3260</v>
      </c>
      <c r="B40" s="3135">
        <v>2024</v>
      </c>
      <c r="C40" s="3136">
        <v>1</v>
      </c>
      <c r="D40" s="3136"/>
      <c r="E40" s="3136">
        <v>0.25</v>
      </c>
      <c r="F40" s="3136">
        <v>0.4</v>
      </c>
      <c r="G40" s="3136">
        <v>-0.63</v>
      </c>
      <c r="H40" s="3142"/>
      <c r="I40" s="3137">
        <f t="shared" si="194"/>
        <v>0.4</v>
      </c>
      <c r="J40" s="3103"/>
      <c r="K40" s="3104"/>
      <c r="L40" s="3105">
        <f t="shared" ref="L40" si="196">E40/100</f>
        <v>2.5000000000000001E-3</v>
      </c>
      <c r="M40" s="3105">
        <f t="shared" ref="M40" si="197">F40/100</f>
        <v>4.0000000000000001E-3</v>
      </c>
      <c r="N40" s="3105">
        <f t="shared" ref="N40" si="198">G40/100</f>
        <v>-6.3E-3</v>
      </c>
      <c r="O40" s="3105"/>
      <c r="P40" s="3105">
        <f t="shared" ref="P40" si="199">M40</f>
        <v>4.0000000000000001E-3</v>
      </c>
      <c r="Q40" s="3103"/>
      <c r="R40" s="3114"/>
      <c r="S40" s="3114">
        <f>ROUND(IF(项目基本情况!$B$8="出让",SUMPRODUCT(PRODUCT(1+L40:L$52)),SUMPRODUCT(PRODUCT(1+L40:L$51))),4)</f>
        <v>1.0465</v>
      </c>
      <c r="T40" s="3114">
        <f>ROUND(IF(项目基本情况!$B$8="出让",SUMPRODUCT(PRODUCT(1+M40:M$52)),SUMPRODUCT(PRODUCT(1+M40:M$51))),4)</f>
        <v>1.0338000000000001</v>
      </c>
      <c r="U40" s="3114">
        <f>ROUND(IF(项目基本情况!$B$8="出让",SUMPRODUCT(PRODUCT(1+N40:N$52)),SUMPRODUCT(PRODUCT(1+N40:N$51))),4)</f>
        <v>1.0659000000000001</v>
      </c>
      <c r="V40" s="3114"/>
      <c r="W40" s="3114">
        <f t="shared" ref="W40" si="200">T40</f>
        <v>1.0338000000000001</v>
      </c>
      <c r="X40" s="3103"/>
      <c r="Y40" s="3105"/>
      <c r="Z40" s="3123">
        <f t="shared" ref="Z40" si="201">IF(E40=0,0,ROUND(AVERAGE(E40:E51)/100,4))</f>
        <v>3.8E-3</v>
      </c>
      <c r="AA40" s="3124">
        <f t="shared" ref="AA40" si="202">IF(F40=0,0,ROUND(AVERAGE(F40:F51)/100,4))</f>
        <v>2.8E-3</v>
      </c>
      <c r="AB40" s="3105">
        <f t="shared" ref="AB40" si="203">IF(G40=0,0,ROUND(AVERAGE(G40:G51)/100,4))</f>
        <v>5.3E-3</v>
      </c>
      <c r="AC40" s="3125"/>
      <c r="AD40" s="3105">
        <f t="shared" ref="AD40" si="204">IF(I40=0,0,ROUND(AVERAGE(I40:I51)/100,4))</f>
        <v>2.8E-3</v>
      </c>
      <c r="AG40" s="3400">
        <f t="shared" si="185"/>
        <v>104.65</v>
      </c>
      <c r="AH40" s="3400">
        <f t="shared" si="186"/>
        <v>103.38000000000001</v>
      </c>
      <c r="AI40" s="3400">
        <f t="shared" si="187"/>
        <v>106.59</v>
      </c>
      <c r="AJ40" s="3400"/>
      <c r="AK40" s="3400">
        <f t="shared" si="188"/>
        <v>103.38000000000001</v>
      </c>
      <c r="AN40" s="3400">
        <f t="shared" si="167"/>
        <v>103.43356151575126</v>
      </c>
      <c r="AO40" s="3400">
        <f t="shared" si="168"/>
        <v>103.7120647152455</v>
      </c>
      <c r="AP40" s="3400">
        <f t="shared" si="169"/>
        <v>103.10183179000221</v>
      </c>
      <c r="AQ40" s="3400"/>
      <c r="AR40" s="3400">
        <f t="shared" si="170"/>
        <v>103.7120647152455</v>
      </c>
    </row>
    <row r="41" spans="1:44">
      <c r="A41" s="3086" t="s">
        <v>3255</v>
      </c>
      <c r="B41" s="3135">
        <v>2023</v>
      </c>
      <c r="C41" s="3136">
        <v>4</v>
      </c>
      <c r="D41" s="3136"/>
      <c r="E41" s="3136">
        <v>7.0000000000000007E-2</v>
      </c>
      <c r="F41" s="3136">
        <v>0.09</v>
      </c>
      <c r="G41" s="3136">
        <v>0.03</v>
      </c>
      <c r="H41" s="3142"/>
      <c r="I41" s="3137">
        <f t="shared" ref="I41" si="205">F41</f>
        <v>0.09</v>
      </c>
      <c r="J41" s="3103"/>
      <c r="K41" s="3104"/>
      <c r="L41" s="3105">
        <f t="shared" si="195"/>
        <v>7.000000000000001E-4</v>
      </c>
      <c r="M41" s="3105">
        <f t="shared" si="195"/>
        <v>8.9999999999999998E-4</v>
      </c>
      <c r="N41" s="3105">
        <f t="shared" si="195"/>
        <v>2.9999999999999997E-4</v>
      </c>
      <c r="O41" s="3105"/>
      <c r="P41" s="3105">
        <f t="shared" ref="P41" si="206">M41</f>
        <v>8.9999999999999998E-4</v>
      </c>
      <c r="Q41" s="3103"/>
      <c r="R41" s="3114"/>
      <c r="S41" s="3114">
        <f>ROUND(IF(项目基本情况!$B$8="出让",SUMPRODUCT(PRODUCT(1+L41:L$52)),SUMPRODUCT(PRODUCT(1+L41:L$51))),4)</f>
        <v>1.0439000000000001</v>
      </c>
      <c r="T41" s="3114">
        <f>ROUND(IF(项目基本情况!$B$8="出让",SUMPRODUCT(PRODUCT(1+M41:M$52)),SUMPRODUCT(PRODUCT(1+M41:M$51))),4)</f>
        <v>1.0297000000000001</v>
      </c>
      <c r="U41" s="3114">
        <f>ROUND(IF(项目基本情况!$B$8="出让",SUMPRODUCT(PRODUCT(1+N41:N$52)),SUMPRODUCT(PRODUCT(1+N41:N$51))),4)</f>
        <v>1.0727</v>
      </c>
      <c r="V41" s="3114"/>
      <c r="W41" s="3114">
        <f t="shared" ref="W41" si="207">T41</f>
        <v>1.0297000000000001</v>
      </c>
      <c r="X41" s="3103"/>
      <c r="Y41" s="3105"/>
      <c r="Z41" s="3123">
        <f t="shared" ref="Z41" si="208">IF(E41=0,0,ROUND(AVERAGE(E41:E52)/100,4))</f>
        <v>3.8999999999999998E-3</v>
      </c>
      <c r="AA41" s="3124">
        <f t="shared" ref="AA41" si="209">IF(F41=0,0,ROUND(AVERAGE(F41:F52)/100,4))</f>
        <v>2.8E-3</v>
      </c>
      <c r="AB41" s="3105">
        <f t="shared" ref="AB41" si="210">IF(G41=0,0,ROUND(AVERAGE(G41:G52)/100,4))</f>
        <v>6.7000000000000002E-3</v>
      </c>
      <c r="AC41" s="3125"/>
      <c r="AD41" s="3105">
        <f t="shared" ref="AD41" si="211">IF(I41=0,0,ROUND(AVERAGE(I41:I52)/100,4))</f>
        <v>2.8E-3</v>
      </c>
      <c r="AG41" s="3400">
        <f t="shared" si="185"/>
        <v>104.39</v>
      </c>
      <c r="AH41" s="3400">
        <f t="shared" si="186"/>
        <v>102.97</v>
      </c>
      <c r="AI41" s="3400">
        <f t="shared" si="187"/>
        <v>107.27</v>
      </c>
      <c r="AJ41" s="3400"/>
      <c r="AK41" s="3400">
        <f t="shared" si="188"/>
        <v>102.97</v>
      </c>
      <c r="AN41" s="3400">
        <f t="shared" si="167"/>
        <v>103.17562245960227</v>
      </c>
      <c r="AO41" s="3400">
        <f t="shared" si="168"/>
        <v>103.29886923829234</v>
      </c>
      <c r="AP41" s="3400">
        <f t="shared" si="169"/>
        <v>103.75549138573231</v>
      </c>
      <c r="AQ41" s="3400"/>
      <c r="AR41" s="3400">
        <f t="shared" si="170"/>
        <v>103.29886923829234</v>
      </c>
    </row>
    <row r="42" spans="1:44">
      <c r="A42" s="3086" t="s">
        <v>3253</v>
      </c>
      <c r="B42" s="3135">
        <v>2023</v>
      </c>
      <c r="C42" s="3136">
        <v>3</v>
      </c>
      <c r="D42" s="3136"/>
      <c r="E42" s="3136">
        <v>0.35</v>
      </c>
      <c r="F42" s="3136">
        <v>0.17</v>
      </c>
      <c r="G42" s="3136">
        <v>0.52</v>
      </c>
      <c r="H42" s="3142"/>
      <c r="I42" s="3137">
        <f t="shared" si="194"/>
        <v>0.17</v>
      </c>
      <c r="J42" s="3103"/>
      <c r="K42" s="3104"/>
      <c r="L42" s="3105">
        <f t="shared" ref="L42:L44" si="212">E42/100</f>
        <v>3.4999999999999996E-3</v>
      </c>
      <c r="M42" s="3105">
        <f t="shared" ref="M42:M44" si="213">F42/100</f>
        <v>1.7000000000000001E-3</v>
      </c>
      <c r="N42" s="3105">
        <f t="shared" ref="N42:N44" si="214">G42/100</f>
        <v>5.1999999999999998E-3</v>
      </c>
      <c r="O42" s="3105"/>
      <c r="P42" s="3105">
        <f t="shared" ref="P42:P44" si="215">M42</f>
        <v>1.7000000000000001E-3</v>
      </c>
      <c r="Q42" s="3103"/>
      <c r="R42" s="3114"/>
      <c r="S42" s="3114">
        <f>ROUND(IF(项目基本情况!$B$8="出让",SUMPRODUCT(PRODUCT(1+L42:L$52)),SUMPRODUCT(PRODUCT(1+L42:L$51))),4)</f>
        <v>1.0431999999999999</v>
      </c>
      <c r="T42" s="3114">
        <f>ROUND(IF(项目基本情况!$B$8="出让",SUMPRODUCT(PRODUCT(1+M42:M$52)),SUMPRODUCT(PRODUCT(1+M42:M$51))),4)</f>
        <v>1.0286999999999999</v>
      </c>
      <c r="U42" s="3114">
        <f>ROUND(IF(项目基本情况!$B$8="出让",SUMPRODUCT(PRODUCT(1+N42:N$52)),SUMPRODUCT(PRODUCT(1+N42:N$51))),4)</f>
        <v>1.0723</v>
      </c>
      <c r="V42" s="3114"/>
      <c r="W42" s="3114">
        <f t="shared" ref="W42:W44" si="216">T42</f>
        <v>1.0286999999999999</v>
      </c>
      <c r="X42" s="3103"/>
      <c r="Y42" s="3105"/>
      <c r="Z42" s="3123">
        <f t="shared" ref="Z42:AB42" si="217">IF(E42=0,0,ROUND(AVERAGE(E42:E53)/100,4))</f>
        <v>4.1999999999999997E-3</v>
      </c>
      <c r="AA42" s="3124">
        <f t="shared" si="217"/>
        <v>3.0000000000000001E-3</v>
      </c>
      <c r="AB42" s="3105">
        <f t="shared" si="217"/>
        <v>7.3000000000000001E-3</v>
      </c>
      <c r="AC42" s="3125"/>
      <c r="AD42" s="3105">
        <f t="shared" ref="AD42:AD44" si="218">IF(I42=0,0,ROUND(AVERAGE(I42:I53)/100,4))</f>
        <v>3.0000000000000001E-3</v>
      </c>
      <c r="AG42" s="3400">
        <f t="shared" si="185"/>
        <v>104.32</v>
      </c>
      <c r="AH42" s="3400">
        <f t="shared" si="186"/>
        <v>102.86999999999999</v>
      </c>
      <c r="AI42" s="3400">
        <f t="shared" si="187"/>
        <v>107.23</v>
      </c>
      <c r="AJ42" s="3400"/>
      <c r="AK42" s="3400">
        <f t="shared" si="188"/>
        <v>102.86999999999999</v>
      </c>
      <c r="AN42" s="3400">
        <f t="shared" si="167"/>
        <v>103.10345004457108</v>
      </c>
      <c r="AO42" s="3400">
        <f t="shared" si="168"/>
        <v>103.20598385282482</v>
      </c>
      <c r="AP42" s="3400">
        <f t="shared" si="169"/>
        <v>103.72437407351026</v>
      </c>
      <c r="AQ42" s="3400"/>
      <c r="AR42" s="3400">
        <f t="shared" si="170"/>
        <v>103.20598385282482</v>
      </c>
    </row>
    <row r="43" spans="1:44">
      <c r="A43" s="3086" t="s">
        <v>3252</v>
      </c>
      <c r="B43" s="3135">
        <v>2023</v>
      </c>
      <c r="C43" s="3136">
        <v>2</v>
      </c>
      <c r="D43" s="3136"/>
      <c r="E43" s="3136">
        <v>0.5</v>
      </c>
      <c r="F43" s="3136">
        <v>0.45</v>
      </c>
      <c r="G43" s="3136">
        <v>0.89</v>
      </c>
      <c r="H43" s="3142"/>
      <c r="I43" s="3137">
        <f t="shared" si="194"/>
        <v>0.45</v>
      </c>
      <c r="J43" s="3103"/>
      <c r="K43" s="3104"/>
      <c r="L43" s="3105">
        <f t="shared" si="212"/>
        <v>5.0000000000000001E-3</v>
      </c>
      <c r="M43" s="3105">
        <f t="shared" si="213"/>
        <v>4.5000000000000005E-3</v>
      </c>
      <c r="N43" s="3105">
        <f t="shared" si="214"/>
        <v>8.8999999999999999E-3</v>
      </c>
      <c r="O43" s="3105"/>
      <c r="P43" s="3105">
        <f t="shared" si="215"/>
        <v>4.5000000000000005E-3</v>
      </c>
      <c r="Q43" s="3103"/>
      <c r="R43" s="3114"/>
      <c r="S43" s="3114">
        <f>ROUND(IF(项目基本情况!$B$8="出让",SUMPRODUCT(PRODUCT(1+L43:L$52)),SUMPRODUCT(PRODUCT(1+L43:L$51))),4)</f>
        <v>1.0396000000000001</v>
      </c>
      <c r="T43" s="3114">
        <f>ROUND(IF(项目基本情况!$B$8="出让",SUMPRODUCT(PRODUCT(1+M43:M$52)),SUMPRODUCT(PRODUCT(1+M43:M$51))),4)</f>
        <v>1.0269999999999999</v>
      </c>
      <c r="U43" s="3114">
        <f>ROUND(IF(项目基本情况!$B$8="出让",SUMPRODUCT(PRODUCT(1+N43:N$52)),SUMPRODUCT(PRODUCT(1+N43:N$51))),4)</f>
        <v>1.0668</v>
      </c>
      <c r="V43" s="3114"/>
      <c r="W43" s="3114">
        <f t="shared" si="216"/>
        <v>1.0269999999999999</v>
      </c>
      <c r="X43" s="3103"/>
      <c r="Y43" s="3105"/>
      <c r="Z43" s="3123">
        <f t="shared" ref="Z43:AB43" si="219">IF(E43=0,0,ROUND(AVERAGE(E43:E54)/100,4))</f>
        <v>4.1999999999999997E-3</v>
      </c>
      <c r="AA43" s="3124">
        <f t="shared" si="219"/>
        <v>3.2000000000000002E-3</v>
      </c>
      <c r="AB43" s="3105">
        <f t="shared" si="219"/>
        <v>7.4999999999999997E-3</v>
      </c>
      <c r="AC43" s="3125"/>
      <c r="AD43" s="3105">
        <f t="shared" si="218"/>
        <v>3.2000000000000002E-3</v>
      </c>
      <c r="AG43" s="3400">
        <f t="shared" si="185"/>
        <v>103.96000000000001</v>
      </c>
      <c r="AH43" s="3400">
        <f t="shared" si="186"/>
        <v>102.69999999999999</v>
      </c>
      <c r="AI43" s="3400">
        <f t="shared" si="187"/>
        <v>106.67999999999999</v>
      </c>
      <c r="AJ43" s="3400"/>
      <c r="AK43" s="3400">
        <f t="shared" si="188"/>
        <v>102.69999999999999</v>
      </c>
      <c r="AN43" s="3400">
        <f t="shared" si="167"/>
        <v>102.74384658153569</v>
      </c>
      <c r="AO43" s="3400">
        <f t="shared" si="168"/>
        <v>103.03083143937786</v>
      </c>
      <c r="AP43" s="3400">
        <f t="shared" si="169"/>
        <v>103.18779752637312</v>
      </c>
      <c r="AQ43" s="3400"/>
      <c r="AR43" s="3400">
        <f t="shared" si="170"/>
        <v>103.03083143937786</v>
      </c>
    </row>
    <row r="44" spans="1:44">
      <c r="A44" s="3086" t="s">
        <v>3250</v>
      </c>
      <c r="B44" s="3135">
        <v>2023</v>
      </c>
      <c r="C44" s="3136">
        <v>1</v>
      </c>
      <c r="D44" s="3136"/>
      <c r="E44" s="3136">
        <v>0.55000000000000004</v>
      </c>
      <c r="F44" s="3136">
        <v>0.59</v>
      </c>
      <c r="G44" s="3136">
        <v>0.64</v>
      </c>
      <c r="H44" s="3142"/>
      <c r="I44" s="3137">
        <f t="shared" si="194"/>
        <v>0.59</v>
      </c>
      <c r="J44" s="3103"/>
      <c r="K44" s="3104"/>
      <c r="L44" s="3105">
        <f t="shared" si="212"/>
        <v>5.5000000000000005E-3</v>
      </c>
      <c r="M44" s="3105">
        <f t="shared" si="213"/>
        <v>5.8999999999999999E-3</v>
      </c>
      <c r="N44" s="3105">
        <f t="shared" si="214"/>
        <v>6.4000000000000003E-3</v>
      </c>
      <c r="O44" s="3105"/>
      <c r="P44" s="3105">
        <f t="shared" si="215"/>
        <v>5.8999999999999999E-3</v>
      </c>
      <c r="Q44" s="3103"/>
      <c r="R44" s="3114"/>
      <c r="S44" s="3114">
        <f>ROUND(IF(项目基本情况!$B$8="出让",SUMPRODUCT(PRODUCT(1+L44:L$52)),SUMPRODUCT(PRODUCT(1+L44:L$51))),4)</f>
        <v>1.0344</v>
      </c>
      <c r="T44" s="3114">
        <f>ROUND(IF(项目基本情况!$B$8="出让",SUMPRODUCT(PRODUCT(1+M44:M$52)),SUMPRODUCT(PRODUCT(1+M44:M$51))),4)</f>
        <v>1.0224</v>
      </c>
      <c r="U44" s="3114">
        <f>ROUND(IF(项目基本情况!$B$8="出让",SUMPRODUCT(PRODUCT(1+N44:N$52)),SUMPRODUCT(PRODUCT(1+N44:N$51))),4)</f>
        <v>1.0573999999999999</v>
      </c>
      <c r="V44" s="3114"/>
      <c r="W44" s="3114">
        <f t="shared" si="216"/>
        <v>1.0224</v>
      </c>
      <c r="X44" s="3103"/>
      <c r="Y44" s="3105"/>
      <c r="Z44" s="3123">
        <f t="shared" ref="Z44:AB44" si="220">IF(E44=0,0,ROUND(AVERAGE(E44:E55)/100,4))</f>
        <v>4.1999999999999997E-3</v>
      </c>
      <c r="AA44" s="3124">
        <f t="shared" si="220"/>
        <v>3.0000000000000001E-3</v>
      </c>
      <c r="AB44" s="3105">
        <f t="shared" si="220"/>
        <v>7.3000000000000001E-3</v>
      </c>
      <c r="AC44" s="3125"/>
      <c r="AD44" s="3105">
        <f t="shared" si="218"/>
        <v>3.0000000000000001E-3</v>
      </c>
      <c r="AG44" s="3400">
        <f t="shared" si="185"/>
        <v>103.44</v>
      </c>
      <c r="AH44" s="3400">
        <f t="shared" si="186"/>
        <v>102.24</v>
      </c>
      <c r="AI44" s="3400">
        <f t="shared" si="187"/>
        <v>105.74</v>
      </c>
      <c r="AJ44" s="3400"/>
      <c r="AK44" s="3400">
        <f t="shared" si="188"/>
        <v>102.24</v>
      </c>
      <c r="AN44" s="3400">
        <f t="shared" si="167"/>
        <v>102.23268316570717</v>
      </c>
      <c r="AO44" s="3400">
        <f t="shared" si="168"/>
        <v>102.56926972561261</v>
      </c>
      <c r="AP44" s="3400">
        <f t="shared" si="169"/>
        <v>102.27752753134416</v>
      </c>
      <c r="AQ44" s="3400"/>
      <c r="AR44" s="3400">
        <f t="shared" si="170"/>
        <v>102.56926972561261</v>
      </c>
    </row>
    <row r="45" spans="1:44">
      <c r="A45" s="3086" t="s">
        <v>3248</v>
      </c>
      <c r="B45" s="3135">
        <v>2022</v>
      </c>
      <c r="C45" s="3136">
        <v>4</v>
      </c>
      <c r="D45" s="3136"/>
      <c r="E45" s="3136">
        <v>0.45</v>
      </c>
      <c r="F45" s="3136">
        <v>0.2</v>
      </c>
      <c r="G45" s="3136">
        <v>0.38</v>
      </c>
      <c r="H45" s="3142"/>
      <c r="I45" s="3137">
        <f t="shared" si="194"/>
        <v>0.2</v>
      </c>
      <c r="J45" s="3103"/>
      <c r="K45" s="3104"/>
      <c r="L45" s="3105">
        <f t="shared" si="195"/>
        <v>4.5000000000000005E-3</v>
      </c>
      <c r="M45" s="3105">
        <f t="shared" si="195"/>
        <v>2E-3</v>
      </c>
      <c r="N45" s="3105">
        <f t="shared" si="195"/>
        <v>3.8E-3</v>
      </c>
      <c r="O45" s="3105"/>
      <c r="P45" s="3105">
        <f t="shared" ref="P45:P52" si="221">M45</f>
        <v>2E-3</v>
      </c>
      <c r="Q45" s="3103"/>
      <c r="R45" s="3114"/>
      <c r="S45" s="3114">
        <f>ROUND(IF(项目基本情况!$B$8="出让",SUMPRODUCT(PRODUCT(1+L45:L$52)),SUMPRODUCT(PRODUCT(1+L45:L$51))),4)</f>
        <v>1.0286999999999999</v>
      </c>
      <c r="T45" s="3114">
        <f>ROUND(IF(项目基本情况!$B$8="出让",SUMPRODUCT(PRODUCT(1+M45:M$52)),SUMPRODUCT(PRODUCT(1+M45:M$51))),4)</f>
        <v>1.0164</v>
      </c>
      <c r="U45" s="3114">
        <f>ROUND(IF(项目基本情况!$B$8="出让",SUMPRODUCT(PRODUCT(1+N45:N$52)),SUMPRODUCT(PRODUCT(1+N45:N$51))),4)</f>
        <v>1.0506</v>
      </c>
      <c r="V45" s="3114"/>
      <c r="W45" s="3114">
        <f t="shared" ref="W45:W52" si="222">T45</f>
        <v>1.0164</v>
      </c>
      <c r="X45" s="3103"/>
      <c r="Y45" s="3105"/>
      <c r="Z45" s="3123">
        <f t="shared" ref="Z45:AD52" si="223">IF(E45=0,0,ROUND(AVERAGE(E45:E53)/100,4))</f>
        <v>4.0000000000000001E-3</v>
      </c>
      <c r="AA45" s="3124">
        <f t="shared" si="223"/>
        <v>2.5999999999999999E-3</v>
      </c>
      <c r="AB45" s="3105">
        <f t="shared" si="223"/>
        <v>7.4000000000000003E-3</v>
      </c>
      <c r="AC45" s="3125"/>
      <c r="AD45" s="3105">
        <f t="shared" si="223"/>
        <v>2.5999999999999999E-3</v>
      </c>
      <c r="AG45" s="3400">
        <f t="shared" si="185"/>
        <v>102.86999999999999</v>
      </c>
      <c r="AH45" s="3400">
        <f t="shared" si="186"/>
        <v>101.64</v>
      </c>
      <c r="AI45" s="3400">
        <f t="shared" si="187"/>
        <v>105.06</v>
      </c>
      <c r="AJ45" s="3400"/>
      <c r="AK45" s="3400">
        <f t="shared" si="188"/>
        <v>101.64</v>
      </c>
      <c r="AN45" s="3400">
        <f t="shared" si="167"/>
        <v>101.67347903103646</v>
      </c>
      <c r="AO45" s="3400">
        <f t="shared" si="168"/>
        <v>101.96766052849449</v>
      </c>
      <c r="AP45" s="3400">
        <f t="shared" si="169"/>
        <v>101.62711400173308</v>
      </c>
      <c r="AQ45" s="3400"/>
      <c r="AR45" s="3400">
        <f t="shared" si="170"/>
        <v>101.96766052849449</v>
      </c>
    </row>
    <row r="46" spans="1:44">
      <c r="A46" s="3086" t="s">
        <v>3246</v>
      </c>
      <c r="B46" s="3135">
        <v>2022</v>
      </c>
      <c r="C46" s="3136">
        <v>3</v>
      </c>
      <c r="D46" s="3136"/>
      <c r="E46" s="3136">
        <v>0.3</v>
      </c>
      <c r="F46" s="3136">
        <v>0.28999999999999998</v>
      </c>
      <c r="G46" s="3136">
        <v>0.83</v>
      </c>
      <c r="H46" s="3142"/>
      <c r="I46" s="3137">
        <f t="shared" si="194"/>
        <v>0.28999999999999998</v>
      </c>
      <c r="J46" s="3103"/>
      <c r="K46" s="3104"/>
      <c r="L46" s="3105">
        <f t="shared" si="195"/>
        <v>3.0000000000000001E-3</v>
      </c>
      <c r="M46" s="3105">
        <f t="shared" si="195"/>
        <v>2.8999999999999998E-3</v>
      </c>
      <c r="N46" s="3105">
        <f t="shared" si="195"/>
        <v>8.3000000000000001E-3</v>
      </c>
      <c r="O46" s="3105"/>
      <c r="P46" s="3105">
        <f t="shared" si="221"/>
        <v>2.8999999999999998E-3</v>
      </c>
      <c r="Q46" s="3103"/>
      <c r="R46" s="3114"/>
      <c r="S46" s="3114">
        <f>ROUND(IF(项目基本情况!$B$8="出让",SUMPRODUCT(PRODUCT(1+L46:L$52)),SUMPRODUCT(PRODUCT(1+L46:L$51))),4)</f>
        <v>1.0241</v>
      </c>
      <c r="T46" s="3114">
        <f>ROUND(IF(项目基本情况!$B$8="出让",SUMPRODUCT(PRODUCT(1+M46:M$52)),SUMPRODUCT(PRODUCT(1+M46:M$51))),4)</f>
        <v>1.0144</v>
      </c>
      <c r="U46" s="3114">
        <f>ROUND(IF(项目基本情况!$B$8="出让",SUMPRODUCT(PRODUCT(1+N46:N$52)),SUMPRODUCT(PRODUCT(1+N46:N$51))),4)</f>
        <v>1.0467</v>
      </c>
      <c r="V46" s="3114"/>
      <c r="W46" s="3114">
        <f t="shared" si="222"/>
        <v>1.0144</v>
      </c>
      <c r="X46" s="3103"/>
      <c r="Y46" s="3105"/>
      <c r="Z46" s="3123">
        <f t="shared" si="223"/>
        <v>3.8999999999999998E-3</v>
      </c>
      <c r="AA46" s="3124">
        <f t="shared" si="223"/>
        <v>2.7000000000000001E-3</v>
      </c>
      <c r="AB46" s="3105">
        <f t="shared" si="223"/>
        <v>7.9000000000000008E-3</v>
      </c>
      <c r="AC46" s="3125"/>
      <c r="AD46" s="3105">
        <f t="shared" si="223"/>
        <v>2.7000000000000001E-3</v>
      </c>
      <c r="AG46" s="3400">
        <f t="shared" si="185"/>
        <v>102.41</v>
      </c>
      <c r="AH46" s="3400">
        <f t="shared" si="186"/>
        <v>101.44</v>
      </c>
      <c r="AI46" s="3400">
        <f t="shared" si="187"/>
        <v>104.67</v>
      </c>
      <c r="AJ46" s="3400"/>
      <c r="AK46" s="3400">
        <f t="shared" si="188"/>
        <v>101.44</v>
      </c>
      <c r="AN46" s="3400">
        <f t="shared" si="167"/>
        <v>101.21799803985711</v>
      </c>
      <c r="AO46" s="3400">
        <f t="shared" si="168"/>
        <v>101.76413226396656</v>
      </c>
      <c r="AP46" s="3400">
        <f t="shared" si="169"/>
        <v>101.24239290868009</v>
      </c>
      <c r="AQ46" s="3400"/>
      <c r="AR46" s="3400">
        <f t="shared" si="170"/>
        <v>101.76413226396656</v>
      </c>
    </row>
    <row r="47" spans="1:44">
      <c r="A47" s="3086" t="s">
        <v>3245</v>
      </c>
      <c r="B47" s="3135">
        <v>2022</v>
      </c>
      <c r="C47" s="3136">
        <v>2</v>
      </c>
      <c r="D47" s="3136"/>
      <c r="E47" s="3136">
        <v>-0.11</v>
      </c>
      <c r="F47" s="3136">
        <v>-0.13</v>
      </c>
      <c r="G47" s="3136">
        <v>0.53</v>
      </c>
      <c r="H47" s="3142"/>
      <c r="I47" s="3137">
        <f t="shared" si="194"/>
        <v>-0.13</v>
      </c>
      <c r="J47" s="3103"/>
      <c r="K47" s="3104"/>
      <c r="L47" s="3105">
        <f t="shared" si="195"/>
        <v>-1.1000000000000001E-3</v>
      </c>
      <c r="M47" s="3105">
        <f t="shared" si="195"/>
        <v>-1.2999999999999999E-3</v>
      </c>
      <c r="N47" s="3105">
        <f t="shared" si="195"/>
        <v>5.3E-3</v>
      </c>
      <c r="O47" s="3105"/>
      <c r="P47" s="3105">
        <f t="shared" si="221"/>
        <v>-1.2999999999999999E-3</v>
      </c>
      <c r="Q47" s="3103"/>
      <c r="R47" s="3114"/>
      <c r="S47" s="3114">
        <f>ROUND(IF(项目基本情况!$B$8="出让",SUMPRODUCT(PRODUCT(1+L47:L$52)),SUMPRODUCT(PRODUCT(1+L47:L$51))),4)</f>
        <v>1.0210999999999999</v>
      </c>
      <c r="T47" s="3114">
        <f>ROUND(IF(项目基本情况!$B$8="出让",SUMPRODUCT(PRODUCT(1+M47:M$52)),SUMPRODUCT(PRODUCT(1+M47:M$51))),4)</f>
        <v>1.0114000000000001</v>
      </c>
      <c r="U47" s="3114">
        <f>ROUND(IF(项目基本情况!$B$8="出让",SUMPRODUCT(PRODUCT(1+N47:N$52)),SUMPRODUCT(PRODUCT(1+N47:N$51))),4)</f>
        <v>1.0381</v>
      </c>
      <c r="V47" s="3114"/>
      <c r="W47" s="3114">
        <f t="shared" si="222"/>
        <v>1.0114000000000001</v>
      </c>
      <c r="X47" s="3103"/>
      <c r="Y47" s="3105"/>
      <c r="Z47" s="3123">
        <f t="shared" si="223"/>
        <v>4.1000000000000003E-3</v>
      </c>
      <c r="AA47" s="3124">
        <f t="shared" si="223"/>
        <v>2.7000000000000001E-3</v>
      </c>
      <c r="AB47" s="3105">
        <f t="shared" si="223"/>
        <v>7.9000000000000008E-3</v>
      </c>
      <c r="AC47" s="3125"/>
      <c r="AD47" s="3105">
        <f t="shared" si="223"/>
        <v>2.7000000000000001E-3</v>
      </c>
      <c r="AG47" s="3400">
        <f t="shared" si="185"/>
        <v>102.10999999999999</v>
      </c>
      <c r="AH47" s="3400">
        <f t="shared" si="186"/>
        <v>101.14000000000001</v>
      </c>
      <c r="AI47" s="3400">
        <f t="shared" si="187"/>
        <v>103.81</v>
      </c>
      <c r="AJ47" s="3400"/>
      <c r="AK47" s="3400">
        <f t="shared" si="188"/>
        <v>101.14000000000001</v>
      </c>
      <c r="AN47" s="3400">
        <f t="shared" si="167"/>
        <v>100.9152522830081</v>
      </c>
      <c r="AO47" s="3400">
        <f t="shared" si="168"/>
        <v>101.46986964200475</v>
      </c>
      <c r="AP47" s="3400">
        <f t="shared" si="169"/>
        <v>100.40899822342566</v>
      </c>
      <c r="AQ47" s="3400"/>
      <c r="AR47" s="3400">
        <f t="shared" si="170"/>
        <v>101.46986964200475</v>
      </c>
    </row>
    <row r="48" spans="1:44">
      <c r="A48" s="3086" t="s">
        <v>2781</v>
      </c>
      <c r="B48" s="3135">
        <v>2022</v>
      </c>
      <c r="C48" s="3136">
        <v>1</v>
      </c>
      <c r="D48" s="3136"/>
      <c r="E48" s="3136">
        <v>0.6</v>
      </c>
      <c r="F48" s="3136">
        <v>0.45</v>
      </c>
      <c r="G48" s="3136">
        <v>0.53</v>
      </c>
      <c r="H48" s="3142"/>
      <c r="I48" s="3137">
        <f t="shared" si="194"/>
        <v>0.45</v>
      </c>
      <c r="J48" s="3103"/>
      <c r="K48" s="3104"/>
      <c r="L48" s="3105">
        <f t="shared" si="195"/>
        <v>6.0000000000000001E-3</v>
      </c>
      <c r="M48" s="3105">
        <f t="shared" si="195"/>
        <v>4.5000000000000005E-3</v>
      </c>
      <c r="N48" s="3105">
        <f t="shared" si="195"/>
        <v>5.3E-3</v>
      </c>
      <c r="O48" s="3105"/>
      <c r="P48" s="3105">
        <f t="shared" si="221"/>
        <v>4.5000000000000005E-3</v>
      </c>
      <c r="Q48" s="3103"/>
      <c r="R48" s="3114"/>
      <c r="S48" s="3114">
        <f>ROUND(IF(项目基本情况!$B$8="出让",SUMPRODUCT(PRODUCT(1+L48:L$52)),SUMPRODUCT(PRODUCT(1+L48:L$51))),4)</f>
        <v>1.0222</v>
      </c>
      <c r="T48" s="3114">
        <f>ROUND(IF(项目基本情况!$B$8="出让",SUMPRODUCT(PRODUCT(1+M48:M$52)),SUMPRODUCT(PRODUCT(1+M48:M$51))),4)</f>
        <v>1.0127999999999999</v>
      </c>
      <c r="U48" s="3114">
        <f>ROUND(IF(项目基本情况!$B$8="出让",SUMPRODUCT(PRODUCT(1+N48:N$52)),SUMPRODUCT(PRODUCT(1+N48:N$51))),4)</f>
        <v>1.0326</v>
      </c>
      <c r="V48" s="3114"/>
      <c r="W48" s="3114">
        <f t="shared" si="222"/>
        <v>1.0127999999999999</v>
      </c>
      <c r="X48" s="3103"/>
      <c r="Y48" s="3105"/>
      <c r="Z48" s="3123">
        <f t="shared" si="223"/>
        <v>5.1000000000000004E-3</v>
      </c>
      <c r="AA48" s="3124">
        <f t="shared" si="223"/>
        <v>3.5000000000000001E-3</v>
      </c>
      <c r="AB48" s="3105">
        <f t="shared" si="223"/>
        <v>8.3999999999999995E-3</v>
      </c>
      <c r="AC48" s="3125"/>
      <c r="AD48" s="3105">
        <f t="shared" si="223"/>
        <v>3.5000000000000001E-3</v>
      </c>
      <c r="AG48" s="3400">
        <f t="shared" si="185"/>
        <v>102.22</v>
      </c>
      <c r="AH48" s="3400">
        <f t="shared" si="186"/>
        <v>101.27999999999999</v>
      </c>
      <c r="AI48" s="3400">
        <f t="shared" si="187"/>
        <v>103.25999999999999</v>
      </c>
      <c r="AJ48" s="3400"/>
      <c r="AK48" s="3400">
        <f t="shared" si="188"/>
        <v>101.27999999999999</v>
      </c>
      <c r="AN48" s="3400">
        <f t="shared" si="167"/>
        <v>101.02638130244078</v>
      </c>
      <c r="AO48" s="3400">
        <f t="shared" si="168"/>
        <v>101.60195217983853</v>
      </c>
      <c r="AP48" s="3400">
        <f t="shared" si="169"/>
        <v>99.879636151820989</v>
      </c>
      <c r="AQ48" s="3400"/>
      <c r="AR48" s="3400">
        <f t="shared" si="170"/>
        <v>101.60195217983853</v>
      </c>
    </row>
    <row r="49" spans="1:44">
      <c r="A49" s="3086" t="s">
        <v>2782</v>
      </c>
      <c r="B49" s="3135">
        <v>2021</v>
      </c>
      <c r="C49" s="3136">
        <v>4</v>
      </c>
      <c r="D49" s="3136"/>
      <c r="E49" s="3136">
        <v>0.57999999999999996</v>
      </c>
      <c r="F49" s="3136">
        <v>0.08</v>
      </c>
      <c r="G49" s="3136">
        <v>0.68</v>
      </c>
      <c r="H49" s="3142"/>
      <c r="I49" s="3137">
        <f t="shared" si="194"/>
        <v>0.08</v>
      </c>
      <c r="J49" s="3103"/>
      <c r="K49" s="3104"/>
      <c r="L49" s="3105">
        <f t="shared" si="195"/>
        <v>5.7999999999999996E-3</v>
      </c>
      <c r="M49" s="3105">
        <f t="shared" si="195"/>
        <v>8.0000000000000004E-4</v>
      </c>
      <c r="N49" s="3105">
        <f t="shared" si="195"/>
        <v>6.8000000000000005E-3</v>
      </c>
      <c r="O49" s="3105"/>
      <c r="P49" s="3105">
        <f t="shared" si="221"/>
        <v>8.0000000000000004E-4</v>
      </c>
      <c r="Q49" s="3103"/>
      <c r="R49" s="3114"/>
      <c r="S49" s="3114">
        <f>ROUND(IF(项目基本情况!$B$8="出让",SUMPRODUCT(PRODUCT(1+L49:L$52)),SUMPRODUCT(PRODUCT(1+L49:L$51))),4)</f>
        <v>1.0161</v>
      </c>
      <c r="T49" s="3114">
        <f>ROUND(IF(项目基本情况!$B$8="出让",SUMPRODUCT(PRODUCT(1+M49:M$52)),SUMPRODUCT(PRODUCT(1+M49:M$51))),4)</f>
        <v>1.0082</v>
      </c>
      <c r="U49" s="3114">
        <f>ROUND(IF(项目基本情况!$B$8="出让",SUMPRODUCT(PRODUCT(1+N49:N$52)),SUMPRODUCT(PRODUCT(1+N49:N$51))),4)</f>
        <v>1.0270999999999999</v>
      </c>
      <c r="V49" s="3114"/>
      <c r="W49" s="3114">
        <f t="shared" si="222"/>
        <v>1.0082</v>
      </c>
      <c r="X49" s="3103"/>
      <c r="Y49" s="3105"/>
      <c r="Z49" s="3123">
        <f t="shared" si="223"/>
        <v>4.8999999999999998E-3</v>
      </c>
      <c r="AA49" s="3124">
        <f t="shared" si="223"/>
        <v>3.3E-3</v>
      </c>
      <c r="AB49" s="3105">
        <f t="shared" si="223"/>
        <v>9.1999999999999998E-3</v>
      </c>
      <c r="AC49" s="3125"/>
      <c r="AD49" s="3105">
        <f t="shared" si="223"/>
        <v>3.3E-3</v>
      </c>
      <c r="AG49" s="3400">
        <f t="shared" si="185"/>
        <v>101.61</v>
      </c>
      <c r="AH49" s="3400">
        <f t="shared" si="186"/>
        <v>100.82</v>
      </c>
      <c r="AI49" s="3400">
        <f t="shared" si="187"/>
        <v>102.71</v>
      </c>
      <c r="AJ49" s="3400"/>
      <c r="AK49" s="3400">
        <f t="shared" si="188"/>
        <v>100.82</v>
      </c>
      <c r="AN49" s="3400">
        <f t="shared" si="167"/>
        <v>100.42383827280396</v>
      </c>
      <c r="AO49" s="3400">
        <f t="shared" si="168"/>
        <v>101.14679161755951</v>
      </c>
      <c r="AP49" s="3400">
        <f t="shared" si="169"/>
        <v>99.353064907809596</v>
      </c>
      <c r="AQ49" s="3400"/>
      <c r="AR49" s="3400">
        <f t="shared" si="170"/>
        <v>101.14679161755951</v>
      </c>
    </row>
    <row r="50" spans="1:44">
      <c r="A50" s="3086" t="s">
        <v>2783</v>
      </c>
      <c r="B50" s="3135">
        <v>2021</v>
      </c>
      <c r="C50" s="3136">
        <v>3</v>
      </c>
      <c r="D50" s="3136"/>
      <c r="E50" s="3136">
        <v>0.47</v>
      </c>
      <c r="F50" s="3136">
        <v>0.28000000000000003</v>
      </c>
      <c r="G50" s="3136">
        <v>0.91</v>
      </c>
      <c r="H50" s="3142"/>
      <c r="I50" s="3137">
        <f t="shared" si="194"/>
        <v>0.28000000000000003</v>
      </c>
      <c r="J50" s="3103"/>
      <c r="K50" s="3104"/>
      <c r="L50" s="3105">
        <f t="shared" si="195"/>
        <v>4.6999999999999993E-3</v>
      </c>
      <c r="M50" s="3105">
        <f t="shared" si="195"/>
        <v>2.8000000000000004E-3</v>
      </c>
      <c r="N50" s="3105">
        <f t="shared" si="195"/>
        <v>9.1000000000000004E-3</v>
      </c>
      <c r="O50" s="3105"/>
      <c r="P50" s="3105">
        <f t="shared" si="221"/>
        <v>2.8000000000000004E-3</v>
      </c>
      <c r="Q50" s="3103"/>
      <c r="R50" s="3114"/>
      <c r="S50" s="3114">
        <f>ROUND(IF(项目基本情况!$B$8="出让",SUMPRODUCT(PRODUCT(1+L50:L$52)),SUMPRODUCT(PRODUCT(1+L50:L$51))),4)</f>
        <v>1.0102</v>
      </c>
      <c r="T50" s="3114">
        <f>ROUND(IF(项目基本情况!$B$8="出让",SUMPRODUCT(PRODUCT(1+M50:M$52)),SUMPRODUCT(PRODUCT(1+M50:M$51))),4)</f>
        <v>1.0074000000000001</v>
      </c>
      <c r="U50" s="3114">
        <f>ROUND(IF(项目基本情况!$B$8="出让",SUMPRODUCT(PRODUCT(1+N50:N$52)),SUMPRODUCT(PRODUCT(1+N50:N$51))),4)</f>
        <v>1.0202</v>
      </c>
      <c r="V50" s="3114"/>
      <c r="W50" s="3114">
        <f t="shared" si="222"/>
        <v>1.0074000000000001</v>
      </c>
      <c r="X50" s="3103"/>
      <c r="Y50" s="3105"/>
      <c r="Z50" s="3123">
        <f t="shared" si="223"/>
        <v>4.5999999999999999E-3</v>
      </c>
      <c r="AA50" s="3124">
        <f t="shared" si="223"/>
        <v>4.1000000000000003E-3</v>
      </c>
      <c r="AB50" s="3105">
        <f t="shared" si="223"/>
        <v>0.01</v>
      </c>
      <c r="AC50" s="3125"/>
      <c r="AD50" s="3105">
        <f t="shared" si="223"/>
        <v>4.1000000000000003E-3</v>
      </c>
      <c r="AG50" s="3400">
        <f t="shared" si="185"/>
        <v>101.02</v>
      </c>
      <c r="AH50" s="3400">
        <f t="shared" si="186"/>
        <v>100.74000000000001</v>
      </c>
      <c r="AI50" s="3400">
        <f t="shared" si="187"/>
        <v>102.02</v>
      </c>
      <c r="AJ50" s="3400"/>
      <c r="AK50" s="3400">
        <f t="shared" si="188"/>
        <v>100.74000000000001</v>
      </c>
      <c r="AN50" s="3400">
        <f t="shared" si="167"/>
        <v>99.844738787834515</v>
      </c>
      <c r="AO50" s="3400">
        <f t="shared" si="168"/>
        <v>101.06593886646635</v>
      </c>
      <c r="AP50" s="3400">
        <f t="shared" si="169"/>
        <v>98.682027123370688</v>
      </c>
      <c r="AQ50" s="3400"/>
      <c r="AR50" s="3400">
        <f t="shared" si="170"/>
        <v>101.06593886646635</v>
      </c>
    </row>
    <row r="51" spans="1:44">
      <c r="A51" s="3086" t="s">
        <v>2787</v>
      </c>
      <c r="B51" s="3135">
        <v>2021</v>
      </c>
      <c r="C51" s="3136">
        <v>2</v>
      </c>
      <c r="D51" s="3136"/>
      <c r="E51" s="3136">
        <v>0.55000000000000004</v>
      </c>
      <c r="F51" s="3136">
        <v>0.46</v>
      </c>
      <c r="G51" s="3136">
        <v>1.1000000000000001</v>
      </c>
      <c r="H51" s="3142"/>
      <c r="I51" s="3137">
        <f t="shared" si="194"/>
        <v>0.46</v>
      </c>
      <c r="J51" s="3103"/>
      <c r="K51" s="3104"/>
      <c r="L51" s="3105">
        <f t="shared" si="195"/>
        <v>5.5000000000000005E-3</v>
      </c>
      <c r="M51" s="3105">
        <f t="shared" si="195"/>
        <v>4.5999999999999999E-3</v>
      </c>
      <c r="N51" s="3105">
        <f t="shared" si="195"/>
        <v>1.1000000000000001E-2</v>
      </c>
      <c r="O51" s="3105"/>
      <c r="P51" s="3105">
        <f t="shared" si="221"/>
        <v>4.5999999999999999E-3</v>
      </c>
      <c r="Q51" s="3103"/>
      <c r="R51" s="3114"/>
      <c r="S51" s="3114">
        <f>ROUND(IF(项目基本情况!$B$8="出让",SUMPRODUCT(PRODUCT(1+L51:L$52)),SUMPRODUCT(PRODUCT(1+L51:L$51))),4)</f>
        <v>1.0055000000000001</v>
      </c>
      <c r="T51" s="3114">
        <f>ROUND(IF(项目基本情况!$B$8="出让",SUMPRODUCT(PRODUCT(1+M51:M$52)),SUMPRODUCT(PRODUCT(1+M51:M$51))),4)</f>
        <v>1.0045999999999999</v>
      </c>
      <c r="U51" s="3114">
        <f>ROUND(IF(项目基本情况!$B$8="出让",SUMPRODUCT(PRODUCT(1+N51:N$52)),SUMPRODUCT(PRODUCT(1+N51:N$51))),4)</f>
        <v>1.0109999999999999</v>
      </c>
      <c r="V51" s="3114"/>
      <c r="W51" s="3114">
        <f t="shared" si="222"/>
        <v>1.0045999999999999</v>
      </c>
      <c r="X51" s="3103"/>
      <c r="Y51" s="3105"/>
      <c r="Z51" s="3123">
        <f t="shared" si="223"/>
        <v>4.4999999999999997E-3</v>
      </c>
      <c r="AA51" s="3124">
        <f t="shared" si="223"/>
        <v>4.7000000000000002E-3</v>
      </c>
      <c r="AB51" s="3105">
        <f t="shared" si="223"/>
        <v>1.04E-2</v>
      </c>
      <c r="AC51" s="3125"/>
      <c r="AD51" s="3105">
        <f t="shared" si="223"/>
        <v>4.7000000000000002E-3</v>
      </c>
      <c r="AG51" s="3400">
        <f t="shared" si="185"/>
        <v>100.55000000000001</v>
      </c>
      <c r="AH51" s="3400">
        <f t="shared" si="186"/>
        <v>100.46</v>
      </c>
      <c r="AI51" s="3400">
        <f t="shared" si="187"/>
        <v>101.1</v>
      </c>
      <c r="AJ51" s="3400"/>
      <c r="AK51" s="3400">
        <f t="shared" si="188"/>
        <v>100.46</v>
      </c>
      <c r="AN51" s="3400">
        <f t="shared" si="167"/>
        <v>99.377663768124336</v>
      </c>
      <c r="AO51" s="3400">
        <f t="shared" si="168"/>
        <v>100.78374438219622</v>
      </c>
      <c r="AP51" s="3400">
        <f t="shared" si="169"/>
        <v>97.7921188419093</v>
      </c>
      <c r="AQ51" s="3400"/>
      <c r="AR51" s="3400">
        <f t="shared" si="170"/>
        <v>100.78374438219622</v>
      </c>
    </row>
    <row r="52" spans="1:44" ht="15" thickBot="1">
      <c r="A52" s="3088" t="s">
        <v>2788</v>
      </c>
      <c r="B52" s="3143">
        <v>2021</v>
      </c>
      <c r="C52" s="3144">
        <v>1</v>
      </c>
      <c r="D52" s="3144"/>
      <c r="E52" s="3144">
        <v>0.35</v>
      </c>
      <c r="F52" s="3144">
        <v>0.48</v>
      </c>
      <c r="G52" s="3144">
        <v>0.98</v>
      </c>
      <c r="H52" s="3145"/>
      <c r="I52" s="3146">
        <f t="shared" si="194"/>
        <v>0.48</v>
      </c>
      <c r="J52" s="3109"/>
      <c r="K52" s="3110"/>
      <c r="L52" s="3111">
        <f t="shared" si="195"/>
        <v>3.4999999999999996E-3</v>
      </c>
      <c r="M52" s="3111">
        <f>F52/100</f>
        <v>4.7999999999999996E-3</v>
      </c>
      <c r="N52" s="3111">
        <f t="shared" si="195"/>
        <v>9.7999999999999997E-3</v>
      </c>
      <c r="O52" s="3111"/>
      <c r="P52" s="3111">
        <f t="shared" si="221"/>
        <v>4.7999999999999996E-3</v>
      </c>
      <c r="Q52" s="3109"/>
      <c r="R52" s="3118"/>
      <c r="S52" s="3118">
        <v>1</v>
      </c>
      <c r="T52" s="3118">
        <v>1</v>
      </c>
      <c r="U52" s="3118">
        <v>1</v>
      </c>
      <c r="V52" s="3118"/>
      <c r="W52" s="3118">
        <f t="shared" si="222"/>
        <v>1</v>
      </c>
      <c r="X52" s="3109"/>
      <c r="Y52" s="3111"/>
      <c r="Z52" s="3129">
        <f t="shared" si="223"/>
        <v>3.5000000000000001E-3</v>
      </c>
      <c r="AA52" s="3130">
        <f t="shared" si="223"/>
        <v>4.7999999999999996E-3</v>
      </c>
      <c r="AB52" s="3111">
        <f t="shared" si="223"/>
        <v>9.7999999999999997E-3</v>
      </c>
      <c r="AC52" s="3131"/>
      <c r="AD52" s="3111">
        <f t="shared" si="223"/>
        <v>4.7999999999999996E-3</v>
      </c>
      <c r="AG52" s="3401">
        <v>100</v>
      </c>
      <c r="AH52" s="3401">
        <v>100</v>
      </c>
      <c r="AI52" s="3401">
        <v>100</v>
      </c>
      <c r="AJ52" s="3401"/>
      <c r="AK52" s="3401">
        <v>100</v>
      </c>
      <c r="AN52" s="3400">
        <f t="shared" si="167"/>
        <v>98.83407634820918</v>
      </c>
      <c r="AO52" s="3400">
        <f t="shared" si="168"/>
        <v>100.32226197710156</v>
      </c>
      <c r="AP52" s="3400">
        <f t="shared" si="169"/>
        <v>96.728109635914251</v>
      </c>
      <c r="AQ52" s="3400"/>
      <c r="AR52" s="3400">
        <f t="shared" si="170"/>
        <v>100.32226197710156</v>
      </c>
    </row>
    <row r="53" spans="1:44" ht="15" thickTop="1"/>
    <row r="54" spans="1:44">
      <c r="A54" s="3387" t="s">
        <v>3267</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75" customWidth="1"/>
    <col min="2" max="2" width="9" style="1475"/>
    <col min="3" max="4" width="9.6640625" style="1475" customWidth="1"/>
    <col min="5" max="16384" width="9" style="1475"/>
  </cols>
  <sheetData>
    <row r="1" spans="1:4" ht="22.2">
      <c r="A1" s="1474" t="s">
        <v>1428</v>
      </c>
    </row>
    <row r="3" spans="1:4" ht="17.399999999999999">
      <c r="A3" s="1492" t="str">
        <f>项目基本情况!B5&amp;"："</f>
        <v>：</v>
      </c>
    </row>
    <row r="4" spans="1:4" ht="34.799999999999997">
      <c r="A4" s="1487" t="str">
        <f>"受贵公司委托，我公司对"&amp;项目基本情况!K2&amp;项目基本情况!B9&amp;"进行了预评估。"</f>
        <v>受贵公司委托，我公司对江苏省淮安市淮安区淮安生态文旅区站前路西侧、淮启路南侧出让国有建设用地使用权抵押价格进行了预评估。</v>
      </c>
    </row>
    <row r="5" spans="1:4" ht="17.399999999999999">
      <c r="A5" s="1490" t="s">
        <v>1429</v>
      </c>
    </row>
    <row r="6" spans="1:4" ht="87">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淮安高新置业有限公司使用的、位于江苏省淮安市淮安区淮安生态文旅区站前路西侧、淮启路南侧出让国有建设用地使用权。根据《国有土地使用证》[]，估价对象（分摊）出让国有建设用地使用权面积为21555平方米。根据《建设工程规划许可证》[]、《出让合同》[]，估价对象规划建筑面积为28022平方米。</v>
      </c>
    </row>
    <row r="7" spans="1:4" ht="52.2">
      <c r="A7" s="1491" t="s">
        <v>2029</v>
      </c>
    </row>
    <row r="8" spans="1:4" ht="17.399999999999999">
      <c r="A8" s="1490" t="s">
        <v>1430</v>
      </c>
    </row>
    <row r="9" spans="1:4" ht="87">
      <c r="A9" s="1487" t="str">
        <f>IF(项目基本情况!B8="抵押",IF(项目基本情况!B5=项目基本情况!B6,定义!C51,定义!B51),定义!D51)</f>
        <v>拟使用江苏省淮安市淮安区淮安生态文旅区站前路西侧、淮启路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2" t="s">
        <v>1544</v>
      </c>
    </row>
    <row r="11" spans="1:4" ht="17.399999999999999">
      <c r="A11" s="1476" t="str">
        <f>TEXT(项目基本情况!D3,"yyyy年m月d日;;")&amp;IF(项目基本情况!B3=项目基本情况!D3,"（评估专业人员勘察现场之日）","")</f>
        <v>2025年7月11日</v>
      </c>
    </row>
    <row r="12" spans="1:4" ht="17.399999999999999">
      <c r="A12" s="1492" t="s">
        <v>1543</v>
      </c>
    </row>
    <row r="13" spans="1:4" ht="17.399999999999999">
      <c r="A13" s="1487" t="s">
        <v>2204</v>
      </c>
    </row>
    <row r="14" spans="1:4" ht="34.799999999999997">
      <c r="A14" s="1487" t="str">
        <f>"根据"&amp;项目基本情况!F12&amp;"，本次评估估价对象证载（地类）用途为"&amp;项目基本情况!B12&amp;"。"</f>
        <v>根据《国有土地使用证》[]，本次评估估价对象证载（地类）用途为商业、住宅。</v>
      </c>
      <c r="C14" s="1477"/>
      <c r="D14" s="1478"/>
    </row>
    <row r="15" spans="1:4" ht="17.399999999999999">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7.399999999999999">
      <c r="A16" s="1487" t="s">
        <v>1590</v>
      </c>
    </row>
    <row r="17" spans="1:1" ht="52.2">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87" t="s">
        <v>1591</v>
      </c>
    </row>
    <row r="20" spans="1:1" ht="52.2">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根据《国有土地使用证》[]，估价对象（分摊）出让国有建设用地使用权面积为21555平方米。根据《建设工程规划许可证》[]、《出让合同》[]，估价对象规划建筑面积为28022平方米。</v>
      </c>
    </row>
    <row r="21" spans="1:1" ht="17.399999999999999">
      <c r="A21" s="1487" t="s">
        <v>1592</v>
      </c>
    </row>
    <row r="22" spans="1:1" ht="87">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2月26日。截至估价期日，出让国有建设用地使用权剩余土地使用年限为。</v>
      </c>
    </row>
    <row r="23" spans="1:1" ht="17.399999999999999">
      <c r="A23" s="1487" t="str">
        <f>IF(项目基本情况!A17="出让","本次评估设定估价对象剩余土地使用年限为"&amp;项目基本情况!D20&amp;"。","")</f>
        <v>本次评估设定估价对象剩余土地使用年限为。</v>
      </c>
    </row>
    <row r="24" spans="1:1" ht="17.399999999999999">
      <c r="A24" s="1487" t="s">
        <v>1593</v>
      </c>
    </row>
    <row r="25" spans="1:1" ht="87">
      <c r="A25" s="1487" t="str">
        <f>定义!C53</f>
        <v>本次估价的“出让国有建设用地使用权价格”是指在估价对象土地所有权为国家所有，使用权性质为出让，在公开市场条件下、于估价期日2025年7月11日，在规划利用条件下、设定土地开发程度为红线外“七通”、宗地内场地，设定用途为，剩余土地使用年限为的出让国有建设用地使用权价格。</v>
      </c>
    </row>
    <row r="26" spans="1:1" ht="52.2">
      <c r="A26" s="14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487" t="str">
        <f>IF(项目基本情况!B9="市场价格","——",IF(项目基本情况!E9="——","",定义!C57))</f>
        <v/>
      </c>
    </row>
    <row r="29" spans="1:1" ht="17.399999999999999">
      <c r="A29" s="1492" t="s">
        <v>1545</v>
      </c>
    </row>
    <row r="30" spans="1:1" ht="69.599999999999994">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493"/>
    </row>
    <row r="32" spans="1:1" ht="17.399999999999999">
      <c r="A32" s="149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748" customWidth="1"/>
    <col min="2" max="2" width="12.44140625" style="2748" customWidth="1"/>
    <col min="3" max="3" width="12.109375" style="2748" customWidth="1"/>
    <col min="4" max="4" width="16.6640625" style="2748" customWidth="1"/>
    <col min="5" max="5" width="12.44140625" style="2748" customWidth="1"/>
    <col min="6" max="6" width="12.77734375" style="2748" customWidth="1"/>
    <col min="7" max="16384" width="8.88671875" style="2748"/>
  </cols>
  <sheetData>
    <row r="1" spans="1:14" ht="20.399999999999999">
      <c r="A1" s="2751" t="s">
        <v>2211</v>
      </c>
      <c r="B1" s="2746"/>
      <c r="C1" s="2746"/>
      <c r="D1" s="2746"/>
      <c r="E1" s="2746"/>
      <c r="F1" s="2746"/>
      <c r="G1" s="2747"/>
      <c r="H1" s="2747"/>
      <c r="I1" s="2747"/>
      <c r="J1" s="2747"/>
      <c r="K1" s="2747"/>
      <c r="L1" s="2747"/>
      <c r="M1" s="2747"/>
      <c r="N1" s="2747"/>
    </row>
    <row r="2" spans="1:14" ht="15.6">
      <c r="A2" s="2752" t="s">
        <v>2206</v>
      </c>
      <c r="B2" s="2757">
        <f ca="1">SUMIF(B7:B14,"&lt;&gt;#ref!",B7:B14)</f>
        <v>0</v>
      </c>
      <c r="C2" s="2752" t="s">
        <v>2207</v>
      </c>
      <c r="D2" s="2749"/>
      <c r="E2" s="2749"/>
      <c r="F2" s="2749"/>
      <c r="G2" s="2747"/>
      <c r="H2" s="2747"/>
      <c r="I2" s="2747"/>
      <c r="J2" s="2747"/>
      <c r="K2" s="2747"/>
      <c r="L2" s="2747"/>
      <c r="M2" s="2747"/>
      <c r="N2" s="2747"/>
    </row>
    <row r="3" spans="1:14" ht="15.6">
      <c r="A3" s="2752" t="s">
        <v>2235</v>
      </c>
      <c r="B3" s="2757" t="e">
        <f ca="1">ROUND(B2*10000/E3,0)</f>
        <v>#DIV/0!</v>
      </c>
      <c r="C3" s="2752" t="s">
        <v>1596</v>
      </c>
      <c r="D3" s="2752" t="s">
        <v>2208</v>
      </c>
      <c r="E3" s="2750">
        <f ca="1">SUMIF(E7:E14,"&lt;&gt;#ref!",E7:E14)</f>
        <v>0</v>
      </c>
      <c r="F3" s="2749"/>
      <c r="G3" s="2747"/>
      <c r="H3" s="2747"/>
      <c r="I3" s="2747"/>
      <c r="J3" s="2747"/>
      <c r="K3" s="2747"/>
      <c r="L3" s="2747"/>
      <c r="M3" s="2747"/>
      <c r="N3" s="2747"/>
    </row>
    <row r="4" spans="1:14" ht="15.6">
      <c r="A4" s="2752" t="s">
        <v>2214</v>
      </c>
      <c r="B4" s="2757" t="e">
        <f ca="1">ROUND(B2*10000/E4,0)</f>
        <v>#DIV/0!</v>
      </c>
      <c r="C4" s="2752" t="s">
        <v>1596</v>
      </c>
      <c r="D4" s="2752" t="s">
        <v>2215</v>
      </c>
      <c r="E4" s="2750">
        <f ca="1">SUMIF(F7:F14,"&lt;&gt;#ref!",F7:F14)</f>
        <v>0</v>
      </c>
      <c r="F4" s="2749"/>
      <c r="G4" s="2747"/>
      <c r="H4" s="2747"/>
      <c r="I4" s="2747"/>
      <c r="J4" s="2747"/>
      <c r="K4" s="2747"/>
      <c r="L4" s="2747"/>
      <c r="M4" s="2747"/>
      <c r="N4" s="2747"/>
    </row>
    <row r="5" spans="1:14" ht="15.6">
      <c r="A5" s="2753"/>
      <c r="B5" s="2749"/>
      <c r="C5" s="2749"/>
      <c r="D5" s="2749"/>
      <c r="E5" s="2749"/>
      <c r="F5" s="2749"/>
      <c r="G5" s="2747"/>
      <c r="H5" s="2747"/>
      <c r="I5" s="2747"/>
      <c r="J5" s="2747"/>
      <c r="K5" s="2747"/>
      <c r="L5" s="2747"/>
      <c r="M5" s="2747"/>
      <c r="N5" s="2747"/>
    </row>
    <row r="6" spans="1:14" ht="31.2">
      <c r="A6" s="2754" t="s">
        <v>2212</v>
      </c>
      <c r="B6" s="2752" t="s">
        <v>2209</v>
      </c>
      <c r="C6" s="2354"/>
      <c r="D6" s="2749"/>
      <c r="E6" s="2752" t="s">
        <v>2210</v>
      </c>
      <c r="F6" s="2752" t="s">
        <v>2213</v>
      </c>
      <c r="G6" s="2747"/>
      <c r="H6" s="2747"/>
      <c r="I6" s="2747"/>
      <c r="J6" s="2747"/>
      <c r="K6" s="2747"/>
      <c r="L6" s="2747"/>
      <c r="M6" s="2747"/>
      <c r="N6" s="2747"/>
    </row>
    <row r="7" spans="1:14" ht="15.6">
      <c r="A7" s="2755"/>
      <c r="B7" s="2757" t="e">
        <f ca="1">SUMIF(INDIRECT("'"&amp;A7&amp;"'"&amp;"!A:A"),"总价",INDIRECT("'"&amp;A7&amp;"'"&amp;"!B:B"))</f>
        <v>#REF!</v>
      </c>
      <c r="C7" s="2752" t="s">
        <v>2207</v>
      </c>
      <c r="D7" s="2749"/>
      <c r="E7" s="2750" t="e">
        <f ca="1">SUMIF(INDIRECT("'"&amp;A7&amp;"'"&amp;"!C:C"),"建筑面积",INDIRECT("'"&amp;A7&amp;"'"&amp;"!D:D"))</f>
        <v>#REF!</v>
      </c>
      <c r="F7" s="2750" t="e">
        <f ca="1">SUMIF(INDIRECT("'"&amp;A7&amp;"'"&amp;"!E:E"),"土地面积",INDIRECT("'"&amp;A7&amp;"'"&amp;"!F:F"))</f>
        <v>#REF!</v>
      </c>
      <c r="G7" s="2747"/>
      <c r="H7" s="2747"/>
      <c r="I7" s="2747"/>
      <c r="J7" s="2747"/>
      <c r="K7" s="2747"/>
      <c r="L7" s="2747"/>
      <c r="M7" s="2747"/>
      <c r="N7" s="2747"/>
    </row>
    <row r="8" spans="1:14" ht="15.6">
      <c r="A8" s="2755"/>
      <c r="B8" s="2757" t="e">
        <f t="shared" ref="B8:B14" ca="1" si="0">SUMIF(INDIRECT("'"&amp;A8&amp;"'"&amp;"!A:A"),"总价",INDIRECT("'"&amp;A8&amp;"'"&amp;"!B:B"))</f>
        <v>#REF!</v>
      </c>
      <c r="C8" s="2752" t="s">
        <v>2207</v>
      </c>
      <c r="D8" s="2749"/>
      <c r="E8" s="2750" t="e">
        <f t="shared" ref="E8:E14" ca="1" si="1">SUMIF(INDIRECT("'"&amp;A8&amp;"'"&amp;"!C:C"),"建筑面积",INDIRECT("'"&amp;A8&amp;"'"&amp;"!D:D"))</f>
        <v>#REF!</v>
      </c>
      <c r="F8" s="2750" t="e">
        <f t="shared" ref="F8:F14" ca="1" si="2">SUMIF(INDIRECT("'"&amp;A8&amp;"'"&amp;"!E:E"),"土地面积",INDIRECT("'"&amp;A8&amp;"'"&amp;"!F:F"))</f>
        <v>#REF!</v>
      </c>
      <c r="G8" s="2747"/>
      <c r="H8" s="2747"/>
      <c r="I8" s="2747"/>
      <c r="J8" s="2747"/>
      <c r="K8" s="2747"/>
      <c r="L8" s="2747"/>
      <c r="M8" s="2747"/>
      <c r="N8" s="2747"/>
    </row>
    <row r="9" spans="1:14" ht="15.6">
      <c r="A9" s="2755"/>
      <c r="B9" s="2757" t="e">
        <f t="shared" ca="1" si="0"/>
        <v>#REF!</v>
      </c>
      <c r="C9" s="2752" t="s">
        <v>2207</v>
      </c>
      <c r="D9" s="2749"/>
      <c r="E9" s="2750" t="e">
        <f t="shared" ca="1" si="1"/>
        <v>#REF!</v>
      </c>
      <c r="F9" s="2750" t="e">
        <f t="shared" ca="1" si="2"/>
        <v>#REF!</v>
      </c>
      <c r="G9" s="2747"/>
      <c r="H9" s="2747"/>
      <c r="I9" s="2747"/>
      <c r="J9" s="2747"/>
      <c r="K9" s="2747"/>
      <c r="L9" s="2747"/>
      <c r="M9" s="2747"/>
      <c r="N9" s="2747"/>
    </row>
    <row r="10" spans="1:14" ht="15.6">
      <c r="A10" s="2755"/>
      <c r="B10" s="2757" t="e">
        <f t="shared" ca="1" si="0"/>
        <v>#REF!</v>
      </c>
      <c r="C10" s="2752" t="s">
        <v>2207</v>
      </c>
      <c r="D10" s="2749"/>
      <c r="E10" s="2750" t="e">
        <f t="shared" ca="1" si="1"/>
        <v>#REF!</v>
      </c>
      <c r="F10" s="2750" t="e">
        <f t="shared" ca="1" si="2"/>
        <v>#REF!</v>
      </c>
      <c r="G10" s="2747"/>
      <c r="H10" s="2747"/>
      <c r="I10" s="2747"/>
      <c r="J10" s="2747"/>
      <c r="K10" s="2747"/>
      <c r="L10" s="2747"/>
      <c r="M10" s="2747"/>
      <c r="N10" s="2747"/>
    </row>
    <row r="11" spans="1:14" ht="15.6">
      <c r="A11" s="2755"/>
      <c r="B11" s="2757" t="e">
        <f t="shared" ca="1" si="0"/>
        <v>#REF!</v>
      </c>
      <c r="C11" s="2752" t="s">
        <v>2207</v>
      </c>
      <c r="D11" s="2749"/>
      <c r="E11" s="2750" t="e">
        <f t="shared" ca="1" si="1"/>
        <v>#REF!</v>
      </c>
      <c r="F11" s="2750" t="e">
        <f t="shared" ca="1" si="2"/>
        <v>#REF!</v>
      </c>
      <c r="G11" s="2747"/>
      <c r="H11" s="2747"/>
      <c r="I11" s="2747"/>
      <c r="J11" s="2747"/>
      <c r="K11" s="2747"/>
      <c r="L11" s="2747"/>
      <c r="M11" s="2747"/>
      <c r="N11" s="2747"/>
    </row>
    <row r="12" spans="1:14" ht="15.6">
      <c r="A12" s="2755"/>
      <c r="B12" s="2757" t="e">
        <f t="shared" ca="1" si="0"/>
        <v>#REF!</v>
      </c>
      <c r="C12" s="2752" t="s">
        <v>2207</v>
      </c>
      <c r="D12" s="2749"/>
      <c r="E12" s="2750" t="e">
        <f t="shared" ca="1" si="1"/>
        <v>#REF!</v>
      </c>
      <c r="F12" s="2750" t="e">
        <f t="shared" ca="1" si="2"/>
        <v>#REF!</v>
      </c>
      <c r="G12" s="2747"/>
      <c r="H12" s="2747"/>
      <c r="I12" s="2747"/>
      <c r="J12" s="2747"/>
      <c r="K12" s="2747"/>
      <c r="L12" s="2747"/>
      <c r="M12" s="2747"/>
      <c r="N12" s="2747"/>
    </row>
    <row r="13" spans="1:14" ht="15.6">
      <c r="A13" s="2755"/>
      <c r="B13" s="2757" t="e">
        <f t="shared" ca="1" si="0"/>
        <v>#REF!</v>
      </c>
      <c r="C13" s="2752" t="s">
        <v>2207</v>
      </c>
      <c r="D13" s="2749"/>
      <c r="E13" s="2750" t="e">
        <f t="shared" ca="1" si="1"/>
        <v>#REF!</v>
      </c>
      <c r="F13" s="2750" t="e">
        <f t="shared" ca="1" si="2"/>
        <v>#REF!</v>
      </c>
      <c r="G13" s="2747"/>
      <c r="H13" s="2747"/>
      <c r="I13" s="2747"/>
      <c r="J13" s="2747"/>
      <c r="K13" s="2747"/>
      <c r="L13" s="2747"/>
      <c r="M13" s="2747"/>
      <c r="N13" s="2747"/>
    </row>
    <row r="14" spans="1:14" ht="15.6">
      <c r="A14" s="2756"/>
      <c r="B14" s="2757" t="e">
        <f t="shared" ca="1" si="0"/>
        <v>#REF!</v>
      </c>
      <c r="C14" s="2752" t="s">
        <v>2207</v>
      </c>
      <c r="D14" s="2749"/>
      <c r="E14" s="2750" t="e">
        <f t="shared" ca="1" si="1"/>
        <v>#REF!</v>
      </c>
      <c r="F14" s="2750" t="e">
        <f t="shared" ca="1" si="2"/>
        <v>#REF!</v>
      </c>
      <c r="G14" s="2747"/>
      <c r="H14" s="2747"/>
      <c r="I14" s="2747"/>
      <c r="J14" s="2747"/>
      <c r="K14" s="2747"/>
      <c r="L14" s="2747"/>
      <c r="M14" s="2747"/>
      <c r="N14" s="2747"/>
    </row>
    <row r="15" spans="1:14">
      <c r="A15" s="2747"/>
      <c r="B15" s="2747"/>
      <c r="C15" s="2747"/>
      <c r="D15" s="2747"/>
      <c r="E15" s="2747"/>
      <c r="F15" s="2747"/>
      <c r="G15" s="2747"/>
      <c r="H15" s="2747"/>
      <c r="I15" s="2747"/>
      <c r="J15" s="2747"/>
      <c r="K15" s="2747"/>
      <c r="L15" s="2747"/>
      <c r="M15" s="2747"/>
      <c r="N15" s="2747"/>
    </row>
    <row r="16" spans="1:14">
      <c r="A16" s="2747"/>
      <c r="B16" s="2747"/>
      <c r="C16" s="2747"/>
      <c r="D16" s="2747"/>
      <c r="E16" s="2747"/>
      <c r="F16" s="2747"/>
      <c r="G16" s="2747"/>
      <c r="H16" s="2747"/>
      <c r="I16" s="2747"/>
      <c r="J16" s="2747"/>
      <c r="K16" s="2747"/>
      <c r="L16" s="2747"/>
      <c r="M16" s="2747"/>
      <c r="N16" s="2747"/>
    </row>
    <row r="17" spans="1:14">
      <c r="A17" s="2747"/>
      <c r="B17" s="2747"/>
      <c r="C17" s="2747"/>
      <c r="D17" s="2747"/>
      <c r="E17" s="2747"/>
      <c r="F17" s="2747"/>
      <c r="G17" s="2747"/>
      <c r="H17" s="2747"/>
      <c r="I17" s="2747"/>
      <c r="J17" s="2747"/>
      <c r="K17" s="2747"/>
      <c r="L17" s="2747"/>
      <c r="M17" s="2747"/>
      <c r="N17" s="2747"/>
    </row>
    <row r="18" spans="1:14">
      <c r="A18" s="2747"/>
      <c r="B18" s="2747"/>
      <c r="C18" s="2747"/>
      <c r="D18" s="2747"/>
      <c r="E18" s="2747"/>
      <c r="F18" s="2747"/>
      <c r="G18" s="2747"/>
      <c r="H18" s="2747"/>
      <c r="I18" s="2747"/>
      <c r="J18" s="2747"/>
      <c r="K18" s="2747"/>
      <c r="L18" s="2747"/>
      <c r="M18" s="2747"/>
      <c r="N18" s="2747"/>
    </row>
    <row r="19" spans="1:14">
      <c r="A19" s="2747"/>
      <c r="B19" s="2747"/>
      <c r="C19" s="2747"/>
      <c r="D19" s="2747"/>
      <c r="E19" s="2747"/>
      <c r="F19" s="2747"/>
      <c r="G19" s="2747"/>
      <c r="H19" s="2747"/>
      <c r="I19" s="2747"/>
      <c r="J19" s="2747"/>
      <c r="K19" s="2747"/>
      <c r="L19" s="2747"/>
      <c r="M19" s="2747"/>
      <c r="N19" s="2747"/>
    </row>
    <row r="20" spans="1:14">
      <c r="A20" s="2747"/>
      <c r="B20" s="2747"/>
      <c r="C20" s="2747"/>
      <c r="D20" s="2747"/>
      <c r="E20" s="2747"/>
      <c r="F20" s="2747"/>
      <c r="G20" s="2747"/>
      <c r="H20" s="2747"/>
      <c r="I20" s="2747"/>
      <c r="J20" s="2747"/>
      <c r="K20" s="2747"/>
      <c r="L20" s="2747"/>
      <c r="M20" s="2747"/>
      <c r="N20" s="2747"/>
    </row>
    <row r="21" spans="1:14">
      <c r="A21" s="2747"/>
      <c r="B21" s="2747"/>
      <c r="C21" s="2747"/>
      <c r="D21" s="2747"/>
      <c r="E21" s="2747"/>
      <c r="F21" s="2747"/>
      <c r="G21" s="2747"/>
      <c r="H21" s="2747"/>
      <c r="I21" s="2747"/>
      <c r="J21" s="2747"/>
      <c r="K21" s="2747"/>
      <c r="L21" s="2747"/>
      <c r="M21" s="2747"/>
      <c r="N21" s="2747"/>
    </row>
    <row r="22" spans="1:14">
      <c r="A22" s="2747"/>
      <c r="B22" s="2747"/>
      <c r="C22" s="2747"/>
      <c r="D22" s="2747"/>
      <c r="E22" s="2747"/>
      <c r="F22" s="2747"/>
      <c r="G22" s="2747"/>
      <c r="H22" s="2747"/>
      <c r="I22" s="2747"/>
      <c r="J22" s="2747"/>
      <c r="K22" s="2747"/>
      <c r="L22" s="2747"/>
      <c r="M22" s="2747"/>
      <c r="N22" s="2747"/>
    </row>
    <row r="23" spans="1:14">
      <c r="A23" s="2747"/>
      <c r="B23" s="2747"/>
      <c r="C23" s="2747"/>
      <c r="D23" s="2747"/>
      <c r="E23" s="2747"/>
      <c r="F23" s="2747"/>
      <c r="G23" s="2747"/>
      <c r="H23" s="2747"/>
      <c r="I23" s="2747"/>
      <c r="J23" s="2747"/>
      <c r="K23" s="2747"/>
      <c r="L23" s="2747"/>
      <c r="M23" s="2747"/>
      <c r="N23" s="2747"/>
    </row>
    <row r="24" spans="1:14">
      <c r="A24" s="2747"/>
      <c r="B24" s="2747"/>
      <c r="C24" s="2747"/>
      <c r="D24" s="2747"/>
      <c r="E24" s="2747"/>
      <c r="F24" s="2747"/>
      <c r="G24" s="2747"/>
      <c r="H24" s="2747"/>
      <c r="I24" s="2747"/>
      <c r="J24" s="2747"/>
      <c r="K24" s="2747"/>
      <c r="L24" s="2747"/>
      <c r="M24" s="2747"/>
      <c r="N24" s="2747"/>
    </row>
    <row r="25" spans="1:14">
      <c r="A25" s="2747"/>
      <c r="B25" s="2747"/>
      <c r="C25" s="2747"/>
      <c r="D25" s="2747"/>
      <c r="E25" s="2747"/>
      <c r="F25" s="2747"/>
      <c r="G25" s="2747"/>
      <c r="H25" s="2747"/>
      <c r="I25" s="2747"/>
      <c r="J25" s="2747"/>
      <c r="K25" s="2747"/>
      <c r="L25" s="2747"/>
      <c r="M25" s="2747"/>
      <c r="N25" s="2747"/>
    </row>
    <row r="26" spans="1:14">
      <c r="A26" s="2747"/>
      <c r="B26" s="2747"/>
      <c r="C26" s="2747"/>
      <c r="D26" s="2747"/>
      <c r="E26" s="2747"/>
      <c r="F26" s="2747"/>
      <c r="G26" s="2747"/>
      <c r="H26" s="2747"/>
      <c r="I26" s="2747"/>
      <c r="J26" s="2747"/>
      <c r="K26" s="2747"/>
      <c r="L26" s="2747"/>
      <c r="M26" s="2747"/>
      <c r="N26" s="2747"/>
    </row>
    <row r="27" spans="1:14">
      <c r="A27" s="2747"/>
      <c r="B27" s="2747"/>
      <c r="C27" s="2747"/>
      <c r="D27" s="2747"/>
      <c r="E27" s="2747"/>
      <c r="F27" s="2747"/>
      <c r="G27" s="2747"/>
      <c r="H27" s="2747"/>
      <c r="I27" s="2747"/>
      <c r="J27" s="2747"/>
      <c r="K27" s="2747"/>
      <c r="L27" s="2747"/>
      <c r="M27" s="2747"/>
      <c r="N27" s="2747"/>
    </row>
    <row r="28" spans="1:14">
      <c r="A28" s="2747"/>
      <c r="B28" s="2747"/>
      <c r="C28" s="2747"/>
      <c r="D28" s="2747"/>
      <c r="E28" s="2747"/>
      <c r="F28" s="2747"/>
      <c r="G28" s="2747"/>
      <c r="H28" s="2747"/>
      <c r="I28" s="2747"/>
      <c r="J28" s="2747"/>
      <c r="K28" s="2747"/>
      <c r="L28" s="2747"/>
      <c r="M28" s="2747"/>
      <c r="N28" s="2747"/>
    </row>
    <row r="29" spans="1:14">
      <c r="A29" s="2747"/>
      <c r="B29" s="2747"/>
      <c r="C29" s="2747"/>
      <c r="D29" s="2747"/>
      <c r="E29" s="2747"/>
      <c r="F29" s="2747"/>
      <c r="G29" s="2747"/>
      <c r="H29" s="2747"/>
      <c r="I29" s="2747"/>
      <c r="J29" s="2747"/>
      <c r="K29" s="2747"/>
      <c r="L29" s="2747"/>
      <c r="M29" s="2747"/>
      <c r="N29" s="2747"/>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5" customWidth="1"/>
    <col min="2" max="2" width="20.6640625" style="1706" customWidth="1"/>
    <col min="3" max="3" width="11.88671875" style="1706" customWidth="1"/>
    <col min="4" max="4" width="40.44140625" style="1672" customWidth="1"/>
    <col min="5" max="5" width="15.77734375" style="1672" customWidth="1"/>
    <col min="6" max="6" width="10.6640625" style="1672" customWidth="1"/>
    <col min="7" max="7" width="4.88671875" style="1672" customWidth="1"/>
    <col min="8" max="8" width="8.44140625" style="1672" customWidth="1"/>
    <col min="9" max="9" width="21.21875" style="1672" customWidth="1"/>
    <col min="10" max="10" width="12.21875" style="1672" customWidth="1"/>
    <col min="11" max="11" width="40.109375" style="1707" customWidth="1"/>
    <col min="12" max="12" width="18.33203125" style="1672" customWidth="1"/>
    <col min="13" max="13" width="13" style="1672" customWidth="1"/>
    <col min="14" max="14" width="9.44140625" style="1671" bestFit="1" customWidth="1"/>
    <col min="15" max="15" width="8.33203125" style="1671" customWidth="1"/>
    <col min="16" max="16" width="30.21875" style="1671" customWidth="1"/>
    <col min="17" max="17" width="13.77734375" style="1671" customWidth="1"/>
    <col min="18" max="18" width="22.21875" style="1671" customWidth="1"/>
    <col min="19" max="19" width="1.44140625" style="1671" customWidth="1"/>
    <col min="20" max="25" width="9" style="1671"/>
    <col min="26" max="16384" width="9" style="1672"/>
  </cols>
  <sheetData>
    <row r="1" spans="1:25" s="1666" customFormat="1" ht="21.6">
      <c r="A1" s="707" t="s">
        <v>576</v>
      </c>
      <c r="B1" s="675"/>
      <c r="C1" s="708"/>
      <c r="D1" s="1662"/>
      <c r="E1" s="1946" t="s">
        <v>1728</v>
      </c>
      <c r="F1" s="1947">
        <f ca="1">J54</f>
        <v>-2</v>
      </c>
      <c r="G1" s="709">
        <f>MATCH(C1,'数据-取费表'!A6:A16,0)+5</f>
        <v>8</v>
      </c>
      <c r="H1" s="1144"/>
      <c r="I1" s="1663"/>
      <c r="J1" s="1663"/>
      <c r="K1" s="1664"/>
      <c r="L1" s="1663"/>
      <c r="M1" s="1663"/>
      <c r="N1" s="1665"/>
      <c r="O1" s="1665"/>
      <c r="P1" s="1665"/>
      <c r="Q1" s="1665"/>
      <c r="R1" s="1665"/>
      <c r="S1" s="1665"/>
      <c r="T1" s="1665"/>
      <c r="U1" s="1665"/>
      <c r="V1" s="1665"/>
      <c r="W1" s="1665"/>
      <c r="X1" s="1665"/>
      <c r="Y1" s="1665"/>
    </row>
    <row r="2" spans="1:25" ht="18" customHeight="1">
      <c r="A2" s="1363" t="s">
        <v>577</v>
      </c>
      <c r="B2" s="710">
        <f ca="1">IF(ISERROR(C45+J31),0,C45+J31)</f>
        <v>0</v>
      </c>
      <c r="C2" s="1145"/>
      <c r="D2" s="1667"/>
      <c r="E2" s="1668"/>
      <c r="F2" s="1668"/>
      <c r="G2" s="1322"/>
      <c r="H2" s="1157"/>
      <c r="I2" s="1669"/>
      <c r="J2" s="1669"/>
      <c r="K2" s="1670"/>
      <c r="L2" s="1669"/>
      <c r="M2" s="1669"/>
    </row>
    <row r="3" spans="1:25" ht="18" customHeight="1">
      <c r="A3" s="1364" t="s">
        <v>1219</v>
      </c>
      <c r="B3" s="1176">
        <f ca="1">ROUND(B2*10000/'数据-汇总表'!E3,0)</f>
        <v>0</v>
      </c>
      <c r="C3" s="1145"/>
      <c r="D3" s="1667"/>
      <c r="E3" s="1668"/>
      <c r="F3" s="1668"/>
      <c r="G3" s="1322"/>
      <c r="H3" s="711" t="s">
        <v>642</v>
      </c>
      <c r="I3" s="1669"/>
      <c r="J3" s="1669"/>
      <c r="K3" s="1670"/>
      <c r="L3" s="1669"/>
      <c r="M3" s="1669"/>
    </row>
    <row r="4" spans="1:25" ht="18" customHeight="1">
      <c r="A4" s="1365" t="s">
        <v>643</v>
      </c>
      <c r="B4" s="1146">
        <f ca="1">ROUND(B2*10000/'数据-汇总表'!D3,0)</f>
        <v>0</v>
      </c>
      <c r="C4" s="398"/>
      <c r="D4" s="1667"/>
      <c r="E4" s="1668"/>
      <c r="F4" s="1668"/>
      <c r="G4" s="1322"/>
      <c r="H4" s="711"/>
      <c r="I4" s="1669"/>
      <c r="J4" s="1669"/>
      <c r="K4" s="1670"/>
      <c r="L4" s="1669"/>
      <c r="M4" s="1669"/>
    </row>
    <row r="5" spans="1:25" ht="18" customHeight="1" thickBot="1">
      <c r="A5" s="1366"/>
      <c r="B5" s="400">
        <f ca="1">ROUND(B2/('数据-汇总表'!D3/666.67),0)</f>
        <v>0</v>
      </c>
      <c r="C5" s="401" t="s">
        <v>644</v>
      </c>
      <c r="D5" s="1667"/>
      <c r="E5" s="1668"/>
      <c r="F5" s="1668"/>
      <c r="G5" s="1322"/>
      <c r="H5" s="711"/>
      <c r="I5" s="1669"/>
      <c r="J5" s="1669"/>
      <c r="K5" s="1670"/>
      <c r="L5" s="1669"/>
      <c r="M5" s="1669"/>
    </row>
    <row r="6" spans="1:25" ht="18" customHeight="1">
      <c r="A6" s="1518" t="s">
        <v>645</v>
      </c>
      <c r="B6" s="1512" t="s">
        <v>646</v>
      </c>
      <c r="C6" s="1512" t="s">
        <v>580</v>
      </c>
      <c r="D6" s="1512" t="s">
        <v>581</v>
      </c>
      <c r="E6" s="714" t="s">
        <v>582</v>
      </c>
      <c r="F6" s="715"/>
      <c r="G6" s="1145"/>
      <c r="H6" s="1518" t="s">
        <v>578</v>
      </c>
      <c r="I6" s="1512" t="s">
        <v>579</v>
      </c>
      <c r="J6" s="1512" t="s">
        <v>580</v>
      </c>
      <c r="K6" s="1512" t="s">
        <v>581</v>
      </c>
      <c r="L6" s="714" t="s">
        <v>582</v>
      </c>
      <c r="M6" s="715"/>
    </row>
    <row r="7" spans="1:25" ht="18" customHeight="1">
      <c r="A7" s="716">
        <v>1</v>
      </c>
      <c r="B7" s="717" t="s">
        <v>1802</v>
      </c>
      <c r="C7" s="49">
        <f ca="1">C8+C12+C14</f>
        <v>0</v>
      </c>
      <c r="D7" s="2000" t="s">
        <v>1805</v>
      </c>
      <c r="E7" s="1994"/>
      <c r="F7" s="1995"/>
      <c r="G7" s="1145"/>
      <c r="H7" s="716">
        <v>1</v>
      </c>
      <c r="I7" s="717" t="s">
        <v>1802</v>
      </c>
      <c r="J7" s="49">
        <f ca="1">J8+J12+J14</f>
        <v>0</v>
      </c>
      <c r="K7" s="2000" t="s">
        <v>1805</v>
      </c>
      <c r="L7" s="1994"/>
      <c r="M7" s="1995"/>
    </row>
    <row r="8" spans="1:25" ht="18" customHeight="1">
      <c r="A8" s="1520" t="s">
        <v>1353</v>
      </c>
      <c r="B8" s="3713" t="s">
        <v>1807</v>
      </c>
      <c r="C8" s="1515">
        <f ca="1">ROUND(F8*F10*F9*(1-F11)/10000,0)</f>
        <v>0</v>
      </c>
      <c r="D8" s="317" t="s">
        <v>1817</v>
      </c>
      <c r="E8" s="57" t="s">
        <v>585</v>
      </c>
      <c r="F8" s="720">
        <f ca="1">INDIRECT("'数据-取费表'!u"&amp;$G$1)</f>
        <v>0</v>
      </c>
      <c r="G8" s="1145"/>
      <c r="H8" s="2008" t="s">
        <v>1353</v>
      </c>
      <c r="I8" s="3713" t="s">
        <v>1807</v>
      </c>
      <c r="J8" s="718">
        <f ca="1">ROUND(M8*M10*M9*(1-M11)/10000,0)</f>
        <v>0</v>
      </c>
      <c r="K8" s="315" t="s">
        <v>1817</v>
      </c>
      <c r="L8" s="719" t="s">
        <v>1267</v>
      </c>
      <c r="M8" s="720">
        <f ca="1">INDIRECT("'数据-取费表'!z"&amp;$G$1)</f>
        <v>0</v>
      </c>
    </row>
    <row r="9" spans="1:25" ht="18" customHeight="1">
      <c r="A9" s="2004"/>
      <c r="B9" s="3714"/>
      <c r="C9" s="1516"/>
      <c r="D9" s="330"/>
      <c r="E9" s="57" t="s">
        <v>586</v>
      </c>
      <c r="F9" s="720">
        <f ca="1">IF(INDIRECT("'数据-取费表'!ah"&amp;$G$1)="",INDIRECT("'数据-取费表'!k"&amp;$G$1),INDIRECT("'数据-取费表'!ah"&amp;$G$1))</f>
        <v>0</v>
      </c>
      <c r="G9" s="1145"/>
      <c r="H9" s="1993"/>
      <c r="I9" s="3714"/>
      <c r="J9" s="723"/>
      <c r="K9" s="724"/>
      <c r="L9" s="719" t="s">
        <v>1268</v>
      </c>
      <c r="M9" s="720">
        <f ca="1">F9</f>
        <v>0</v>
      </c>
    </row>
    <row r="10" spans="1:25" ht="18" customHeight="1">
      <c r="A10" s="1997"/>
      <c r="B10" s="3715"/>
      <c r="C10" s="1516"/>
      <c r="D10" s="330"/>
      <c r="E10" s="57" t="s">
        <v>587</v>
      </c>
      <c r="F10" s="720">
        <f ca="1">INDIRECT("'数据-取费表'!ai"&amp;$G$1)</f>
        <v>0</v>
      </c>
      <c r="G10" s="1145"/>
      <c r="H10" s="1993"/>
      <c r="I10" s="3715"/>
      <c r="J10" s="723"/>
      <c r="K10" s="724"/>
      <c r="L10" s="719" t="s">
        <v>1269</v>
      </c>
      <c r="M10" s="720">
        <f ca="1">INDIRECT("'数据-取费表'!ai"&amp;$G$1)</f>
        <v>0</v>
      </c>
    </row>
    <row r="11" spans="1:25" ht="18" customHeight="1">
      <c r="A11" s="721"/>
      <c r="B11" s="3716"/>
      <c r="C11" s="1516"/>
      <c r="D11" s="330"/>
      <c r="E11" s="57" t="s">
        <v>588</v>
      </c>
      <c r="F11" s="729">
        <f ca="1">INDIRECT("'数据-取费表'!w"&amp;$G$1)</f>
        <v>0</v>
      </c>
      <c r="G11" s="1145"/>
      <c r="H11" s="2009"/>
      <c r="I11" s="3715"/>
      <c r="J11" s="723"/>
      <c r="K11" s="724"/>
      <c r="L11" s="730" t="s">
        <v>1270</v>
      </c>
      <c r="M11" s="731">
        <f ca="1">INDIRECT("'数据-取费表'!ab"&amp;$G$1)</f>
        <v>0</v>
      </c>
    </row>
    <row r="12" spans="1:25" ht="18" customHeight="1">
      <c r="A12" s="1520" t="s">
        <v>1354</v>
      </c>
      <c r="B12" s="1998" t="s">
        <v>1803</v>
      </c>
      <c r="C12" s="734">
        <f ca="1">ROUND(IF(F12="押一",C8/12*F13,IF(F12="押二",C8/12*2*F13,IF(F12="押三",C8/12*3*F13,C13*F13))),0)</f>
        <v>0</v>
      </c>
      <c r="D12" s="2005" t="s">
        <v>2232</v>
      </c>
      <c r="E12" s="2002" t="s">
        <v>1808</v>
      </c>
      <c r="F12" s="2075"/>
      <c r="G12" s="1145"/>
      <c r="H12" s="2036" t="s">
        <v>1354</v>
      </c>
      <c r="I12" s="2040" t="s">
        <v>1803</v>
      </c>
      <c r="J12" s="718">
        <f ca="1">ROUND(IF(M12="押一",J8/12*M13,IF(M12="押二",J8/12*2*M13,IF(M12="押三",J8/12*3*M13,J13*M13))),0)</f>
        <v>0</v>
      </c>
      <c r="K12" s="2005" t="s">
        <v>2232</v>
      </c>
      <c r="L12" s="2002" t="s">
        <v>1808</v>
      </c>
      <c r="M12" s="2075"/>
    </row>
    <row r="13" spans="1:25" ht="18" customHeight="1">
      <c r="A13" s="725"/>
      <c r="B13" s="1999" t="s">
        <v>1856</v>
      </c>
      <c r="C13" s="2003"/>
      <c r="D13" s="724"/>
      <c r="E13" s="2002" t="s">
        <v>1801</v>
      </c>
      <c r="F13" s="731">
        <f ca="1">'数据-取费表'!B39</f>
        <v>1.4999999999999999E-2</v>
      </c>
      <c r="G13" s="1145"/>
      <c r="H13" s="2037"/>
      <c r="I13" s="1999" t="s">
        <v>1856</v>
      </c>
      <c r="J13" s="2003"/>
      <c r="K13" s="287"/>
      <c r="L13" s="2002" t="s">
        <v>1801</v>
      </c>
      <c r="M13" s="1996">
        <f ca="1">'数据-取费表'!B39</f>
        <v>1.4999999999999999E-2</v>
      </c>
    </row>
    <row r="14" spans="1:25" ht="18" customHeight="1" thickBot="1">
      <c r="A14" s="2012" t="s">
        <v>1811</v>
      </c>
      <c r="B14" s="2013" t="s">
        <v>1804</v>
      </c>
      <c r="C14" s="2014"/>
      <c r="D14" s="2015"/>
      <c r="E14" s="2016"/>
      <c r="F14" s="2017"/>
      <c r="G14" s="1145"/>
      <c r="H14" s="2026" t="s">
        <v>1811</v>
      </c>
      <c r="I14" s="2038" t="s">
        <v>1804</v>
      </c>
      <c r="J14" s="2039"/>
      <c r="K14" s="2015"/>
      <c r="L14" s="2016"/>
      <c r="M14" s="2029"/>
    </row>
    <row r="15" spans="1:25" ht="18" customHeight="1" thickTop="1">
      <c r="A15" s="1519" t="s">
        <v>1399</v>
      </c>
      <c r="B15" s="1517" t="s">
        <v>589</v>
      </c>
      <c r="C15" s="727">
        <f ca="1">ROUND(C31*F15,0)</f>
        <v>0</v>
      </c>
      <c r="D15" s="1524" t="s">
        <v>590</v>
      </c>
      <c r="E15" s="730" t="s">
        <v>591</v>
      </c>
      <c r="F15" s="735">
        <f ca="1">INDIRECT("'数据-取费表'!y"&amp;$G$1)</f>
        <v>0</v>
      </c>
      <c r="G15" s="1145"/>
      <c r="H15" s="1519" t="s">
        <v>1355</v>
      </c>
      <c r="I15" s="1517" t="s">
        <v>592</v>
      </c>
      <c r="J15" s="1511">
        <f ca="1">ROUND(J16*J17,0)</f>
        <v>0</v>
      </c>
      <c r="K15" s="1513"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4" t="s">
        <v>2102</v>
      </c>
      <c r="J16" s="49">
        <f ca="1">C31</f>
        <v>0</v>
      </c>
      <c r="K16" s="22"/>
      <c r="L16" s="736"/>
      <c r="M16" s="737"/>
    </row>
    <row r="17" spans="1:25" s="1675" customFormat="1" ht="18" customHeight="1">
      <c r="A17" s="738" t="s">
        <v>1378</v>
      </c>
      <c r="B17" s="719" t="s">
        <v>595</v>
      </c>
      <c r="C17" s="49">
        <f ca="1">ROUND(C16*F17,0)</f>
        <v>0</v>
      </c>
      <c r="D17" s="741" t="s">
        <v>596</v>
      </c>
      <c r="E17" s="741" t="s">
        <v>597</v>
      </c>
      <c r="F17" s="742">
        <f>'数据-取费表'!B33</f>
        <v>0.03</v>
      </c>
      <c r="G17" s="1324"/>
      <c r="H17" s="738" t="s">
        <v>1588</v>
      </c>
      <c r="I17" s="719" t="s">
        <v>591</v>
      </c>
      <c r="J17" s="743">
        <f ca="1">INDIRECT("'数据-取费表'!ad"&amp;$G$1)</f>
        <v>0</v>
      </c>
      <c r="K17" s="22"/>
      <c r="L17" s="736"/>
      <c r="M17" s="737"/>
      <c r="N17" s="1674"/>
      <c r="O17" s="1674"/>
      <c r="P17" s="1674"/>
      <c r="Q17" s="1674"/>
      <c r="R17" s="1674"/>
      <c r="S17" s="1674"/>
      <c r="T17" s="1674"/>
      <c r="U17" s="1674"/>
      <c r="V17" s="1674"/>
      <c r="W17" s="1674"/>
      <c r="X17" s="1674"/>
      <c r="Y17" s="1674"/>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5" customFormat="1" ht="18" customHeight="1">
      <c r="A19" s="738" t="s">
        <v>1380</v>
      </c>
      <c r="B19" s="719" t="s">
        <v>601</v>
      </c>
      <c r="C19" s="49">
        <f ca="1">ROUND(F19*(INDIRECT("'数据-取费表'!k"&amp;$G$1)+INDIRECT("'数据-取费表'!S"&amp;$G$1))/10000,0)</f>
        <v>0</v>
      </c>
      <c r="D19" s="719" t="s">
        <v>602</v>
      </c>
      <c r="E19" s="719" t="s">
        <v>603</v>
      </c>
      <c r="F19" s="52">
        <f>'数据-取费表'!B35</f>
        <v>200</v>
      </c>
      <c r="G19" s="1324"/>
      <c r="H19" s="738" t="s">
        <v>1587</v>
      </c>
      <c r="I19" s="719" t="s">
        <v>604</v>
      </c>
      <c r="J19" s="2554">
        <f ca="1">ROUND(IF(AND(项目基本情况!B11="自然人",项目基本情况!B10="北京市"),J8*M19/(1+'数据-取费表'!C42),J20+J21+J22),0)</f>
        <v>0</v>
      </c>
      <c r="K19" s="906" t="s">
        <v>605</v>
      </c>
      <c r="L19" s="907" t="s">
        <v>606</v>
      </c>
      <c r="M19" s="2553" t="str">
        <f>IF(项目基本情况!B11="企业","——",IF('数据-取费表'!B10="住宅",IF(M8*M9*M10/12/(1+'数据-取费表'!F30)&gt;100000,4%,2.5%),IF(M8*M9*M10/12/(1+'数据-取费表'!F30)&gt;100000,12%,7%)))</f>
        <v>——</v>
      </c>
      <c r="N19" s="1674"/>
      <c r="O19" s="1674"/>
      <c r="P19" s="1674"/>
      <c r="Q19" s="1674"/>
      <c r="R19" s="1674"/>
      <c r="S19" s="1674"/>
      <c r="T19" s="1674"/>
      <c r="U19" s="1674"/>
      <c r="V19" s="1674"/>
      <c r="W19" s="1674"/>
      <c r="X19" s="1674"/>
      <c r="Y19" s="1674"/>
    </row>
    <row r="20" spans="1:25" s="1675" customFormat="1" ht="18" customHeight="1">
      <c r="A20" s="738" t="s">
        <v>1381</v>
      </c>
      <c r="B20" s="719" t="s">
        <v>607</v>
      </c>
      <c r="C20" s="49">
        <f ca="1">ROUND(C16*F20,0)</f>
        <v>0</v>
      </c>
      <c r="D20" s="719" t="s">
        <v>596</v>
      </c>
      <c r="E20" s="719" t="s">
        <v>597</v>
      </c>
      <c r="F20" s="744">
        <f>'数据-取费表'!B36</f>
        <v>0.02</v>
      </c>
      <c r="G20" s="1324"/>
      <c r="H20" s="738" t="s">
        <v>1360</v>
      </c>
      <c r="I20" s="719" t="s">
        <v>608</v>
      </c>
      <c r="J20" s="49">
        <f ca="1">ROUND(J8*M20/(1+'数据-取费表'!C42),1)</f>
        <v>0</v>
      </c>
      <c r="K20" s="907" t="s">
        <v>609</v>
      </c>
      <c r="L20" s="719" t="s">
        <v>597</v>
      </c>
      <c r="M20" s="744">
        <f>'数据-取费表'!B41</f>
        <v>5.5000000000000007E-2</v>
      </c>
      <c r="N20" s="1674"/>
      <c r="O20" s="1674"/>
      <c r="P20" s="1674"/>
      <c r="Q20" s="1674"/>
      <c r="R20" s="1674"/>
      <c r="S20" s="1674"/>
      <c r="T20" s="1674"/>
      <c r="U20" s="1674"/>
      <c r="V20" s="1674"/>
      <c r="W20" s="1674"/>
      <c r="X20" s="1674"/>
      <c r="Y20" s="1674"/>
    </row>
    <row r="21" spans="1:25" ht="18" customHeight="1">
      <c r="A21" s="738" t="s">
        <v>1401</v>
      </c>
      <c r="B21" s="719" t="s">
        <v>610</v>
      </c>
      <c r="C21" s="49">
        <f ca="1">SUM(C16:C20)</f>
        <v>0</v>
      </c>
      <c r="D21" s="241" t="s">
        <v>611</v>
      </c>
      <c r="E21" s="915"/>
      <c r="F21" s="52"/>
      <c r="G21" s="1145"/>
      <c r="H21" s="1520" t="s">
        <v>1378</v>
      </c>
      <c r="I21" s="719" t="s">
        <v>612</v>
      </c>
      <c r="J21" s="49">
        <f ca="1">IF(K21="按租金收入计税",ROUND(J8*M21/(1+'数据-取费表'!C42),1),ROUND(C31*F35*0.7,1))</f>
        <v>0</v>
      </c>
      <c r="K21" s="745" t="s">
        <v>3243</v>
      </c>
      <c r="L21" s="719" t="s">
        <v>597</v>
      </c>
      <c r="M21" s="744">
        <f>IF(K21="按租金收入计税",'数据-取费表'!B51,'数据-取费表'!B50)</f>
        <v>0.12</v>
      </c>
    </row>
    <row r="22" spans="1:25" s="1675" customFormat="1" ht="18" customHeight="1">
      <c r="A22" s="738" t="s">
        <v>1402</v>
      </c>
      <c r="B22" s="719" t="s">
        <v>613</v>
      </c>
      <c r="C22" s="49">
        <f ca="1">ROUND(C21*F22,0)</f>
        <v>0</v>
      </c>
      <c r="D22" s="746" t="s">
        <v>614</v>
      </c>
      <c r="E22" s="719" t="s">
        <v>597</v>
      </c>
      <c r="F22" s="744">
        <f>'数据-取费表'!B37</f>
        <v>1.4999999999999999E-2</v>
      </c>
      <c r="G22" s="1324"/>
      <c r="H22" s="1522" t="s">
        <v>1379</v>
      </c>
      <c r="I22" s="317" t="s">
        <v>615</v>
      </c>
      <c r="J22" s="50">
        <f ca="1">ROUND(M22*M23/10000,0)</f>
        <v>0</v>
      </c>
      <c r="K22" s="748" t="s">
        <v>616</v>
      </c>
      <c r="L22" s="719" t="s">
        <v>617</v>
      </c>
      <c r="M22" s="587">
        <f>'数据-取费表'!B52</f>
        <v>1.5</v>
      </c>
      <c r="N22" s="1674"/>
      <c r="O22" s="1674"/>
      <c r="P22" s="1674"/>
      <c r="Q22" s="1674"/>
      <c r="R22" s="1674"/>
      <c r="S22" s="1674"/>
      <c r="T22" s="1674"/>
      <c r="U22" s="1674"/>
      <c r="V22" s="1674"/>
      <c r="W22" s="1674"/>
      <c r="X22" s="1674"/>
      <c r="Y22" s="1674"/>
    </row>
    <row r="23" spans="1:25" s="1675" customFormat="1" ht="18" customHeight="1">
      <c r="A23" s="738" t="s">
        <v>1403</v>
      </c>
      <c r="B23" s="719" t="s">
        <v>618</v>
      </c>
      <c r="C23" s="49" t="s">
        <v>0</v>
      </c>
      <c r="D23" s="746" t="s">
        <v>619</v>
      </c>
      <c r="E23" s="719" t="s">
        <v>620</v>
      </c>
      <c r="F23" s="744">
        <f>'数据-取费表'!B38</f>
        <v>0.02</v>
      </c>
      <c r="G23" s="1324"/>
      <c r="H23" s="1523"/>
      <c r="I23" s="1514"/>
      <c r="J23" s="65"/>
      <c r="K23" s="750"/>
      <c r="L23" s="719" t="s">
        <v>621</v>
      </c>
      <c r="M23" s="720">
        <f ca="1">INDIRECT("'数据-取费表'!r"&amp;$G$1)</f>
        <v>0</v>
      </c>
      <c r="N23" s="1674"/>
      <c r="O23" s="1674"/>
      <c r="P23" s="1674"/>
      <c r="Q23" s="1674"/>
      <c r="R23" s="1674"/>
      <c r="S23" s="1674"/>
      <c r="T23" s="1674"/>
      <c r="U23" s="1674"/>
      <c r="V23" s="1674"/>
      <c r="W23" s="1674"/>
      <c r="X23" s="1674"/>
      <c r="Y23" s="1674"/>
    </row>
    <row r="24" spans="1:25" ht="18" customHeight="1">
      <c r="A24" s="738" t="s">
        <v>1404</v>
      </c>
      <c r="B24" s="719" t="s">
        <v>622</v>
      </c>
      <c r="C24" s="49"/>
      <c r="D24" s="2044" t="str">
        <f>IF(F25&lt;=1,"单利计息。","复利计息。")&amp;"建造成本、管理费用、销售费用产生的利息。"</f>
        <v>复利计息。建造成本、管理费用、销售费用产生的利息。</v>
      </c>
      <c r="E24" s="915"/>
      <c r="F24" s="52"/>
      <c r="G24" s="1145"/>
      <c r="H24" s="1521" t="s">
        <v>1588</v>
      </c>
      <c r="I24" s="719" t="s">
        <v>623</v>
      </c>
      <c r="J24" s="49">
        <f ca="1">ROUND(J16*M24,0)</f>
        <v>0</v>
      </c>
      <c r="K24" s="907" t="s">
        <v>624</v>
      </c>
      <c r="L24" s="719" t="s">
        <v>597</v>
      </c>
      <c r="M24" s="751">
        <f ca="1">INDIRECT("'数据-取费表'!Ak"&amp;$G$1)</f>
        <v>0</v>
      </c>
    </row>
    <row r="25" spans="1:25" s="1675" customFormat="1" ht="18" customHeight="1">
      <c r="A25" s="738" t="s">
        <v>1400</v>
      </c>
      <c r="B25" s="719" t="s">
        <v>1784</v>
      </c>
      <c r="C25" s="49">
        <f ca="1">ROUND(IF('数据-取费表'!B22&lt;=1,(C21+C22)*F26*F25/2,(C21+C22)*(POWER((1+F26),F25/2)-1)),0)</f>
        <v>0</v>
      </c>
      <c r="D25" s="2043" t="str">
        <f>IF(F25&lt;=1,"(建造成本+管理费用)×利率×(建设周期÷2)","(建造成本+管理费用)×((1+利率)^(建设周期÷2)-1)")</f>
        <v>(建造成本+管理费用)×((1+利率)^(建设周期÷2)-1)</v>
      </c>
      <c r="E25" s="719" t="s">
        <v>625</v>
      </c>
      <c r="F25" s="587">
        <f>'数据-取费表'!B20</f>
        <v>2</v>
      </c>
      <c r="G25" s="1324"/>
      <c r="H25" s="738" t="s">
        <v>1403</v>
      </c>
      <c r="I25" s="719" t="s">
        <v>626</v>
      </c>
      <c r="J25" s="49">
        <f ca="1">ROUND(J15*M25,0)</f>
        <v>0</v>
      </c>
      <c r="K25" s="907" t="s">
        <v>627</v>
      </c>
      <c r="L25" s="719" t="s">
        <v>597</v>
      </c>
      <c r="M25" s="752">
        <f ca="1">INDIRECT("'数据-取费表'!Al"&amp;$G$1)</f>
        <v>0</v>
      </c>
      <c r="N25" s="1674"/>
      <c r="O25" s="1674"/>
      <c r="P25" s="1674"/>
      <c r="Q25" s="1674"/>
      <c r="R25" s="1674"/>
      <c r="S25" s="1674"/>
      <c r="T25" s="1674"/>
      <c r="U25" s="1674"/>
      <c r="V25" s="1674"/>
      <c r="W25" s="1674"/>
      <c r="X25" s="1674"/>
      <c r="Y25" s="1674"/>
    </row>
    <row r="26" spans="1:25" s="1675" customFormat="1" ht="18" customHeight="1">
      <c r="A26" s="738" t="s">
        <v>1378</v>
      </c>
      <c r="B26" s="719" t="s">
        <v>628</v>
      </c>
      <c r="C26" s="49">
        <f ca="1">ROUND(IF('数据-取费表'!B22&lt;=1,F23*F26*F25/2,F23*(POWER((1+F26),F25/2)-1)),4)</f>
        <v>5.9999999999999995E-4</v>
      </c>
      <c r="D26" s="2043" t="str">
        <f>IF(F25&lt;=1,"销售费用×利率×(建设周期÷2)","销售费用×((1+利率)^(建设周期÷2)-1)")</f>
        <v>销售费用×((1+利率)^(建设周期÷2)-1)</v>
      </c>
      <c r="E26" s="719" t="s">
        <v>629</v>
      </c>
      <c r="F26" s="753">
        <f ca="1">'数据-取费表'!B40</f>
        <v>0.03</v>
      </c>
      <c r="G26" s="1324"/>
      <c r="H26" s="738" t="s">
        <v>1404</v>
      </c>
      <c r="I26" s="719" t="s">
        <v>613</v>
      </c>
      <c r="J26" s="49">
        <f ca="1">ROUND(J7*M26,0)</f>
        <v>0</v>
      </c>
      <c r="K26" s="907" t="s">
        <v>630</v>
      </c>
      <c r="L26" s="719" t="s">
        <v>597</v>
      </c>
      <c r="M26" s="729">
        <f ca="1">INDIRECT("'数据-取费表'!Am"&amp;$G$1)</f>
        <v>0</v>
      </c>
      <c r="N26" s="1674"/>
      <c r="O26" s="1674"/>
      <c r="P26" s="1674"/>
      <c r="Q26" s="1674"/>
      <c r="R26" s="1674"/>
      <c r="S26" s="1674"/>
      <c r="T26" s="1674"/>
      <c r="U26" s="1674"/>
      <c r="V26" s="1674"/>
      <c r="W26" s="1674"/>
      <c r="X26" s="1674"/>
      <c r="Y26" s="1674"/>
    </row>
    <row r="27" spans="1:25" ht="18" customHeight="1">
      <c r="A27" s="738" t="s">
        <v>1406</v>
      </c>
      <c r="B27" s="719" t="s">
        <v>631</v>
      </c>
      <c r="C27" s="49"/>
      <c r="D27" s="241" t="s">
        <v>632</v>
      </c>
      <c r="E27" s="915"/>
      <c r="F27" s="52"/>
      <c r="G27" s="1145"/>
      <c r="H27" s="732" t="s">
        <v>1357</v>
      </c>
      <c r="I27" s="2297"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5" customFormat="1" ht="18" customHeight="1">
      <c r="A30" s="738" t="s">
        <v>1407</v>
      </c>
      <c r="B30" s="719" t="s">
        <v>634</v>
      </c>
      <c r="C30" s="49">
        <f>ROUND(F30/(1+'数据-取费表'!C42),4)</f>
        <v>5.2400000000000002E-2</v>
      </c>
      <c r="D30" s="746" t="s">
        <v>656</v>
      </c>
      <c r="E30" s="719" t="s">
        <v>597</v>
      </c>
      <c r="F30" s="744">
        <f>'数据-取费表'!B41</f>
        <v>5.5000000000000007E-2</v>
      </c>
      <c r="G30" s="1324"/>
      <c r="H30" s="725"/>
      <c r="I30" s="726"/>
      <c r="J30" s="727"/>
      <c r="K30" s="750"/>
      <c r="L30" s="719" t="s">
        <v>657</v>
      </c>
      <c r="M30" s="729">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5" t="s">
        <v>1408</v>
      </c>
      <c r="B31" s="2016" t="s">
        <v>2100</v>
      </c>
      <c r="C31" s="2019">
        <f ca="1">ROUND((C21+C22+C25+C28)/(1-F23-C26-C29-C30),0)</f>
        <v>0</v>
      </c>
      <c r="D31" s="2020"/>
      <c r="E31" s="2021"/>
      <c r="F31" s="2022"/>
      <c r="G31" s="1324"/>
      <c r="H31" s="757" t="s">
        <v>1397</v>
      </c>
      <c r="I31" s="2298" t="s">
        <v>2101</v>
      </c>
      <c r="J31" s="759">
        <f ca="1">ROUND(J28/(1+F45)^F46,0)</f>
        <v>0</v>
      </c>
      <c r="K31" s="760" t="s">
        <v>635</v>
      </c>
      <c r="L31" s="761"/>
      <c r="M31" s="762">
        <f ca="1">INDIRECT("'数据-取费表'!k"&amp;$G$1)</f>
        <v>0</v>
      </c>
      <c r="N31" s="1674"/>
      <c r="O31" s="1674"/>
      <c r="P31" s="1674"/>
      <c r="Q31" s="1674"/>
      <c r="R31" s="1674"/>
      <c r="S31" s="1674"/>
      <c r="T31" s="1674"/>
      <c r="U31" s="1674"/>
      <c r="V31" s="1674"/>
      <c r="W31" s="1674"/>
      <c r="X31" s="1674"/>
      <c r="Y31" s="1674"/>
    </row>
    <row r="32" spans="1:25" ht="18" customHeight="1" thickTop="1">
      <c r="A32" s="1519" t="s">
        <v>4</v>
      </c>
      <c r="B32" s="1517" t="s">
        <v>636</v>
      </c>
      <c r="C32" s="727">
        <f ca="1">ROUND(C33+C38+C39+C40,0)</f>
        <v>0</v>
      </c>
      <c r="D32" s="1513" t="s">
        <v>600</v>
      </c>
      <c r="E32" s="909"/>
      <c r="F32" s="1995"/>
      <c r="G32" s="1667"/>
      <c r="H32" s="1676"/>
      <c r="I32" s="1677"/>
      <c r="J32" s="1678"/>
      <c r="K32" s="1635"/>
      <c r="L32" s="1679"/>
      <c r="M32" s="1680"/>
    </row>
    <row r="33" spans="1:18" ht="18" customHeight="1">
      <c r="A33" s="738" t="s">
        <v>1401</v>
      </c>
      <c r="B33" s="719" t="s">
        <v>604</v>
      </c>
      <c r="C33" s="2554">
        <f ca="1">ROUND(IF(AND(项目基本情况!B11="自然人",项目基本情况!B10="北京市"),C8*F33/(1+'数据-取费表'!C42),C34+C35+C36),2)</f>
        <v>0</v>
      </c>
      <c r="D33" s="906" t="s">
        <v>605</v>
      </c>
      <c r="E33" s="907" t="s">
        <v>637</v>
      </c>
      <c r="F33" s="2553" t="str">
        <f>IF(项目基本情况!B11="企业","——",IF(M48="住宅",IF(F8*F9*F10/12/(1+'数据-取费表'!F30)&gt;100000,4%,2.5%),IF(F8*F9*F10/12/(1+'数据-取费表'!F30)&gt;100000,12%,7%)))</f>
        <v>——</v>
      </c>
      <c r="G33" s="1667"/>
      <c r="H33" s="2758" t="s">
        <v>2279</v>
      </c>
      <c r="I33" s="1677"/>
      <c r="J33" s="1678"/>
      <c r="K33" s="1635"/>
      <c r="L33" s="1679"/>
      <c r="M33" s="1680"/>
    </row>
    <row r="34" spans="1:18" ht="18" customHeight="1">
      <c r="A34" s="738" t="s">
        <v>1400</v>
      </c>
      <c r="B34" s="719" t="s">
        <v>608</v>
      </c>
      <c r="C34" s="49">
        <f ca="1">ROUND(C8*F34/(1+'数据-取费表'!C42),2)</f>
        <v>0</v>
      </c>
      <c r="D34" s="907" t="s">
        <v>609</v>
      </c>
      <c r="E34" s="719" t="s">
        <v>597</v>
      </c>
      <c r="F34" s="744">
        <f>'数据-取费表'!B41</f>
        <v>5.5000000000000007E-2</v>
      </c>
      <c r="G34" s="1667"/>
      <c r="H34" s="1681"/>
      <c r="I34" s="1682"/>
      <c r="J34" s="1683"/>
      <c r="K34" s="1684"/>
      <c r="L34" s="1685"/>
      <c r="M34" s="1686"/>
    </row>
    <row r="35" spans="1:18" ht="18" customHeight="1">
      <c r="A35" s="738" t="s">
        <v>1378</v>
      </c>
      <c r="B35" s="719" t="s">
        <v>612</v>
      </c>
      <c r="C35" s="49">
        <f ca="1">IF(D35="按租金收入计税",ROUND(C8*F35/(1+'数据-取费表'!C42),2),IF(D35="按房产原值计税",ROUND(C31*F35*0.7,2),INDIRECT("'数据-取费表'!Aj"&amp;$G$1)))</f>
        <v>0</v>
      </c>
      <c r="D35" s="745" t="s">
        <v>3243</v>
      </c>
      <c r="E35" s="719" t="s">
        <v>597</v>
      </c>
      <c r="F35" s="744">
        <f>IF(D35="按租金收入计税",'数据-取费表'!B51,'数据-取费表'!B50)</f>
        <v>0.12</v>
      </c>
      <c r="G35" s="1667"/>
      <c r="H35" s="1687"/>
      <c r="I35" s="1687"/>
      <c r="J35" s="1687"/>
      <c r="K35" s="1688"/>
      <c r="L35" s="1687"/>
      <c r="M35" s="1687"/>
    </row>
    <row r="36" spans="1:18" ht="18" customHeight="1">
      <c r="A36" s="747" t="s">
        <v>1405</v>
      </c>
      <c r="B36" s="315" t="s">
        <v>615</v>
      </c>
      <c r="C36" s="50">
        <f ca="1">ROUND(F36*F37/10000,2)</f>
        <v>0</v>
      </c>
      <c r="D36" s="748" t="s">
        <v>616</v>
      </c>
      <c r="E36" s="719" t="s">
        <v>617</v>
      </c>
      <c r="F36" s="587">
        <f>'数据-取费表'!B52</f>
        <v>1.5</v>
      </c>
      <c r="G36" s="1667"/>
      <c r="H36" s="1676"/>
      <c r="I36" s="3712"/>
      <c r="J36" s="1689"/>
      <c r="K36" s="1690"/>
      <c r="L36" s="1689"/>
      <c r="M36" s="1689"/>
    </row>
    <row r="37" spans="1:18" ht="18" customHeight="1">
      <c r="A37" s="749"/>
      <c r="B37" s="728"/>
      <c r="C37" s="65"/>
      <c r="D37" s="750"/>
      <c r="E37" s="719" t="s">
        <v>621</v>
      </c>
      <c r="F37" s="720">
        <f ca="1">INDIRECT("'数据-取费表'!r"&amp;$G$1)</f>
        <v>0</v>
      </c>
      <c r="G37" s="1667"/>
      <c r="H37" s="1676"/>
      <c r="I37" s="3712"/>
      <c r="J37" s="1687"/>
      <c r="K37" s="1688"/>
      <c r="L37" s="1687"/>
      <c r="M37" s="1687"/>
    </row>
    <row r="38" spans="1:18" ht="18" customHeight="1">
      <c r="A38" s="738" t="s">
        <v>1402</v>
      </c>
      <c r="B38" s="719" t="s">
        <v>623</v>
      </c>
      <c r="C38" s="49">
        <f ca="1">ROUND(C31*F38,2)</f>
        <v>0</v>
      </c>
      <c r="D38" s="907" t="s">
        <v>638</v>
      </c>
      <c r="E38" s="719" t="s">
        <v>597</v>
      </c>
      <c r="F38" s="751">
        <f ca="1">INDIRECT("'数据-取费表'!Ak"&amp;$G$1)</f>
        <v>0</v>
      </c>
      <c r="G38" s="1667"/>
      <c r="H38" s="1687"/>
      <c r="I38" s="2556"/>
      <c r="J38" s="1635"/>
      <c r="K38" s="1691"/>
      <c r="L38" s="1687"/>
      <c r="M38" s="1687"/>
    </row>
    <row r="39" spans="1:18" ht="18" customHeight="1">
      <c r="A39" s="738" t="s">
        <v>1403</v>
      </c>
      <c r="B39" s="719" t="s">
        <v>626</v>
      </c>
      <c r="C39" s="49">
        <f ca="1">ROUND(C15*F39,2)</f>
        <v>0</v>
      </c>
      <c r="D39" s="907" t="s">
        <v>627</v>
      </c>
      <c r="E39" s="719" t="s">
        <v>597</v>
      </c>
      <c r="F39" s="752">
        <f ca="1">INDIRECT("'数据-取费表'!Al"&amp;$G$1)</f>
        <v>0</v>
      </c>
      <c r="G39" s="1667"/>
      <c r="H39" s="1687"/>
      <c r="I39" s="2556"/>
      <c r="J39" s="1635"/>
      <c r="K39" s="1691"/>
      <c r="L39" s="1687"/>
      <c r="M39" s="1687"/>
    </row>
    <row r="40" spans="1:18" ht="18" customHeight="1" thickBot="1">
      <c r="A40" s="2035" t="s">
        <v>1404</v>
      </c>
      <c r="B40" s="2021" t="s">
        <v>613</v>
      </c>
      <c r="C40" s="2019">
        <f ca="1">ROUND(C7*F40,2)</f>
        <v>0</v>
      </c>
      <c r="D40" s="2020" t="s">
        <v>630</v>
      </c>
      <c r="E40" s="2021" t="s">
        <v>597</v>
      </c>
      <c r="F40" s="2017">
        <f ca="1">INDIRECT("'数据-取费表'!Am"&amp;$G$1)</f>
        <v>0</v>
      </c>
      <c r="G40" s="1667"/>
      <c r="H40" s="1687"/>
      <c r="I40" s="2556"/>
      <c r="J40" s="1635"/>
      <c r="K40" s="1692"/>
      <c r="L40" s="1687"/>
      <c r="M40" s="1687"/>
    </row>
    <row r="41" spans="1:18" ht="18" customHeight="1" thickTop="1">
      <c r="A41" s="1519">
        <v>4</v>
      </c>
      <c r="B41" s="1517" t="s">
        <v>639</v>
      </c>
      <c r="C41" s="1147"/>
      <c r="D41" s="1148"/>
      <c r="E41" s="1148"/>
      <c r="F41" s="1149"/>
      <c r="G41" s="1667"/>
      <c r="H41" s="1667"/>
      <c r="I41" s="1667"/>
      <c r="J41" s="1667"/>
      <c r="K41" s="1692"/>
      <c r="L41" s="1667"/>
      <c r="M41" s="1667"/>
    </row>
    <row r="42" spans="1:18" ht="18" customHeight="1">
      <c r="A42" s="738" t="s">
        <v>1401</v>
      </c>
      <c r="B42" s="769" t="s">
        <v>640</v>
      </c>
      <c r="C42" s="763">
        <f ca="1">C7-C32</f>
        <v>0</v>
      </c>
      <c r="D42" s="906" t="s">
        <v>641</v>
      </c>
      <c r="E42" s="904"/>
      <c r="F42" s="754"/>
      <c r="G42" s="1667"/>
      <c r="H42" s="1667"/>
      <c r="I42" s="1667"/>
      <c r="J42" s="1667"/>
      <c r="K42" s="1692"/>
      <c r="L42" s="1667"/>
      <c r="M42" s="1667"/>
    </row>
    <row r="43" spans="1:18" ht="18" customHeight="1">
      <c r="A43" s="738" t="s">
        <v>1402</v>
      </c>
      <c r="B43" s="769" t="s">
        <v>658</v>
      </c>
      <c r="C43" s="770">
        <f ca="1">ROUND(C15*F43,0)</f>
        <v>0</v>
      </c>
      <c r="D43" s="1150" t="s">
        <v>659</v>
      </c>
      <c r="E43" s="2359" t="s">
        <v>2222</v>
      </c>
      <c r="F43" s="2360">
        <f ca="1">INDIRECT("'数据-取费表'!j"&amp;$G$1)</f>
        <v>0</v>
      </c>
      <c r="G43" s="1667"/>
      <c r="H43" s="1667"/>
      <c r="I43" s="1667"/>
      <c r="J43" s="1667"/>
      <c r="K43" s="1692"/>
      <c r="L43" s="1667"/>
      <c r="M43" s="1667"/>
    </row>
    <row r="44" spans="1:18" ht="18" customHeight="1">
      <c r="A44" s="738" t="s">
        <v>1403</v>
      </c>
      <c r="B44" s="769" t="s">
        <v>660</v>
      </c>
      <c r="C44" s="1151">
        <f ca="1">C42-C43</f>
        <v>0</v>
      </c>
      <c r="D44" s="432" t="s">
        <v>661</v>
      </c>
      <c r="E44" s="433"/>
      <c r="F44" s="434"/>
      <c r="G44" s="1667"/>
      <c r="H44" s="1667"/>
      <c r="I44" s="1667"/>
      <c r="J44" s="1667"/>
      <c r="K44" s="1692"/>
      <c r="L44" s="1667"/>
      <c r="M44" s="1667"/>
    </row>
    <row r="45" spans="1:18" ht="18" customHeight="1">
      <c r="A45" s="738" t="s">
        <v>1404</v>
      </c>
      <c r="B45" s="1150" t="s">
        <v>662</v>
      </c>
      <c r="C45" s="718">
        <f ca="1">ROUND(-PV(F45,F46,C44,0),0)</f>
        <v>0</v>
      </c>
      <c r="D45" s="1152" t="s">
        <v>663</v>
      </c>
      <c r="E45" s="741" t="s">
        <v>664</v>
      </c>
      <c r="F45" s="764">
        <f ca="1">INDIRECT("'数据-取费表'!h"&amp;$G$1)</f>
        <v>0</v>
      </c>
      <c r="G45" s="1667"/>
      <c r="H45" s="1667"/>
      <c r="I45" s="1667"/>
      <c r="J45" s="1667"/>
      <c r="K45" s="1692"/>
      <c r="L45" s="1667"/>
      <c r="M45" s="1667"/>
    </row>
    <row r="46" spans="1:18" ht="18" customHeight="1" thickBot="1">
      <c r="A46" s="765"/>
      <c r="B46" s="1153"/>
      <c r="C46" s="1154"/>
      <c r="D46" s="1155"/>
      <c r="E46" s="2361" t="s">
        <v>2225</v>
      </c>
      <c r="F46" s="762">
        <f ca="1">IF(INDIRECT("'数据-取费表'!af"&amp;$G$1)=0,INDIRECT("'数据-取费表'!ae"&amp;$G$1),INDIRECT("'数据-取费表'!af"&amp;$G$1))</f>
        <v>0</v>
      </c>
      <c r="G46" s="1667"/>
      <c r="H46" s="1667"/>
      <c r="I46" s="1667"/>
      <c r="J46" s="1667"/>
      <c r="K46" s="1692"/>
      <c r="L46" s="1667"/>
      <c r="M46" s="1667"/>
    </row>
    <row r="47" spans="1:18" s="1671" customFormat="1" ht="18" customHeight="1" thickBot="1">
      <c r="A47" s="1693"/>
      <c r="D47" s="1694"/>
      <c r="E47" s="1694"/>
      <c r="F47" s="1694"/>
      <c r="I47" s="1938" t="s">
        <v>1697</v>
      </c>
      <c r="J47" s="1939"/>
      <c r="K47" s="1940"/>
      <c r="L47" s="2374" t="e">
        <f ca="1">IF(M48="住宅",0,IF(L49&gt;J52,L61,J61))</f>
        <v>#DIV/0!</v>
      </c>
      <c r="O47" s="1952" t="s">
        <v>1764</v>
      </c>
      <c r="P47" s="1145"/>
      <c r="Q47" s="1329"/>
      <c r="R47" s="1145"/>
    </row>
    <row r="48" spans="1:18" s="1671" customFormat="1" ht="18" customHeight="1" thickBot="1">
      <c r="A48" s="1693"/>
      <c r="C48" s="1696"/>
      <c r="D48" s="1694"/>
      <c r="E48" s="1694"/>
      <c r="F48" s="1697"/>
      <c r="G48" s="1698"/>
      <c r="I48" s="2366" t="s">
        <v>1698</v>
      </c>
      <c r="J48" s="1941"/>
      <c r="K48" s="2371" t="s">
        <v>1703</v>
      </c>
      <c r="L48" s="2375">
        <f ca="1">INDIRECT("'数据-取费表'!d"&amp;$G$1)</f>
        <v>0</v>
      </c>
      <c r="M48" s="2358" t="str">
        <f>IF(ISNUMBER(FIND("住宅",C1)),"住宅","非住宅")</f>
        <v>非住宅</v>
      </c>
      <c r="O48" s="1953" t="s">
        <v>1729</v>
      </c>
      <c r="P48" s="1954" t="s">
        <v>1730</v>
      </c>
      <c r="Q48" s="1955" t="s">
        <v>1731</v>
      </c>
      <c r="R48" s="1954" t="s">
        <v>1732</v>
      </c>
    </row>
    <row r="49" spans="1:18" s="1671" customFormat="1" ht="18" customHeight="1" thickBot="1">
      <c r="A49" s="1693"/>
      <c r="D49" s="1699"/>
      <c r="E49" s="1700"/>
      <c r="F49" s="1697"/>
      <c r="G49" s="1698"/>
      <c r="H49" s="1701"/>
      <c r="I49" s="2363" t="s">
        <v>1699</v>
      </c>
      <c r="J49" s="1942"/>
      <c r="K49" s="2372" t="s">
        <v>1705</v>
      </c>
      <c r="L49" s="1566">
        <f ca="1">INDIRECT("'数据-取费表'!f"&amp;$G$1)</f>
        <v>0</v>
      </c>
      <c r="O49" s="1956" t="s">
        <v>1733</v>
      </c>
      <c r="P49" s="1957" t="s">
        <v>1759</v>
      </c>
      <c r="Q49" s="1958">
        <f ca="1">C41+J31</f>
        <v>0</v>
      </c>
      <c r="R49" s="1957" t="s">
        <v>1734</v>
      </c>
    </row>
    <row r="50" spans="1:18" s="1671" customFormat="1" ht="18" customHeight="1" thickBot="1">
      <c r="A50" s="1693"/>
      <c r="D50" s="1702"/>
      <c r="E50" s="1702"/>
      <c r="F50" s="1694"/>
      <c r="H50" s="1701"/>
      <c r="I50" s="2363" t="s">
        <v>1700</v>
      </c>
      <c r="J50" s="1943"/>
      <c r="K50" s="2373" t="s">
        <v>1706</v>
      </c>
      <c r="L50" s="1565"/>
      <c r="O50" s="1956" t="s">
        <v>1735</v>
      </c>
      <c r="P50" s="1957" t="s">
        <v>1760</v>
      </c>
      <c r="Q50" s="1958" t="e">
        <f ca="1">J61</f>
        <v>#DIV/0!</v>
      </c>
      <c r="R50" s="1957" t="s">
        <v>1736</v>
      </c>
    </row>
    <row r="51" spans="1:18" s="1671" customFormat="1" ht="18" customHeight="1" thickBot="1">
      <c r="A51" s="1703"/>
      <c r="D51" s="1702"/>
      <c r="E51" s="1702"/>
      <c r="F51" s="1694"/>
      <c r="H51" s="1701"/>
      <c r="I51" s="2363" t="s">
        <v>1701</v>
      </c>
      <c r="J51" s="2370">
        <f>SUMPRODUCT((I64:I66=J48)*(J63:L63=J49)*(J64:L66))</f>
        <v>0</v>
      </c>
      <c r="K51" s="2373" t="s">
        <v>1707</v>
      </c>
      <c r="L51" s="1565"/>
      <c r="O51" s="1959" t="s">
        <v>1737</v>
      </c>
      <c r="P51" s="1957" t="s">
        <v>1761</v>
      </c>
      <c r="Q51" s="1958">
        <f ca="1">C31</f>
        <v>0</v>
      </c>
      <c r="R51" s="1957" t="s">
        <v>1734</v>
      </c>
    </row>
    <row r="52" spans="1:18" s="1671" customFormat="1" ht="18" customHeight="1" thickBot="1">
      <c r="A52" s="1703"/>
      <c r="F52" s="1694"/>
      <c r="I52" s="2367" t="s">
        <v>1702</v>
      </c>
      <c r="J52" s="1566">
        <f>IF(J50="",J51,J50+J51-YEAR('数据-取费表'!B3))</f>
        <v>0</v>
      </c>
      <c r="K52" s="2363" t="s">
        <v>1708</v>
      </c>
      <c r="L52" s="2376">
        <f ca="1">C45</f>
        <v>0</v>
      </c>
      <c r="O52" s="1959" t="s">
        <v>1738</v>
      </c>
      <c r="P52" s="1957" t="s">
        <v>1739</v>
      </c>
      <c r="Q52" s="1960" t="e">
        <f ca="1">J59</f>
        <v>#DIV/0!</v>
      </c>
      <c r="R52" s="1961"/>
    </row>
    <row r="53" spans="1:18" s="1671" customFormat="1" ht="18" customHeight="1" thickBot="1">
      <c r="A53" s="1703"/>
      <c r="F53" s="1694"/>
      <c r="I53" s="2368" t="s">
        <v>1775</v>
      </c>
      <c r="J53" s="1944"/>
      <c r="K53" s="2368" t="s">
        <v>1774</v>
      </c>
      <c r="L53" s="1944"/>
      <c r="O53" s="1959" t="s">
        <v>1740</v>
      </c>
      <c r="P53" s="1957" t="s">
        <v>1741</v>
      </c>
      <c r="Q53" s="1960">
        <f>J53</f>
        <v>0</v>
      </c>
      <c r="R53" s="1961"/>
    </row>
    <row r="54" spans="1:18" s="1671" customFormat="1" ht="31.8" thickBot="1">
      <c r="A54" s="1703"/>
      <c r="I54" s="2369" t="s">
        <v>2236</v>
      </c>
      <c r="J54" s="2415">
        <f ca="1">IF(M48="住宅",MAX(J52,L49-'数据-取费表'!B20),MIN(J52,L49-'数据-取费表'!B20))</f>
        <v>-2</v>
      </c>
      <c r="K54" s="3717"/>
      <c r="L54" s="3718"/>
      <c r="O54" s="1959" t="s">
        <v>1742</v>
      </c>
      <c r="P54" s="1957" t="s">
        <v>1743</v>
      </c>
      <c r="Q54" s="1958">
        <f ca="1">J54</f>
        <v>-2</v>
      </c>
      <c r="R54" s="1957" t="s">
        <v>1744</v>
      </c>
    </row>
    <row r="55" spans="1:18" s="1671" customFormat="1" ht="18" customHeight="1" thickBot="1">
      <c r="A55" s="1703"/>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6" t="s">
        <v>1745</v>
      </c>
      <c r="P55" s="1957" t="s">
        <v>1762</v>
      </c>
      <c r="Q55" s="1958" t="e">
        <f ca="1">Q49+Q50</f>
        <v>#DIV/0!</v>
      </c>
      <c r="R55" s="1961" t="s">
        <v>1746</v>
      </c>
    </row>
    <row r="56" spans="1:18" s="1671" customFormat="1" ht="16.2" thickBot="1">
      <c r="A56" s="1703"/>
      <c r="B56" s="1704"/>
      <c r="C56" s="1704"/>
      <c r="I56" s="2379" t="s">
        <v>1709</v>
      </c>
      <c r="J56" s="2352" t="e">
        <f ca="1">ROUND(IF(J48="钢混",J58/J51,1-(1-2%)*(J51-J58)/J51),3)</f>
        <v>#DIV/0!</v>
      </c>
      <c r="K56" s="2380" t="s">
        <v>1710</v>
      </c>
      <c r="L56" s="1945"/>
      <c r="O56" s="1962" t="s">
        <v>1765</v>
      </c>
      <c r="P56" s="1145"/>
      <c r="Q56" s="1329"/>
      <c r="R56" s="1145"/>
    </row>
    <row r="57" spans="1:18" s="1671" customFormat="1" ht="47.4" thickBot="1">
      <c r="A57" s="1703"/>
      <c r="B57" s="1704"/>
      <c r="C57" s="1704"/>
      <c r="I57" s="2381" t="s">
        <v>1711</v>
      </c>
      <c r="J57" s="2391"/>
      <c r="K57" s="2363" t="s">
        <v>1716</v>
      </c>
      <c r="L57" s="1566">
        <f ca="1">IF(L49&lt;J52,"——",L49-J52)</f>
        <v>0</v>
      </c>
      <c r="O57" s="1953" t="s">
        <v>1729</v>
      </c>
      <c r="P57" s="1954" t="s">
        <v>1730</v>
      </c>
      <c r="Q57" s="1955" t="s">
        <v>1731</v>
      </c>
      <c r="R57" s="1954" t="s">
        <v>1732</v>
      </c>
    </row>
    <row r="58" spans="1:18" s="1671" customFormat="1" ht="31.8" thickBot="1">
      <c r="A58" s="1703"/>
      <c r="B58" s="1704"/>
      <c r="C58" s="1704"/>
      <c r="I58" s="2382" t="s">
        <v>1712</v>
      </c>
      <c r="J58" s="2383">
        <f ca="1">IF(OR(M48="住宅",J52&lt;L49,J57="是"),"——",J52-L49)</f>
        <v>0</v>
      </c>
      <c r="K58" s="2363" t="s">
        <v>1717</v>
      </c>
      <c r="L58" s="1566">
        <f ca="1">IF(L49&lt;J52,"——",IF(L56="比较法",L50,IF(L56="基准地价",L51,L52)))</f>
        <v>0</v>
      </c>
      <c r="O58" s="1956" t="s">
        <v>1733</v>
      </c>
      <c r="P58" s="1957" t="s">
        <v>1759</v>
      </c>
      <c r="Q58" s="1958">
        <f ca="1">C41+J31</f>
        <v>0</v>
      </c>
      <c r="R58" s="1957" t="s">
        <v>1734</v>
      </c>
    </row>
    <row r="59" spans="1:18" s="1671" customFormat="1" ht="31.8" thickBot="1">
      <c r="A59" s="1703"/>
      <c r="B59" s="1704"/>
      <c r="C59" s="1704"/>
      <c r="I59" s="2382" t="s">
        <v>1713</v>
      </c>
      <c r="J59" s="2353" t="e">
        <f ca="1">IF(J56&lt;0.4,0.4,J56)</f>
        <v>#DIV/0!</v>
      </c>
      <c r="K59" s="2363" t="s">
        <v>1718</v>
      </c>
      <c r="L59" s="1566">
        <f ca="1">IF(ISERROR(POWER(1+L53,L48-L49)*(POWER(1+L53,L49)-1)/(POWER(1+L53,L48)-1)),0,POWER(1+L53,L48-L49)*(POWER(1+L53,L49)-1)/(POWER(1+L53,L48)-1))</f>
        <v>0</v>
      </c>
      <c r="O59" s="1956" t="s">
        <v>1735</v>
      </c>
      <c r="P59" s="1957" t="s">
        <v>1766</v>
      </c>
      <c r="Q59" s="1958" t="e">
        <f ca="1">L61</f>
        <v>#DIV/0!</v>
      </c>
      <c r="R59" s="1961" t="s">
        <v>1768</v>
      </c>
    </row>
    <row r="60" spans="1:18" s="1671" customFormat="1" ht="31.8" thickBot="1">
      <c r="A60" s="1703"/>
      <c r="B60" s="1704"/>
      <c r="C60" s="1704"/>
      <c r="I60" s="2382" t="s">
        <v>1714</v>
      </c>
      <c r="J60" s="2383" t="e">
        <f ca="1">IF(OR(M48="住宅",J52&lt;L49,J57="是"),"——",ROUND(C30*J59,0))</f>
        <v>#DIV/0!</v>
      </c>
      <c r="K60" s="2363" t="s">
        <v>1719</v>
      </c>
      <c r="L60" s="1566">
        <f ca="1">IF(ISERROR(POWER(1+L53,L48-J52)*(POWER(1+L53,J52)-1)/(POWER(1+L53,L48)-1)),0,POWER(1+L53,L48-J52)*(POWER(1+L53,J52)-1)/(POWER(1+L53,L48)-1))</f>
        <v>0</v>
      </c>
      <c r="O60" s="1959" t="s">
        <v>1737</v>
      </c>
      <c r="P60" s="1957" t="s">
        <v>1767</v>
      </c>
      <c r="Q60" s="1958">
        <f>IF(L56="比较法",L50,IF(L56="基准地价",L51,0))</f>
        <v>0</v>
      </c>
      <c r="R60" s="1957" t="s">
        <v>1734</v>
      </c>
    </row>
    <row r="61" spans="1:18" s="1671" customFormat="1" ht="16.2" thickBot="1">
      <c r="A61" s="1703"/>
      <c r="B61" s="1704"/>
      <c r="C61" s="1704"/>
      <c r="I61" s="2384" t="s">
        <v>1715</v>
      </c>
      <c r="J61" s="2385" t="e">
        <f ca="1">IF(OR(M48="住宅",J52&lt;L49,J57="是"),"0",ROUND(J60/(1+J53)^J54,0))</f>
        <v>#DIV/0!</v>
      </c>
      <c r="K61" s="2386" t="s">
        <v>1720</v>
      </c>
      <c r="L61" s="2385" t="e">
        <f ca="1">IF(OR(M48="住宅",L49&lt;J52),0,ROUND(L58*(L59/L60-1),0))</f>
        <v>#DIV/0!</v>
      </c>
      <c r="O61" s="1959" t="s">
        <v>1738</v>
      </c>
      <c r="P61" s="1957" t="s">
        <v>1747</v>
      </c>
      <c r="Q61" s="1960">
        <f>L53</f>
        <v>0</v>
      </c>
      <c r="R61" s="1961"/>
    </row>
    <row r="62" spans="1:18" s="1671" customFormat="1" ht="19.2" thickBot="1">
      <c r="A62" s="1703"/>
      <c r="B62" s="1704"/>
      <c r="C62" s="1704"/>
      <c r="K62" s="1695"/>
      <c r="O62" s="1959" t="s">
        <v>1740</v>
      </c>
      <c r="P62" s="1957" t="s">
        <v>1748</v>
      </c>
      <c r="Q62" s="1958">
        <f ca="1">L59</f>
        <v>0</v>
      </c>
      <c r="R62" s="1961" t="s">
        <v>1749</v>
      </c>
    </row>
    <row r="63" spans="1:18" s="1671" customFormat="1" ht="19.2" thickBot="1">
      <c r="A63" s="1703"/>
      <c r="B63" s="1704"/>
      <c r="C63" s="1704"/>
      <c r="I63" s="2387" t="s">
        <v>1721</v>
      </c>
      <c r="J63" s="2388" t="s">
        <v>1722</v>
      </c>
      <c r="K63" s="2388" t="s">
        <v>1723</v>
      </c>
      <c r="L63" s="2388" t="s">
        <v>1704</v>
      </c>
      <c r="M63" s="2389" t="s">
        <v>2205</v>
      </c>
      <c r="O63" s="1959" t="s">
        <v>1742</v>
      </c>
      <c r="P63" s="1957" t="s">
        <v>1750</v>
      </c>
      <c r="Q63" s="1958">
        <f ca="1">L60</f>
        <v>0</v>
      </c>
      <c r="R63" s="1961" t="s">
        <v>1751</v>
      </c>
    </row>
    <row r="64" spans="1:18" s="1671" customFormat="1" ht="16.2" thickBot="1">
      <c r="A64" s="1703"/>
      <c r="B64" s="1704"/>
      <c r="C64" s="1704"/>
      <c r="I64" s="2387" t="s">
        <v>1724</v>
      </c>
      <c r="J64" s="2388">
        <v>70</v>
      </c>
      <c r="K64" s="2388">
        <v>50</v>
      </c>
      <c r="L64" s="2388">
        <v>80</v>
      </c>
      <c r="M64" s="2390">
        <v>0.02</v>
      </c>
      <c r="O64" s="1956" t="s">
        <v>1745</v>
      </c>
      <c r="P64" s="1957" t="s">
        <v>1762</v>
      </c>
      <c r="Q64" s="1958" t="e">
        <f ca="1">Q58+Q59</f>
        <v>#DIV/0!</v>
      </c>
      <c r="R64" s="1961" t="s">
        <v>1746</v>
      </c>
    </row>
    <row r="65" spans="1:18" s="1671" customFormat="1" ht="16.2" thickBot="1">
      <c r="A65" s="1703"/>
      <c r="B65" s="1704"/>
      <c r="C65" s="1704"/>
      <c r="I65" s="2387" t="s">
        <v>1725</v>
      </c>
      <c r="J65" s="2388">
        <v>50</v>
      </c>
      <c r="K65" s="2388">
        <v>35</v>
      </c>
      <c r="L65" s="2388">
        <v>60</v>
      </c>
      <c r="M65" s="780">
        <v>0</v>
      </c>
      <c r="O65" s="1962" t="s">
        <v>1769</v>
      </c>
      <c r="P65" s="1145"/>
      <c r="Q65" s="1329"/>
      <c r="R65" s="1145"/>
    </row>
    <row r="66" spans="1:18" s="1671" customFormat="1" ht="16.2" thickBot="1">
      <c r="A66" s="1703"/>
      <c r="B66" s="1704"/>
      <c r="C66" s="1704"/>
      <c r="I66" s="2387" t="s">
        <v>1726</v>
      </c>
      <c r="J66" s="2388">
        <v>40</v>
      </c>
      <c r="K66" s="2388">
        <v>30</v>
      </c>
      <c r="L66" s="2388">
        <v>50</v>
      </c>
      <c r="M66" s="2390">
        <v>0.02</v>
      </c>
      <c r="O66" s="1953" t="s">
        <v>1729</v>
      </c>
      <c r="P66" s="1954" t="s">
        <v>1730</v>
      </c>
      <c r="Q66" s="1955" t="s">
        <v>1731</v>
      </c>
      <c r="R66" s="1954" t="s">
        <v>1732</v>
      </c>
    </row>
    <row r="67" spans="1:18" s="1671" customFormat="1" ht="16.2" thickBot="1">
      <c r="A67" s="1703"/>
      <c r="B67" s="1704"/>
      <c r="C67" s="1704"/>
      <c r="K67" s="1695"/>
      <c r="O67" s="1956" t="s">
        <v>1733</v>
      </c>
      <c r="P67" s="1957" t="s">
        <v>1759</v>
      </c>
      <c r="Q67" s="1958">
        <f ca="1">C41+J31</f>
        <v>0</v>
      </c>
      <c r="R67" s="1957" t="s">
        <v>1734</v>
      </c>
    </row>
    <row r="68" spans="1:18" s="1671" customFormat="1" ht="19.2" thickBot="1">
      <c r="A68" s="1703"/>
      <c r="B68" s="1704"/>
      <c r="C68" s="1704"/>
      <c r="K68" s="1695"/>
      <c r="O68" s="1956" t="s">
        <v>1735</v>
      </c>
      <c r="P68" s="1957" t="s">
        <v>1766</v>
      </c>
      <c r="Q68" s="1958" t="e">
        <f ca="1">L61</f>
        <v>#DIV/0!</v>
      </c>
      <c r="R68" s="1961" t="s">
        <v>1768</v>
      </c>
    </row>
    <row r="69" spans="1:18" s="1671" customFormat="1" ht="20.399999999999999" thickBot="1">
      <c r="A69" s="1703"/>
      <c r="B69" s="1704"/>
      <c r="C69" s="1704"/>
      <c r="K69" s="1695"/>
      <c r="O69" s="1959" t="s">
        <v>1737</v>
      </c>
      <c r="P69" s="1957" t="s">
        <v>1767</v>
      </c>
      <c r="Q69" s="1963">
        <f ca="1">L52</f>
        <v>0</v>
      </c>
      <c r="R69" s="1964" t="s">
        <v>1770</v>
      </c>
    </row>
    <row r="70" spans="1:18" s="1671" customFormat="1" ht="19.2" thickBot="1">
      <c r="A70" s="1703"/>
      <c r="B70" s="1704"/>
      <c r="C70" s="1704"/>
      <c r="K70" s="1695"/>
      <c r="O70" s="1959" t="s">
        <v>1738</v>
      </c>
      <c r="P70" s="1965" t="s">
        <v>1752</v>
      </c>
      <c r="Q70" s="1958">
        <f ca="1">ROUND(Q71-Q72*Q73,0)</f>
        <v>0</v>
      </c>
      <c r="R70" s="1961"/>
    </row>
    <row r="71" spans="1:18" s="1671" customFormat="1" ht="16.2" thickBot="1">
      <c r="A71" s="1703"/>
      <c r="B71" s="1704"/>
      <c r="C71" s="1704"/>
      <c r="K71" s="1695"/>
      <c r="O71" s="1959" t="s">
        <v>1753</v>
      </c>
      <c r="P71" s="1965" t="s">
        <v>1754</v>
      </c>
      <c r="Q71" s="1958">
        <f ca="1">C42</f>
        <v>0</v>
      </c>
      <c r="R71" s="1957" t="s">
        <v>1734</v>
      </c>
    </row>
    <row r="72" spans="1:18" s="1671" customFormat="1" ht="16.2" thickBot="1">
      <c r="A72" s="1703"/>
      <c r="B72" s="1704"/>
      <c r="C72" s="1704"/>
      <c r="K72" s="1695"/>
      <c r="O72" s="1959" t="s">
        <v>1755</v>
      </c>
      <c r="P72" s="1965" t="s">
        <v>1756</v>
      </c>
      <c r="Q72" s="1958">
        <f ca="1">C15</f>
        <v>0</v>
      </c>
      <c r="R72" s="1957" t="s">
        <v>1734</v>
      </c>
    </row>
    <row r="73" spans="1:18" s="1671" customFormat="1" ht="16.2" thickBot="1">
      <c r="A73" s="1703"/>
      <c r="B73" s="1704"/>
      <c r="C73" s="1704"/>
      <c r="K73" s="1695"/>
      <c r="O73" s="1959" t="s">
        <v>1757</v>
      </c>
      <c r="P73" s="1965" t="s">
        <v>1758</v>
      </c>
      <c r="Q73" s="1960">
        <f ca="1">F43</f>
        <v>0</v>
      </c>
      <c r="R73" s="1961"/>
    </row>
    <row r="74" spans="1:18" s="1671" customFormat="1" ht="16.2" thickBot="1">
      <c r="A74" s="1703"/>
      <c r="B74" s="1704"/>
      <c r="C74" s="1704"/>
      <c r="K74" s="1695"/>
      <c r="O74" s="1959" t="s">
        <v>1740</v>
      </c>
      <c r="P74" s="1957" t="s">
        <v>1747</v>
      </c>
      <c r="Q74" s="1960">
        <f>L53</f>
        <v>0</v>
      </c>
      <c r="R74" s="1961"/>
    </row>
    <row r="75" spans="1:18" s="1671" customFormat="1" ht="19.2" thickBot="1">
      <c r="A75" s="1703"/>
      <c r="B75" s="1704"/>
      <c r="C75" s="1704"/>
      <c r="K75" s="1695"/>
      <c r="O75" s="1959" t="s">
        <v>1742</v>
      </c>
      <c r="P75" s="1957" t="s">
        <v>1748</v>
      </c>
      <c r="Q75" s="1958">
        <f ca="1">L59</f>
        <v>0</v>
      </c>
      <c r="R75" s="1961" t="s">
        <v>1749</v>
      </c>
    </row>
    <row r="76" spans="1:18" s="1671" customFormat="1" ht="19.2" thickBot="1">
      <c r="A76" s="1703"/>
      <c r="B76" s="1704"/>
      <c r="C76" s="1704"/>
      <c r="K76" s="1695"/>
      <c r="O76" s="1959" t="s">
        <v>1771</v>
      </c>
      <c r="P76" s="1957" t="s">
        <v>1750</v>
      </c>
      <c r="Q76" s="1958">
        <f ca="1">L60</f>
        <v>0</v>
      </c>
      <c r="R76" s="1961" t="s">
        <v>1751</v>
      </c>
    </row>
    <row r="77" spans="1:18" s="1671" customFormat="1" ht="16.2" thickBot="1">
      <c r="A77" s="1703"/>
      <c r="B77" s="1704"/>
      <c r="C77" s="1704"/>
      <c r="K77" s="1695"/>
      <c r="O77" s="1956" t="s">
        <v>1745</v>
      </c>
      <c r="P77" s="1957" t="s">
        <v>1762</v>
      </c>
      <c r="Q77" s="1958" t="e">
        <f ca="1">Q67+Q68</f>
        <v>#DIV/0!</v>
      </c>
      <c r="R77" s="1961" t="s">
        <v>1746</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2" customHeight="1"/>
  <cols>
    <col min="1" max="1" width="9.44140625" style="2826" customWidth="1"/>
    <col min="2" max="2" width="8.88671875" style="2826"/>
    <col min="3" max="5" width="12.88671875" style="2826" customWidth="1"/>
    <col min="6" max="6" width="47.44140625" style="2826" customWidth="1"/>
    <col min="7" max="7" width="13" style="2820" customWidth="1"/>
    <col min="8" max="8" width="8.88671875" style="2820"/>
    <col min="9" max="9" width="8.88671875" style="2821"/>
    <col min="10" max="10" width="5.77734375" style="2981" customWidth="1"/>
    <col min="11" max="11" width="11.77734375" style="2981" customWidth="1"/>
    <col min="12" max="13" width="10.77734375" style="2981" customWidth="1"/>
    <col min="14" max="14" width="10" style="2981" customWidth="1"/>
    <col min="15" max="16" width="10.44140625" style="2981" bestFit="1" customWidth="1"/>
    <col min="17" max="17" width="10" style="2981" customWidth="1"/>
    <col min="18" max="18" width="10.109375" style="2981" customWidth="1"/>
    <col min="19" max="19" width="10" style="2981" customWidth="1"/>
    <col min="20" max="20" width="26.109375" style="2981" customWidth="1"/>
    <col min="21" max="21" width="8.88671875" style="2981"/>
    <col min="22" max="22" width="8.88671875" style="2821"/>
    <col min="23" max="256" width="8.88671875" style="2826"/>
    <col min="257" max="257" width="9.44140625" style="2826" customWidth="1"/>
    <col min="258" max="258" width="8.88671875" style="2826"/>
    <col min="259" max="261" width="12.88671875" style="2826" customWidth="1"/>
    <col min="262" max="262" width="47.44140625" style="2826" customWidth="1"/>
    <col min="263" max="263" width="13" style="2826" customWidth="1"/>
    <col min="264" max="265" width="8.88671875" style="2826"/>
    <col min="266" max="266" width="5.77734375" style="2826" customWidth="1"/>
    <col min="267" max="267" width="11.77734375" style="2826" customWidth="1"/>
    <col min="268" max="269" width="10.77734375" style="2826" customWidth="1"/>
    <col min="270" max="270" width="10" style="2826" customWidth="1"/>
    <col min="271" max="272" width="10.44140625" style="2826" bestFit="1" customWidth="1"/>
    <col min="273" max="273" width="10" style="2826" customWidth="1"/>
    <col min="274" max="274" width="10.109375" style="2826" customWidth="1"/>
    <col min="275" max="275" width="10" style="2826" customWidth="1"/>
    <col min="276" max="276" width="26.109375" style="2826" customWidth="1"/>
    <col min="277" max="512" width="8.88671875" style="2826"/>
    <col min="513" max="513" width="9.44140625" style="2826" customWidth="1"/>
    <col min="514" max="514" width="8.88671875" style="2826"/>
    <col min="515" max="517" width="12.88671875" style="2826" customWidth="1"/>
    <col min="518" max="518" width="47.44140625" style="2826" customWidth="1"/>
    <col min="519" max="519" width="13" style="2826" customWidth="1"/>
    <col min="520" max="521" width="8.88671875" style="2826"/>
    <col min="522" max="522" width="5.77734375" style="2826" customWidth="1"/>
    <col min="523" max="523" width="11.77734375" style="2826" customWidth="1"/>
    <col min="524" max="525" width="10.77734375" style="2826" customWidth="1"/>
    <col min="526" max="526" width="10" style="2826" customWidth="1"/>
    <col min="527" max="528" width="10.44140625" style="2826" bestFit="1" customWidth="1"/>
    <col min="529" max="529" width="10" style="2826" customWidth="1"/>
    <col min="530" max="530" width="10.109375" style="2826" customWidth="1"/>
    <col min="531" max="531" width="10" style="2826" customWidth="1"/>
    <col min="532" max="532" width="26.109375" style="2826" customWidth="1"/>
    <col min="533" max="768" width="8.88671875" style="2826"/>
    <col min="769" max="769" width="9.44140625" style="2826" customWidth="1"/>
    <col min="770" max="770" width="8.88671875" style="2826"/>
    <col min="771" max="773" width="12.88671875" style="2826" customWidth="1"/>
    <col min="774" max="774" width="47.44140625" style="2826" customWidth="1"/>
    <col min="775" max="775" width="13" style="2826" customWidth="1"/>
    <col min="776" max="777" width="8.88671875" style="2826"/>
    <col min="778" max="778" width="5.77734375" style="2826" customWidth="1"/>
    <col min="779" max="779" width="11.77734375" style="2826" customWidth="1"/>
    <col min="780" max="781" width="10.77734375" style="2826" customWidth="1"/>
    <col min="782" max="782" width="10" style="2826" customWidth="1"/>
    <col min="783" max="784" width="10.44140625" style="2826" bestFit="1" customWidth="1"/>
    <col min="785" max="785" width="10" style="2826" customWidth="1"/>
    <col min="786" max="786" width="10.109375" style="2826" customWidth="1"/>
    <col min="787" max="787" width="10" style="2826" customWidth="1"/>
    <col min="788" max="788" width="26.109375" style="2826" customWidth="1"/>
    <col min="789" max="1024" width="8.88671875" style="2826"/>
    <col min="1025" max="1025" width="9.44140625" style="2826" customWidth="1"/>
    <col min="1026" max="1026" width="8.88671875" style="2826"/>
    <col min="1027" max="1029" width="12.88671875" style="2826" customWidth="1"/>
    <col min="1030" max="1030" width="47.44140625" style="2826" customWidth="1"/>
    <col min="1031" max="1031" width="13" style="2826" customWidth="1"/>
    <col min="1032" max="1033" width="8.88671875" style="2826"/>
    <col min="1034" max="1034" width="5.77734375" style="2826" customWidth="1"/>
    <col min="1035" max="1035" width="11.77734375" style="2826" customWidth="1"/>
    <col min="1036" max="1037" width="10.77734375" style="2826" customWidth="1"/>
    <col min="1038" max="1038" width="10" style="2826" customWidth="1"/>
    <col min="1039" max="1040" width="10.44140625" style="2826" bestFit="1" customWidth="1"/>
    <col min="1041" max="1041" width="10" style="2826" customWidth="1"/>
    <col min="1042" max="1042" width="10.109375" style="2826" customWidth="1"/>
    <col min="1043" max="1043" width="10" style="2826" customWidth="1"/>
    <col min="1044" max="1044" width="26.109375" style="2826" customWidth="1"/>
    <col min="1045" max="1280" width="8.88671875" style="2826"/>
    <col min="1281" max="1281" width="9.44140625" style="2826" customWidth="1"/>
    <col min="1282" max="1282" width="8.88671875" style="2826"/>
    <col min="1283" max="1285" width="12.88671875" style="2826" customWidth="1"/>
    <col min="1286" max="1286" width="47.44140625" style="2826" customWidth="1"/>
    <col min="1287" max="1287" width="13" style="2826" customWidth="1"/>
    <col min="1288" max="1289" width="8.88671875" style="2826"/>
    <col min="1290" max="1290" width="5.77734375" style="2826" customWidth="1"/>
    <col min="1291" max="1291" width="11.77734375" style="2826" customWidth="1"/>
    <col min="1292" max="1293" width="10.77734375" style="2826" customWidth="1"/>
    <col min="1294" max="1294" width="10" style="2826" customWidth="1"/>
    <col min="1295" max="1296" width="10.44140625" style="2826" bestFit="1" customWidth="1"/>
    <col min="1297" max="1297" width="10" style="2826" customWidth="1"/>
    <col min="1298" max="1298" width="10.109375" style="2826" customWidth="1"/>
    <col min="1299" max="1299" width="10" style="2826" customWidth="1"/>
    <col min="1300" max="1300" width="26.109375" style="2826" customWidth="1"/>
    <col min="1301" max="1536" width="8.88671875" style="2826"/>
    <col min="1537" max="1537" width="9.44140625" style="2826" customWidth="1"/>
    <col min="1538" max="1538" width="8.88671875" style="2826"/>
    <col min="1539" max="1541" width="12.88671875" style="2826" customWidth="1"/>
    <col min="1542" max="1542" width="47.44140625" style="2826" customWidth="1"/>
    <col min="1543" max="1543" width="13" style="2826" customWidth="1"/>
    <col min="1544" max="1545" width="8.88671875" style="2826"/>
    <col min="1546" max="1546" width="5.77734375" style="2826" customWidth="1"/>
    <col min="1547" max="1547" width="11.77734375" style="2826" customWidth="1"/>
    <col min="1548" max="1549" width="10.77734375" style="2826" customWidth="1"/>
    <col min="1550" max="1550" width="10" style="2826" customWidth="1"/>
    <col min="1551" max="1552" width="10.44140625" style="2826" bestFit="1" customWidth="1"/>
    <col min="1553" max="1553" width="10" style="2826" customWidth="1"/>
    <col min="1554" max="1554" width="10.109375" style="2826" customWidth="1"/>
    <col min="1555" max="1555" width="10" style="2826" customWidth="1"/>
    <col min="1556" max="1556" width="26.109375" style="2826" customWidth="1"/>
    <col min="1557" max="1792" width="8.88671875" style="2826"/>
    <col min="1793" max="1793" width="9.44140625" style="2826" customWidth="1"/>
    <col min="1794" max="1794" width="8.88671875" style="2826"/>
    <col min="1795" max="1797" width="12.88671875" style="2826" customWidth="1"/>
    <col min="1798" max="1798" width="47.44140625" style="2826" customWidth="1"/>
    <col min="1799" max="1799" width="13" style="2826" customWidth="1"/>
    <col min="1800" max="1801" width="8.88671875" style="2826"/>
    <col min="1802" max="1802" width="5.77734375" style="2826" customWidth="1"/>
    <col min="1803" max="1803" width="11.77734375" style="2826" customWidth="1"/>
    <col min="1804" max="1805" width="10.77734375" style="2826" customWidth="1"/>
    <col min="1806" max="1806" width="10" style="2826" customWidth="1"/>
    <col min="1807" max="1808" width="10.44140625" style="2826" bestFit="1" customWidth="1"/>
    <col min="1809" max="1809" width="10" style="2826" customWidth="1"/>
    <col min="1810" max="1810" width="10.109375" style="2826" customWidth="1"/>
    <col min="1811" max="1811" width="10" style="2826" customWidth="1"/>
    <col min="1812" max="1812" width="26.109375" style="2826" customWidth="1"/>
    <col min="1813" max="2048" width="8.88671875" style="2826"/>
    <col min="2049" max="2049" width="9.44140625" style="2826" customWidth="1"/>
    <col min="2050" max="2050" width="8.88671875" style="2826"/>
    <col min="2051" max="2053" width="12.88671875" style="2826" customWidth="1"/>
    <col min="2054" max="2054" width="47.44140625" style="2826" customWidth="1"/>
    <col min="2055" max="2055" width="13" style="2826" customWidth="1"/>
    <col min="2056" max="2057" width="8.88671875" style="2826"/>
    <col min="2058" max="2058" width="5.77734375" style="2826" customWidth="1"/>
    <col min="2059" max="2059" width="11.77734375" style="2826" customWidth="1"/>
    <col min="2060" max="2061" width="10.77734375" style="2826" customWidth="1"/>
    <col min="2062" max="2062" width="10" style="2826" customWidth="1"/>
    <col min="2063" max="2064" width="10.44140625" style="2826" bestFit="1" customWidth="1"/>
    <col min="2065" max="2065" width="10" style="2826" customWidth="1"/>
    <col min="2066" max="2066" width="10.109375" style="2826" customWidth="1"/>
    <col min="2067" max="2067" width="10" style="2826" customWidth="1"/>
    <col min="2068" max="2068" width="26.109375" style="2826" customWidth="1"/>
    <col min="2069" max="2304" width="8.88671875" style="2826"/>
    <col min="2305" max="2305" width="9.44140625" style="2826" customWidth="1"/>
    <col min="2306" max="2306" width="8.88671875" style="2826"/>
    <col min="2307" max="2309" width="12.88671875" style="2826" customWidth="1"/>
    <col min="2310" max="2310" width="47.44140625" style="2826" customWidth="1"/>
    <col min="2311" max="2311" width="13" style="2826" customWidth="1"/>
    <col min="2312" max="2313" width="8.88671875" style="2826"/>
    <col min="2314" max="2314" width="5.77734375" style="2826" customWidth="1"/>
    <col min="2315" max="2315" width="11.77734375" style="2826" customWidth="1"/>
    <col min="2316" max="2317" width="10.77734375" style="2826" customWidth="1"/>
    <col min="2318" max="2318" width="10" style="2826" customWidth="1"/>
    <col min="2319" max="2320" width="10.44140625" style="2826" bestFit="1" customWidth="1"/>
    <col min="2321" max="2321" width="10" style="2826" customWidth="1"/>
    <col min="2322" max="2322" width="10.109375" style="2826" customWidth="1"/>
    <col min="2323" max="2323" width="10" style="2826" customWidth="1"/>
    <col min="2324" max="2324" width="26.109375" style="2826" customWidth="1"/>
    <col min="2325" max="2560" width="8.88671875" style="2826"/>
    <col min="2561" max="2561" width="9.44140625" style="2826" customWidth="1"/>
    <col min="2562" max="2562" width="8.88671875" style="2826"/>
    <col min="2563" max="2565" width="12.88671875" style="2826" customWidth="1"/>
    <col min="2566" max="2566" width="47.44140625" style="2826" customWidth="1"/>
    <col min="2567" max="2567" width="13" style="2826" customWidth="1"/>
    <col min="2568" max="2569" width="8.88671875" style="2826"/>
    <col min="2570" max="2570" width="5.77734375" style="2826" customWidth="1"/>
    <col min="2571" max="2571" width="11.77734375" style="2826" customWidth="1"/>
    <col min="2572" max="2573" width="10.77734375" style="2826" customWidth="1"/>
    <col min="2574" max="2574" width="10" style="2826" customWidth="1"/>
    <col min="2575" max="2576" width="10.44140625" style="2826" bestFit="1" customWidth="1"/>
    <col min="2577" max="2577" width="10" style="2826" customWidth="1"/>
    <col min="2578" max="2578" width="10.109375" style="2826" customWidth="1"/>
    <col min="2579" max="2579" width="10" style="2826" customWidth="1"/>
    <col min="2580" max="2580" width="26.109375" style="2826" customWidth="1"/>
    <col min="2581" max="2816" width="8.88671875" style="2826"/>
    <col min="2817" max="2817" width="9.44140625" style="2826" customWidth="1"/>
    <col min="2818" max="2818" width="8.88671875" style="2826"/>
    <col min="2819" max="2821" width="12.88671875" style="2826" customWidth="1"/>
    <col min="2822" max="2822" width="47.44140625" style="2826" customWidth="1"/>
    <col min="2823" max="2823" width="13" style="2826" customWidth="1"/>
    <col min="2824" max="2825" width="8.88671875" style="2826"/>
    <col min="2826" max="2826" width="5.77734375" style="2826" customWidth="1"/>
    <col min="2827" max="2827" width="11.77734375" style="2826" customWidth="1"/>
    <col min="2828" max="2829" width="10.77734375" style="2826" customWidth="1"/>
    <col min="2830" max="2830" width="10" style="2826" customWidth="1"/>
    <col min="2831" max="2832" width="10.44140625" style="2826" bestFit="1" customWidth="1"/>
    <col min="2833" max="2833" width="10" style="2826" customWidth="1"/>
    <col min="2834" max="2834" width="10.109375" style="2826" customWidth="1"/>
    <col min="2835" max="2835" width="10" style="2826" customWidth="1"/>
    <col min="2836" max="2836" width="26.109375" style="2826" customWidth="1"/>
    <col min="2837" max="3072" width="8.88671875" style="2826"/>
    <col min="3073" max="3073" width="9.44140625" style="2826" customWidth="1"/>
    <col min="3074" max="3074" width="8.88671875" style="2826"/>
    <col min="3075" max="3077" width="12.88671875" style="2826" customWidth="1"/>
    <col min="3078" max="3078" width="47.44140625" style="2826" customWidth="1"/>
    <col min="3079" max="3079" width="13" style="2826" customWidth="1"/>
    <col min="3080" max="3081" width="8.88671875" style="2826"/>
    <col min="3082" max="3082" width="5.77734375" style="2826" customWidth="1"/>
    <col min="3083" max="3083" width="11.77734375" style="2826" customWidth="1"/>
    <col min="3084" max="3085" width="10.77734375" style="2826" customWidth="1"/>
    <col min="3086" max="3086" width="10" style="2826" customWidth="1"/>
    <col min="3087" max="3088" width="10.44140625" style="2826" bestFit="1" customWidth="1"/>
    <col min="3089" max="3089" width="10" style="2826" customWidth="1"/>
    <col min="3090" max="3090" width="10.109375" style="2826" customWidth="1"/>
    <col min="3091" max="3091" width="10" style="2826" customWidth="1"/>
    <col min="3092" max="3092" width="26.109375" style="2826" customWidth="1"/>
    <col min="3093" max="3328" width="8.88671875" style="2826"/>
    <col min="3329" max="3329" width="9.44140625" style="2826" customWidth="1"/>
    <col min="3330" max="3330" width="8.88671875" style="2826"/>
    <col min="3331" max="3333" width="12.88671875" style="2826" customWidth="1"/>
    <col min="3334" max="3334" width="47.44140625" style="2826" customWidth="1"/>
    <col min="3335" max="3335" width="13" style="2826" customWidth="1"/>
    <col min="3336" max="3337" width="8.88671875" style="2826"/>
    <col min="3338" max="3338" width="5.77734375" style="2826" customWidth="1"/>
    <col min="3339" max="3339" width="11.77734375" style="2826" customWidth="1"/>
    <col min="3340" max="3341" width="10.77734375" style="2826" customWidth="1"/>
    <col min="3342" max="3342" width="10" style="2826" customWidth="1"/>
    <col min="3343" max="3344" width="10.44140625" style="2826" bestFit="1" customWidth="1"/>
    <col min="3345" max="3345" width="10" style="2826" customWidth="1"/>
    <col min="3346" max="3346" width="10.109375" style="2826" customWidth="1"/>
    <col min="3347" max="3347" width="10" style="2826" customWidth="1"/>
    <col min="3348" max="3348" width="26.109375" style="2826" customWidth="1"/>
    <col min="3349" max="3584" width="8.88671875" style="2826"/>
    <col min="3585" max="3585" width="9.44140625" style="2826" customWidth="1"/>
    <col min="3586" max="3586" width="8.88671875" style="2826"/>
    <col min="3587" max="3589" width="12.88671875" style="2826" customWidth="1"/>
    <col min="3590" max="3590" width="47.44140625" style="2826" customWidth="1"/>
    <col min="3591" max="3591" width="13" style="2826" customWidth="1"/>
    <col min="3592" max="3593" width="8.88671875" style="2826"/>
    <col min="3594" max="3594" width="5.77734375" style="2826" customWidth="1"/>
    <col min="3595" max="3595" width="11.77734375" style="2826" customWidth="1"/>
    <col min="3596" max="3597" width="10.77734375" style="2826" customWidth="1"/>
    <col min="3598" max="3598" width="10" style="2826" customWidth="1"/>
    <col min="3599" max="3600" width="10.44140625" style="2826" bestFit="1" customWidth="1"/>
    <col min="3601" max="3601" width="10" style="2826" customWidth="1"/>
    <col min="3602" max="3602" width="10.109375" style="2826" customWidth="1"/>
    <col min="3603" max="3603" width="10" style="2826" customWidth="1"/>
    <col min="3604" max="3604" width="26.109375" style="2826" customWidth="1"/>
    <col min="3605" max="3840" width="8.88671875" style="2826"/>
    <col min="3841" max="3841" width="9.44140625" style="2826" customWidth="1"/>
    <col min="3842" max="3842" width="8.88671875" style="2826"/>
    <col min="3843" max="3845" width="12.88671875" style="2826" customWidth="1"/>
    <col min="3846" max="3846" width="47.44140625" style="2826" customWidth="1"/>
    <col min="3847" max="3847" width="13" style="2826" customWidth="1"/>
    <col min="3848" max="3849" width="8.88671875" style="2826"/>
    <col min="3850" max="3850" width="5.77734375" style="2826" customWidth="1"/>
    <col min="3851" max="3851" width="11.77734375" style="2826" customWidth="1"/>
    <col min="3852" max="3853" width="10.77734375" style="2826" customWidth="1"/>
    <col min="3854" max="3854" width="10" style="2826" customWidth="1"/>
    <col min="3855" max="3856" width="10.44140625" style="2826" bestFit="1" customWidth="1"/>
    <col min="3857" max="3857" width="10" style="2826" customWidth="1"/>
    <col min="3858" max="3858" width="10.109375" style="2826" customWidth="1"/>
    <col min="3859" max="3859" width="10" style="2826" customWidth="1"/>
    <col min="3860" max="3860" width="26.109375" style="2826" customWidth="1"/>
    <col min="3861" max="4096" width="8.88671875" style="2826"/>
    <col min="4097" max="4097" width="9.44140625" style="2826" customWidth="1"/>
    <col min="4098" max="4098" width="8.88671875" style="2826"/>
    <col min="4099" max="4101" width="12.88671875" style="2826" customWidth="1"/>
    <col min="4102" max="4102" width="47.44140625" style="2826" customWidth="1"/>
    <col min="4103" max="4103" width="13" style="2826" customWidth="1"/>
    <col min="4104" max="4105" width="8.88671875" style="2826"/>
    <col min="4106" max="4106" width="5.77734375" style="2826" customWidth="1"/>
    <col min="4107" max="4107" width="11.77734375" style="2826" customWidth="1"/>
    <col min="4108" max="4109" width="10.77734375" style="2826" customWidth="1"/>
    <col min="4110" max="4110" width="10" style="2826" customWidth="1"/>
    <col min="4111" max="4112" width="10.44140625" style="2826" bestFit="1" customWidth="1"/>
    <col min="4113" max="4113" width="10" style="2826" customWidth="1"/>
    <col min="4114" max="4114" width="10.109375" style="2826" customWidth="1"/>
    <col min="4115" max="4115" width="10" style="2826" customWidth="1"/>
    <col min="4116" max="4116" width="26.109375" style="2826" customWidth="1"/>
    <col min="4117" max="4352" width="8.88671875" style="2826"/>
    <col min="4353" max="4353" width="9.44140625" style="2826" customWidth="1"/>
    <col min="4354" max="4354" width="8.88671875" style="2826"/>
    <col min="4355" max="4357" width="12.88671875" style="2826" customWidth="1"/>
    <col min="4358" max="4358" width="47.44140625" style="2826" customWidth="1"/>
    <col min="4359" max="4359" width="13" style="2826" customWidth="1"/>
    <col min="4360" max="4361" width="8.88671875" style="2826"/>
    <col min="4362" max="4362" width="5.77734375" style="2826" customWidth="1"/>
    <col min="4363" max="4363" width="11.77734375" style="2826" customWidth="1"/>
    <col min="4364" max="4365" width="10.77734375" style="2826" customWidth="1"/>
    <col min="4366" max="4366" width="10" style="2826" customWidth="1"/>
    <col min="4367" max="4368" width="10.44140625" style="2826" bestFit="1" customWidth="1"/>
    <col min="4369" max="4369" width="10" style="2826" customWidth="1"/>
    <col min="4370" max="4370" width="10.109375" style="2826" customWidth="1"/>
    <col min="4371" max="4371" width="10" style="2826" customWidth="1"/>
    <col min="4372" max="4372" width="26.109375" style="2826" customWidth="1"/>
    <col min="4373" max="4608" width="8.88671875" style="2826"/>
    <col min="4609" max="4609" width="9.44140625" style="2826" customWidth="1"/>
    <col min="4610" max="4610" width="8.88671875" style="2826"/>
    <col min="4611" max="4613" width="12.88671875" style="2826" customWidth="1"/>
    <col min="4614" max="4614" width="47.44140625" style="2826" customWidth="1"/>
    <col min="4615" max="4615" width="13" style="2826" customWidth="1"/>
    <col min="4616" max="4617" width="8.88671875" style="2826"/>
    <col min="4618" max="4618" width="5.77734375" style="2826" customWidth="1"/>
    <col min="4619" max="4619" width="11.77734375" style="2826" customWidth="1"/>
    <col min="4620" max="4621" width="10.77734375" style="2826" customWidth="1"/>
    <col min="4622" max="4622" width="10" style="2826" customWidth="1"/>
    <col min="4623" max="4624" width="10.44140625" style="2826" bestFit="1" customWidth="1"/>
    <col min="4625" max="4625" width="10" style="2826" customWidth="1"/>
    <col min="4626" max="4626" width="10.109375" style="2826" customWidth="1"/>
    <col min="4627" max="4627" width="10" style="2826" customWidth="1"/>
    <col min="4628" max="4628" width="26.109375" style="2826" customWidth="1"/>
    <col min="4629" max="4864" width="8.88671875" style="2826"/>
    <col min="4865" max="4865" width="9.44140625" style="2826" customWidth="1"/>
    <col min="4866" max="4866" width="8.88671875" style="2826"/>
    <col min="4867" max="4869" width="12.88671875" style="2826" customWidth="1"/>
    <col min="4870" max="4870" width="47.44140625" style="2826" customWidth="1"/>
    <col min="4871" max="4871" width="13" style="2826" customWidth="1"/>
    <col min="4872" max="4873" width="8.88671875" style="2826"/>
    <col min="4874" max="4874" width="5.77734375" style="2826" customWidth="1"/>
    <col min="4875" max="4875" width="11.77734375" style="2826" customWidth="1"/>
    <col min="4876" max="4877" width="10.77734375" style="2826" customWidth="1"/>
    <col min="4878" max="4878" width="10" style="2826" customWidth="1"/>
    <col min="4879" max="4880" width="10.44140625" style="2826" bestFit="1" customWidth="1"/>
    <col min="4881" max="4881" width="10" style="2826" customWidth="1"/>
    <col min="4882" max="4882" width="10.109375" style="2826" customWidth="1"/>
    <col min="4883" max="4883" width="10" style="2826" customWidth="1"/>
    <col min="4884" max="4884" width="26.109375" style="2826" customWidth="1"/>
    <col min="4885" max="5120" width="8.88671875" style="2826"/>
    <col min="5121" max="5121" width="9.44140625" style="2826" customWidth="1"/>
    <col min="5122" max="5122" width="8.88671875" style="2826"/>
    <col min="5123" max="5125" width="12.88671875" style="2826" customWidth="1"/>
    <col min="5126" max="5126" width="47.44140625" style="2826" customWidth="1"/>
    <col min="5127" max="5127" width="13" style="2826" customWidth="1"/>
    <col min="5128" max="5129" width="8.88671875" style="2826"/>
    <col min="5130" max="5130" width="5.77734375" style="2826" customWidth="1"/>
    <col min="5131" max="5131" width="11.77734375" style="2826" customWidth="1"/>
    <col min="5132" max="5133" width="10.77734375" style="2826" customWidth="1"/>
    <col min="5134" max="5134" width="10" style="2826" customWidth="1"/>
    <col min="5135" max="5136" width="10.44140625" style="2826" bestFit="1" customWidth="1"/>
    <col min="5137" max="5137" width="10" style="2826" customWidth="1"/>
    <col min="5138" max="5138" width="10.109375" style="2826" customWidth="1"/>
    <col min="5139" max="5139" width="10" style="2826" customWidth="1"/>
    <col min="5140" max="5140" width="26.109375" style="2826" customWidth="1"/>
    <col min="5141" max="5376" width="8.88671875" style="2826"/>
    <col min="5377" max="5377" width="9.44140625" style="2826" customWidth="1"/>
    <col min="5378" max="5378" width="8.88671875" style="2826"/>
    <col min="5379" max="5381" width="12.88671875" style="2826" customWidth="1"/>
    <col min="5382" max="5382" width="47.44140625" style="2826" customWidth="1"/>
    <col min="5383" max="5383" width="13" style="2826" customWidth="1"/>
    <col min="5384" max="5385" width="8.88671875" style="2826"/>
    <col min="5386" max="5386" width="5.77734375" style="2826" customWidth="1"/>
    <col min="5387" max="5387" width="11.77734375" style="2826" customWidth="1"/>
    <col min="5388" max="5389" width="10.77734375" style="2826" customWidth="1"/>
    <col min="5390" max="5390" width="10" style="2826" customWidth="1"/>
    <col min="5391" max="5392" width="10.44140625" style="2826" bestFit="1" customWidth="1"/>
    <col min="5393" max="5393" width="10" style="2826" customWidth="1"/>
    <col min="5394" max="5394" width="10.109375" style="2826" customWidth="1"/>
    <col min="5395" max="5395" width="10" style="2826" customWidth="1"/>
    <col min="5396" max="5396" width="26.109375" style="2826" customWidth="1"/>
    <col min="5397" max="5632" width="8.88671875" style="2826"/>
    <col min="5633" max="5633" width="9.44140625" style="2826" customWidth="1"/>
    <col min="5634" max="5634" width="8.88671875" style="2826"/>
    <col min="5635" max="5637" width="12.88671875" style="2826" customWidth="1"/>
    <col min="5638" max="5638" width="47.44140625" style="2826" customWidth="1"/>
    <col min="5639" max="5639" width="13" style="2826" customWidth="1"/>
    <col min="5640" max="5641" width="8.88671875" style="2826"/>
    <col min="5642" max="5642" width="5.77734375" style="2826" customWidth="1"/>
    <col min="5643" max="5643" width="11.77734375" style="2826" customWidth="1"/>
    <col min="5644" max="5645" width="10.77734375" style="2826" customWidth="1"/>
    <col min="5646" max="5646" width="10" style="2826" customWidth="1"/>
    <col min="5647" max="5648" width="10.44140625" style="2826" bestFit="1" customWidth="1"/>
    <col min="5649" max="5649" width="10" style="2826" customWidth="1"/>
    <col min="5650" max="5650" width="10.109375" style="2826" customWidth="1"/>
    <col min="5651" max="5651" width="10" style="2826" customWidth="1"/>
    <col min="5652" max="5652" width="26.109375" style="2826" customWidth="1"/>
    <col min="5653" max="5888" width="8.88671875" style="2826"/>
    <col min="5889" max="5889" width="9.44140625" style="2826" customWidth="1"/>
    <col min="5890" max="5890" width="8.88671875" style="2826"/>
    <col min="5891" max="5893" width="12.88671875" style="2826" customWidth="1"/>
    <col min="5894" max="5894" width="47.44140625" style="2826" customWidth="1"/>
    <col min="5895" max="5895" width="13" style="2826" customWidth="1"/>
    <col min="5896" max="5897" width="8.88671875" style="2826"/>
    <col min="5898" max="5898" width="5.77734375" style="2826" customWidth="1"/>
    <col min="5899" max="5899" width="11.77734375" style="2826" customWidth="1"/>
    <col min="5900" max="5901" width="10.77734375" style="2826" customWidth="1"/>
    <col min="5902" max="5902" width="10" style="2826" customWidth="1"/>
    <col min="5903" max="5904" width="10.44140625" style="2826" bestFit="1" customWidth="1"/>
    <col min="5905" max="5905" width="10" style="2826" customWidth="1"/>
    <col min="5906" max="5906" width="10.109375" style="2826" customWidth="1"/>
    <col min="5907" max="5907" width="10" style="2826" customWidth="1"/>
    <col min="5908" max="5908" width="26.109375" style="2826" customWidth="1"/>
    <col min="5909" max="6144" width="8.88671875" style="2826"/>
    <col min="6145" max="6145" width="9.44140625" style="2826" customWidth="1"/>
    <col min="6146" max="6146" width="8.88671875" style="2826"/>
    <col min="6147" max="6149" width="12.88671875" style="2826" customWidth="1"/>
    <col min="6150" max="6150" width="47.44140625" style="2826" customWidth="1"/>
    <col min="6151" max="6151" width="13" style="2826" customWidth="1"/>
    <col min="6152" max="6153" width="8.88671875" style="2826"/>
    <col min="6154" max="6154" width="5.77734375" style="2826" customWidth="1"/>
    <col min="6155" max="6155" width="11.77734375" style="2826" customWidth="1"/>
    <col min="6156" max="6157" width="10.77734375" style="2826" customWidth="1"/>
    <col min="6158" max="6158" width="10" style="2826" customWidth="1"/>
    <col min="6159" max="6160" width="10.44140625" style="2826" bestFit="1" customWidth="1"/>
    <col min="6161" max="6161" width="10" style="2826" customWidth="1"/>
    <col min="6162" max="6162" width="10.109375" style="2826" customWidth="1"/>
    <col min="6163" max="6163" width="10" style="2826" customWidth="1"/>
    <col min="6164" max="6164" width="26.109375" style="2826" customWidth="1"/>
    <col min="6165" max="6400" width="8.88671875" style="2826"/>
    <col min="6401" max="6401" width="9.44140625" style="2826" customWidth="1"/>
    <col min="6402" max="6402" width="8.88671875" style="2826"/>
    <col min="6403" max="6405" width="12.88671875" style="2826" customWidth="1"/>
    <col min="6406" max="6406" width="47.44140625" style="2826" customWidth="1"/>
    <col min="6407" max="6407" width="13" style="2826" customWidth="1"/>
    <col min="6408" max="6409" width="8.88671875" style="2826"/>
    <col min="6410" max="6410" width="5.77734375" style="2826" customWidth="1"/>
    <col min="6411" max="6411" width="11.77734375" style="2826" customWidth="1"/>
    <col min="6412" max="6413" width="10.77734375" style="2826" customWidth="1"/>
    <col min="6414" max="6414" width="10" style="2826" customWidth="1"/>
    <col min="6415" max="6416" width="10.44140625" style="2826" bestFit="1" customWidth="1"/>
    <col min="6417" max="6417" width="10" style="2826" customWidth="1"/>
    <col min="6418" max="6418" width="10.109375" style="2826" customWidth="1"/>
    <col min="6419" max="6419" width="10" style="2826" customWidth="1"/>
    <col min="6420" max="6420" width="26.109375" style="2826" customWidth="1"/>
    <col min="6421" max="6656" width="8.88671875" style="2826"/>
    <col min="6657" max="6657" width="9.44140625" style="2826" customWidth="1"/>
    <col min="6658" max="6658" width="8.88671875" style="2826"/>
    <col min="6659" max="6661" width="12.88671875" style="2826" customWidth="1"/>
    <col min="6662" max="6662" width="47.44140625" style="2826" customWidth="1"/>
    <col min="6663" max="6663" width="13" style="2826" customWidth="1"/>
    <col min="6664" max="6665" width="8.88671875" style="2826"/>
    <col min="6666" max="6666" width="5.77734375" style="2826" customWidth="1"/>
    <col min="6667" max="6667" width="11.77734375" style="2826" customWidth="1"/>
    <col min="6668" max="6669" width="10.77734375" style="2826" customWidth="1"/>
    <col min="6670" max="6670" width="10" style="2826" customWidth="1"/>
    <col min="6671" max="6672" width="10.44140625" style="2826" bestFit="1" customWidth="1"/>
    <col min="6673" max="6673" width="10" style="2826" customWidth="1"/>
    <col min="6674" max="6674" width="10.109375" style="2826" customWidth="1"/>
    <col min="6675" max="6675" width="10" style="2826" customWidth="1"/>
    <col min="6676" max="6676" width="26.109375" style="2826" customWidth="1"/>
    <col min="6677" max="6912" width="8.88671875" style="2826"/>
    <col min="6913" max="6913" width="9.44140625" style="2826" customWidth="1"/>
    <col min="6914" max="6914" width="8.88671875" style="2826"/>
    <col min="6915" max="6917" width="12.88671875" style="2826" customWidth="1"/>
    <col min="6918" max="6918" width="47.44140625" style="2826" customWidth="1"/>
    <col min="6919" max="6919" width="13" style="2826" customWidth="1"/>
    <col min="6920" max="6921" width="8.88671875" style="2826"/>
    <col min="6922" max="6922" width="5.77734375" style="2826" customWidth="1"/>
    <col min="6923" max="6923" width="11.77734375" style="2826" customWidth="1"/>
    <col min="6924" max="6925" width="10.77734375" style="2826" customWidth="1"/>
    <col min="6926" max="6926" width="10" style="2826" customWidth="1"/>
    <col min="6927" max="6928" width="10.44140625" style="2826" bestFit="1" customWidth="1"/>
    <col min="6929" max="6929" width="10" style="2826" customWidth="1"/>
    <col min="6930" max="6930" width="10.109375" style="2826" customWidth="1"/>
    <col min="6931" max="6931" width="10" style="2826" customWidth="1"/>
    <col min="6932" max="6932" width="26.109375" style="2826" customWidth="1"/>
    <col min="6933" max="7168" width="8.88671875" style="2826"/>
    <col min="7169" max="7169" width="9.44140625" style="2826" customWidth="1"/>
    <col min="7170" max="7170" width="8.88671875" style="2826"/>
    <col min="7171" max="7173" width="12.88671875" style="2826" customWidth="1"/>
    <col min="7174" max="7174" width="47.44140625" style="2826" customWidth="1"/>
    <col min="7175" max="7175" width="13" style="2826" customWidth="1"/>
    <col min="7176" max="7177" width="8.88671875" style="2826"/>
    <col min="7178" max="7178" width="5.77734375" style="2826" customWidth="1"/>
    <col min="7179" max="7179" width="11.77734375" style="2826" customWidth="1"/>
    <col min="7180" max="7181" width="10.77734375" style="2826" customWidth="1"/>
    <col min="7182" max="7182" width="10" style="2826" customWidth="1"/>
    <col min="7183" max="7184" width="10.44140625" style="2826" bestFit="1" customWidth="1"/>
    <col min="7185" max="7185" width="10" style="2826" customWidth="1"/>
    <col min="7186" max="7186" width="10.109375" style="2826" customWidth="1"/>
    <col min="7187" max="7187" width="10" style="2826" customWidth="1"/>
    <col min="7188" max="7188" width="26.109375" style="2826" customWidth="1"/>
    <col min="7189" max="7424" width="8.88671875" style="2826"/>
    <col min="7425" max="7425" width="9.44140625" style="2826" customWidth="1"/>
    <col min="7426" max="7426" width="8.88671875" style="2826"/>
    <col min="7427" max="7429" width="12.88671875" style="2826" customWidth="1"/>
    <col min="7430" max="7430" width="47.44140625" style="2826" customWidth="1"/>
    <col min="7431" max="7431" width="13" style="2826" customWidth="1"/>
    <col min="7432" max="7433" width="8.88671875" style="2826"/>
    <col min="7434" max="7434" width="5.77734375" style="2826" customWidth="1"/>
    <col min="7435" max="7435" width="11.77734375" style="2826" customWidth="1"/>
    <col min="7436" max="7437" width="10.77734375" style="2826" customWidth="1"/>
    <col min="7438" max="7438" width="10" style="2826" customWidth="1"/>
    <col min="7439" max="7440" width="10.44140625" style="2826" bestFit="1" customWidth="1"/>
    <col min="7441" max="7441" width="10" style="2826" customWidth="1"/>
    <col min="7442" max="7442" width="10.109375" style="2826" customWidth="1"/>
    <col min="7443" max="7443" width="10" style="2826" customWidth="1"/>
    <col min="7444" max="7444" width="26.109375" style="2826" customWidth="1"/>
    <col min="7445" max="7680" width="8.88671875" style="2826"/>
    <col min="7681" max="7681" width="9.44140625" style="2826" customWidth="1"/>
    <col min="7682" max="7682" width="8.88671875" style="2826"/>
    <col min="7683" max="7685" width="12.88671875" style="2826" customWidth="1"/>
    <col min="7686" max="7686" width="47.44140625" style="2826" customWidth="1"/>
    <col min="7687" max="7687" width="13" style="2826" customWidth="1"/>
    <col min="7688" max="7689" width="8.88671875" style="2826"/>
    <col min="7690" max="7690" width="5.77734375" style="2826" customWidth="1"/>
    <col min="7691" max="7691" width="11.77734375" style="2826" customWidth="1"/>
    <col min="7692" max="7693" width="10.77734375" style="2826" customWidth="1"/>
    <col min="7694" max="7694" width="10" style="2826" customWidth="1"/>
    <col min="7695" max="7696" width="10.44140625" style="2826" bestFit="1" customWidth="1"/>
    <col min="7697" max="7697" width="10" style="2826" customWidth="1"/>
    <col min="7698" max="7698" width="10.109375" style="2826" customWidth="1"/>
    <col min="7699" max="7699" width="10" style="2826" customWidth="1"/>
    <col min="7700" max="7700" width="26.109375" style="2826" customWidth="1"/>
    <col min="7701" max="7936" width="8.88671875" style="2826"/>
    <col min="7937" max="7937" width="9.44140625" style="2826" customWidth="1"/>
    <col min="7938" max="7938" width="8.88671875" style="2826"/>
    <col min="7939" max="7941" width="12.88671875" style="2826" customWidth="1"/>
    <col min="7942" max="7942" width="47.44140625" style="2826" customWidth="1"/>
    <col min="7943" max="7943" width="13" style="2826" customWidth="1"/>
    <col min="7944" max="7945" width="8.88671875" style="2826"/>
    <col min="7946" max="7946" width="5.77734375" style="2826" customWidth="1"/>
    <col min="7947" max="7947" width="11.77734375" style="2826" customWidth="1"/>
    <col min="7948" max="7949" width="10.77734375" style="2826" customWidth="1"/>
    <col min="7950" max="7950" width="10" style="2826" customWidth="1"/>
    <col min="7951" max="7952" width="10.44140625" style="2826" bestFit="1" customWidth="1"/>
    <col min="7953" max="7953" width="10" style="2826" customWidth="1"/>
    <col min="7954" max="7954" width="10.109375" style="2826" customWidth="1"/>
    <col min="7955" max="7955" width="10" style="2826" customWidth="1"/>
    <col min="7956" max="7956" width="26.109375" style="2826" customWidth="1"/>
    <col min="7957" max="8192" width="8.88671875" style="2826"/>
    <col min="8193" max="8193" width="9.44140625" style="2826" customWidth="1"/>
    <col min="8194" max="8194" width="8.88671875" style="2826"/>
    <col min="8195" max="8197" width="12.88671875" style="2826" customWidth="1"/>
    <col min="8198" max="8198" width="47.44140625" style="2826" customWidth="1"/>
    <col min="8199" max="8199" width="13" style="2826" customWidth="1"/>
    <col min="8200" max="8201" width="8.88671875" style="2826"/>
    <col min="8202" max="8202" width="5.77734375" style="2826" customWidth="1"/>
    <col min="8203" max="8203" width="11.77734375" style="2826" customWidth="1"/>
    <col min="8204" max="8205" width="10.77734375" style="2826" customWidth="1"/>
    <col min="8206" max="8206" width="10" style="2826" customWidth="1"/>
    <col min="8207" max="8208" width="10.44140625" style="2826" bestFit="1" customWidth="1"/>
    <col min="8209" max="8209" width="10" style="2826" customWidth="1"/>
    <col min="8210" max="8210" width="10.109375" style="2826" customWidth="1"/>
    <col min="8211" max="8211" width="10" style="2826" customWidth="1"/>
    <col min="8212" max="8212" width="26.109375" style="2826" customWidth="1"/>
    <col min="8213" max="8448" width="8.88671875" style="2826"/>
    <col min="8449" max="8449" width="9.44140625" style="2826" customWidth="1"/>
    <col min="8450" max="8450" width="8.88671875" style="2826"/>
    <col min="8451" max="8453" width="12.88671875" style="2826" customWidth="1"/>
    <col min="8454" max="8454" width="47.44140625" style="2826" customWidth="1"/>
    <col min="8455" max="8455" width="13" style="2826" customWidth="1"/>
    <col min="8456" max="8457" width="8.88671875" style="2826"/>
    <col min="8458" max="8458" width="5.77734375" style="2826" customWidth="1"/>
    <col min="8459" max="8459" width="11.77734375" style="2826" customWidth="1"/>
    <col min="8460" max="8461" width="10.77734375" style="2826" customWidth="1"/>
    <col min="8462" max="8462" width="10" style="2826" customWidth="1"/>
    <col min="8463" max="8464" width="10.44140625" style="2826" bestFit="1" customWidth="1"/>
    <col min="8465" max="8465" width="10" style="2826" customWidth="1"/>
    <col min="8466" max="8466" width="10.109375" style="2826" customWidth="1"/>
    <col min="8467" max="8467" width="10" style="2826" customWidth="1"/>
    <col min="8468" max="8468" width="26.109375" style="2826" customWidth="1"/>
    <col min="8469" max="8704" width="8.88671875" style="2826"/>
    <col min="8705" max="8705" width="9.44140625" style="2826" customWidth="1"/>
    <col min="8706" max="8706" width="8.88671875" style="2826"/>
    <col min="8707" max="8709" width="12.88671875" style="2826" customWidth="1"/>
    <col min="8710" max="8710" width="47.44140625" style="2826" customWidth="1"/>
    <col min="8711" max="8711" width="13" style="2826" customWidth="1"/>
    <col min="8712" max="8713" width="8.88671875" style="2826"/>
    <col min="8714" max="8714" width="5.77734375" style="2826" customWidth="1"/>
    <col min="8715" max="8715" width="11.77734375" style="2826" customWidth="1"/>
    <col min="8716" max="8717" width="10.77734375" style="2826" customWidth="1"/>
    <col min="8718" max="8718" width="10" style="2826" customWidth="1"/>
    <col min="8719" max="8720" width="10.44140625" style="2826" bestFit="1" customWidth="1"/>
    <col min="8721" max="8721" width="10" style="2826" customWidth="1"/>
    <col min="8722" max="8722" width="10.109375" style="2826" customWidth="1"/>
    <col min="8723" max="8723" width="10" style="2826" customWidth="1"/>
    <col min="8724" max="8724" width="26.109375" style="2826" customWidth="1"/>
    <col min="8725" max="8960" width="8.88671875" style="2826"/>
    <col min="8961" max="8961" width="9.44140625" style="2826" customWidth="1"/>
    <col min="8962" max="8962" width="8.88671875" style="2826"/>
    <col min="8963" max="8965" width="12.88671875" style="2826" customWidth="1"/>
    <col min="8966" max="8966" width="47.44140625" style="2826" customWidth="1"/>
    <col min="8967" max="8967" width="13" style="2826" customWidth="1"/>
    <col min="8968" max="8969" width="8.88671875" style="2826"/>
    <col min="8970" max="8970" width="5.77734375" style="2826" customWidth="1"/>
    <col min="8971" max="8971" width="11.77734375" style="2826" customWidth="1"/>
    <col min="8972" max="8973" width="10.77734375" style="2826" customWidth="1"/>
    <col min="8974" max="8974" width="10" style="2826" customWidth="1"/>
    <col min="8975" max="8976" width="10.44140625" style="2826" bestFit="1" customWidth="1"/>
    <col min="8977" max="8977" width="10" style="2826" customWidth="1"/>
    <col min="8978" max="8978" width="10.109375" style="2826" customWidth="1"/>
    <col min="8979" max="8979" width="10" style="2826" customWidth="1"/>
    <col min="8980" max="8980" width="26.109375" style="2826" customWidth="1"/>
    <col min="8981" max="9216" width="8.88671875" style="2826"/>
    <col min="9217" max="9217" width="9.44140625" style="2826" customWidth="1"/>
    <col min="9218" max="9218" width="8.88671875" style="2826"/>
    <col min="9219" max="9221" width="12.88671875" style="2826" customWidth="1"/>
    <col min="9222" max="9222" width="47.44140625" style="2826" customWidth="1"/>
    <col min="9223" max="9223" width="13" style="2826" customWidth="1"/>
    <col min="9224" max="9225" width="8.88671875" style="2826"/>
    <col min="9226" max="9226" width="5.77734375" style="2826" customWidth="1"/>
    <col min="9227" max="9227" width="11.77734375" style="2826" customWidth="1"/>
    <col min="9228" max="9229" width="10.77734375" style="2826" customWidth="1"/>
    <col min="9230" max="9230" width="10" style="2826" customWidth="1"/>
    <col min="9231" max="9232" width="10.44140625" style="2826" bestFit="1" customWidth="1"/>
    <col min="9233" max="9233" width="10" style="2826" customWidth="1"/>
    <col min="9234" max="9234" width="10.109375" style="2826" customWidth="1"/>
    <col min="9235" max="9235" width="10" style="2826" customWidth="1"/>
    <col min="9236" max="9236" width="26.109375" style="2826" customWidth="1"/>
    <col min="9237" max="9472" width="8.88671875" style="2826"/>
    <col min="9473" max="9473" width="9.44140625" style="2826" customWidth="1"/>
    <col min="9474" max="9474" width="8.88671875" style="2826"/>
    <col min="9475" max="9477" width="12.88671875" style="2826" customWidth="1"/>
    <col min="9478" max="9478" width="47.44140625" style="2826" customWidth="1"/>
    <col min="9479" max="9479" width="13" style="2826" customWidth="1"/>
    <col min="9480" max="9481" width="8.88671875" style="2826"/>
    <col min="9482" max="9482" width="5.77734375" style="2826" customWidth="1"/>
    <col min="9483" max="9483" width="11.77734375" style="2826" customWidth="1"/>
    <col min="9484" max="9485" width="10.77734375" style="2826" customWidth="1"/>
    <col min="9486" max="9486" width="10" style="2826" customWidth="1"/>
    <col min="9487" max="9488" width="10.44140625" style="2826" bestFit="1" customWidth="1"/>
    <col min="9489" max="9489" width="10" style="2826" customWidth="1"/>
    <col min="9490" max="9490" width="10.109375" style="2826" customWidth="1"/>
    <col min="9491" max="9491" width="10" style="2826" customWidth="1"/>
    <col min="9492" max="9492" width="26.109375" style="2826" customWidth="1"/>
    <col min="9493" max="9728" width="8.88671875" style="2826"/>
    <col min="9729" max="9729" width="9.44140625" style="2826" customWidth="1"/>
    <col min="9730" max="9730" width="8.88671875" style="2826"/>
    <col min="9731" max="9733" width="12.88671875" style="2826" customWidth="1"/>
    <col min="9734" max="9734" width="47.44140625" style="2826" customWidth="1"/>
    <col min="9735" max="9735" width="13" style="2826" customWidth="1"/>
    <col min="9736" max="9737" width="8.88671875" style="2826"/>
    <col min="9738" max="9738" width="5.77734375" style="2826" customWidth="1"/>
    <col min="9739" max="9739" width="11.77734375" style="2826" customWidth="1"/>
    <col min="9740" max="9741" width="10.77734375" style="2826" customWidth="1"/>
    <col min="9742" max="9742" width="10" style="2826" customWidth="1"/>
    <col min="9743" max="9744" width="10.44140625" style="2826" bestFit="1" customWidth="1"/>
    <col min="9745" max="9745" width="10" style="2826" customWidth="1"/>
    <col min="9746" max="9746" width="10.109375" style="2826" customWidth="1"/>
    <col min="9747" max="9747" width="10" style="2826" customWidth="1"/>
    <col min="9748" max="9748" width="26.109375" style="2826" customWidth="1"/>
    <col min="9749" max="9984" width="8.88671875" style="2826"/>
    <col min="9985" max="9985" width="9.44140625" style="2826" customWidth="1"/>
    <col min="9986" max="9986" width="8.88671875" style="2826"/>
    <col min="9987" max="9989" width="12.88671875" style="2826" customWidth="1"/>
    <col min="9990" max="9990" width="47.44140625" style="2826" customWidth="1"/>
    <col min="9991" max="9991" width="13" style="2826" customWidth="1"/>
    <col min="9992" max="9993" width="8.88671875" style="2826"/>
    <col min="9994" max="9994" width="5.77734375" style="2826" customWidth="1"/>
    <col min="9995" max="9995" width="11.77734375" style="2826" customWidth="1"/>
    <col min="9996" max="9997" width="10.77734375" style="2826" customWidth="1"/>
    <col min="9998" max="9998" width="10" style="2826" customWidth="1"/>
    <col min="9999" max="10000" width="10.44140625" style="2826" bestFit="1" customWidth="1"/>
    <col min="10001" max="10001" width="10" style="2826" customWidth="1"/>
    <col min="10002" max="10002" width="10.109375" style="2826" customWidth="1"/>
    <col min="10003" max="10003" width="10" style="2826" customWidth="1"/>
    <col min="10004" max="10004" width="26.109375" style="2826" customWidth="1"/>
    <col min="10005" max="10240" width="8.88671875" style="2826"/>
    <col min="10241" max="10241" width="9.44140625" style="2826" customWidth="1"/>
    <col min="10242" max="10242" width="8.88671875" style="2826"/>
    <col min="10243" max="10245" width="12.88671875" style="2826" customWidth="1"/>
    <col min="10246" max="10246" width="47.44140625" style="2826" customWidth="1"/>
    <col min="10247" max="10247" width="13" style="2826" customWidth="1"/>
    <col min="10248" max="10249" width="8.88671875" style="2826"/>
    <col min="10250" max="10250" width="5.77734375" style="2826" customWidth="1"/>
    <col min="10251" max="10251" width="11.77734375" style="2826" customWidth="1"/>
    <col min="10252" max="10253" width="10.77734375" style="2826" customWidth="1"/>
    <col min="10254" max="10254" width="10" style="2826" customWidth="1"/>
    <col min="10255" max="10256" width="10.44140625" style="2826" bestFit="1" customWidth="1"/>
    <col min="10257" max="10257" width="10" style="2826" customWidth="1"/>
    <col min="10258" max="10258" width="10.109375" style="2826" customWidth="1"/>
    <col min="10259" max="10259" width="10" style="2826" customWidth="1"/>
    <col min="10260" max="10260" width="26.109375" style="2826" customWidth="1"/>
    <col min="10261" max="10496" width="8.88671875" style="2826"/>
    <col min="10497" max="10497" width="9.44140625" style="2826" customWidth="1"/>
    <col min="10498" max="10498" width="8.88671875" style="2826"/>
    <col min="10499" max="10501" width="12.88671875" style="2826" customWidth="1"/>
    <col min="10502" max="10502" width="47.44140625" style="2826" customWidth="1"/>
    <col min="10503" max="10503" width="13" style="2826" customWidth="1"/>
    <col min="10504" max="10505" width="8.88671875" style="2826"/>
    <col min="10506" max="10506" width="5.77734375" style="2826" customWidth="1"/>
    <col min="10507" max="10507" width="11.77734375" style="2826" customWidth="1"/>
    <col min="10508" max="10509" width="10.77734375" style="2826" customWidth="1"/>
    <col min="10510" max="10510" width="10" style="2826" customWidth="1"/>
    <col min="10511" max="10512" width="10.44140625" style="2826" bestFit="1" customWidth="1"/>
    <col min="10513" max="10513" width="10" style="2826" customWidth="1"/>
    <col min="10514" max="10514" width="10.109375" style="2826" customWidth="1"/>
    <col min="10515" max="10515" width="10" style="2826" customWidth="1"/>
    <col min="10516" max="10516" width="26.109375" style="2826" customWidth="1"/>
    <col min="10517" max="10752" width="8.88671875" style="2826"/>
    <col min="10753" max="10753" width="9.44140625" style="2826" customWidth="1"/>
    <col min="10754" max="10754" width="8.88671875" style="2826"/>
    <col min="10755" max="10757" width="12.88671875" style="2826" customWidth="1"/>
    <col min="10758" max="10758" width="47.44140625" style="2826" customWidth="1"/>
    <col min="10759" max="10759" width="13" style="2826" customWidth="1"/>
    <col min="10760" max="10761" width="8.88671875" style="2826"/>
    <col min="10762" max="10762" width="5.77734375" style="2826" customWidth="1"/>
    <col min="10763" max="10763" width="11.77734375" style="2826" customWidth="1"/>
    <col min="10764" max="10765" width="10.77734375" style="2826" customWidth="1"/>
    <col min="10766" max="10766" width="10" style="2826" customWidth="1"/>
    <col min="10767" max="10768" width="10.44140625" style="2826" bestFit="1" customWidth="1"/>
    <col min="10769" max="10769" width="10" style="2826" customWidth="1"/>
    <col min="10770" max="10770" width="10.109375" style="2826" customWidth="1"/>
    <col min="10771" max="10771" width="10" style="2826" customWidth="1"/>
    <col min="10772" max="10772" width="26.109375" style="2826" customWidth="1"/>
    <col min="10773" max="11008" width="8.88671875" style="2826"/>
    <col min="11009" max="11009" width="9.44140625" style="2826" customWidth="1"/>
    <col min="11010" max="11010" width="8.88671875" style="2826"/>
    <col min="11011" max="11013" width="12.88671875" style="2826" customWidth="1"/>
    <col min="11014" max="11014" width="47.44140625" style="2826" customWidth="1"/>
    <col min="11015" max="11015" width="13" style="2826" customWidth="1"/>
    <col min="11016" max="11017" width="8.88671875" style="2826"/>
    <col min="11018" max="11018" width="5.77734375" style="2826" customWidth="1"/>
    <col min="11019" max="11019" width="11.77734375" style="2826" customWidth="1"/>
    <col min="11020" max="11021" width="10.77734375" style="2826" customWidth="1"/>
    <col min="11022" max="11022" width="10" style="2826" customWidth="1"/>
    <col min="11023" max="11024" width="10.44140625" style="2826" bestFit="1" customWidth="1"/>
    <col min="11025" max="11025" width="10" style="2826" customWidth="1"/>
    <col min="11026" max="11026" width="10.109375" style="2826" customWidth="1"/>
    <col min="11027" max="11027" width="10" style="2826" customWidth="1"/>
    <col min="11028" max="11028" width="26.109375" style="2826" customWidth="1"/>
    <col min="11029" max="11264" width="8.88671875" style="2826"/>
    <col min="11265" max="11265" width="9.44140625" style="2826" customWidth="1"/>
    <col min="11266" max="11266" width="8.88671875" style="2826"/>
    <col min="11267" max="11269" width="12.88671875" style="2826" customWidth="1"/>
    <col min="11270" max="11270" width="47.44140625" style="2826" customWidth="1"/>
    <col min="11271" max="11271" width="13" style="2826" customWidth="1"/>
    <col min="11272" max="11273" width="8.88671875" style="2826"/>
    <col min="11274" max="11274" width="5.77734375" style="2826" customWidth="1"/>
    <col min="11275" max="11275" width="11.77734375" style="2826" customWidth="1"/>
    <col min="11276" max="11277" width="10.77734375" style="2826" customWidth="1"/>
    <col min="11278" max="11278" width="10" style="2826" customWidth="1"/>
    <col min="11279" max="11280" width="10.44140625" style="2826" bestFit="1" customWidth="1"/>
    <col min="11281" max="11281" width="10" style="2826" customWidth="1"/>
    <col min="11282" max="11282" width="10.109375" style="2826" customWidth="1"/>
    <col min="11283" max="11283" width="10" style="2826" customWidth="1"/>
    <col min="11284" max="11284" width="26.109375" style="2826" customWidth="1"/>
    <col min="11285" max="11520" width="8.88671875" style="2826"/>
    <col min="11521" max="11521" width="9.44140625" style="2826" customWidth="1"/>
    <col min="11522" max="11522" width="8.88671875" style="2826"/>
    <col min="11523" max="11525" width="12.88671875" style="2826" customWidth="1"/>
    <col min="11526" max="11526" width="47.44140625" style="2826" customWidth="1"/>
    <col min="11527" max="11527" width="13" style="2826" customWidth="1"/>
    <col min="11528" max="11529" width="8.88671875" style="2826"/>
    <col min="11530" max="11530" width="5.77734375" style="2826" customWidth="1"/>
    <col min="11531" max="11531" width="11.77734375" style="2826" customWidth="1"/>
    <col min="11532" max="11533" width="10.77734375" style="2826" customWidth="1"/>
    <col min="11534" max="11534" width="10" style="2826" customWidth="1"/>
    <col min="11535" max="11536" width="10.44140625" style="2826" bestFit="1" customWidth="1"/>
    <col min="11537" max="11537" width="10" style="2826" customWidth="1"/>
    <col min="11538" max="11538" width="10.109375" style="2826" customWidth="1"/>
    <col min="11539" max="11539" width="10" style="2826" customWidth="1"/>
    <col min="11540" max="11540" width="26.109375" style="2826" customWidth="1"/>
    <col min="11541" max="11776" width="8.88671875" style="2826"/>
    <col min="11777" max="11777" width="9.44140625" style="2826" customWidth="1"/>
    <col min="11778" max="11778" width="8.88671875" style="2826"/>
    <col min="11779" max="11781" width="12.88671875" style="2826" customWidth="1"/>
    <col min="11782" max="11782" width="47.44140625" style="2826" customWidth="1"/>
    <col min="11783" max="11783" width="13" style="2826" customWidth="1"/>
    <col min="11784" max="11785" width="8.88671875" style="2826"/>
    <col min="11786" max="11786" width="5.77734375" style="2826" customWidth="1"/>
    <col min="11787" max="11787" width="11.77734375" style="2826" customWidth="1"/>
    <col min="11788" max="11789" width="10.77734375" style="2826" customWidth="1"/>
    <col min="11790" max="11790" width="10" style="2826" customWidth="1"/>
    <col min="11791" max="11792" width="10.44140625" style="2826" bestFit="1" customWidth="1"/>
    <col min="11793" max="11793" width="10" style="2826" customWidth="1"/>
    <col min="11794" max="11794" width="10.109375" style="2826" customWidth="1"/>
    <col min="11795" max="11795" width="10" style="2826" customWidth="1"/>
    <col min="11796" max="11796" width="26.109375" style="2826" customWidth="1"/>
    <col min="11797" max="12032" width="8.88671875" style="2826"/>
    <col min="12033" max="12033" width="9.44140625" style="2826" customWidth="1"/>
    <col min="12034" max="12034" width="8.88671875" style="2826"/>
    <col min="12035" max="12037" width="12.88671875" style="2826" customWidth="1"/>
    <col min="12038" max="12038" width="47.44140625" style="2826" customWidth="1"/>
    <col min="12039" max="12039" width="13" style="2826" customWidth="1"/>
    <col min="12040" max="12041" width="8.88671875" style="2826"/>
    <col min="12042" max="12042" width="5.77734375" style="2826" customWidth="1"/>
    <col min="12043" max="12043" width="11.77734375" style="2826" customWidth="1"/>
    <col min="12044" max="12045" width="10.77734375" style="2826" customWidth="1"/>
    <col min="12046" max="12046" width="10" style="2826" customWidth="1"/>
    <col min="12047" max="12048" width="10.44140625" style="2826" bestFit="1" customWidth="1"/>
    <col min="12049" max="12049" width="10" style="2826" customWidth="1"/>
    <col min="12050" max="12050" width="10.109375" style="2826" customWidth="1"/>
    <col min="12051" max="12051" width="10" style="2826" customWidth="1"/>
    <col min="12052" max="12052" width="26.109375" style="2826" customWidth="1"/>
    <col min="12053" max="12288" width="8.88671875" style="2826"/>
    <col min="12289" max="12289" width="9.44140625" style="2826" customWidth="1"/>
    <col min="12290" max="12290" width="8.88671875" style="2826"/>
    <col min="12291" max="12293" width="12.88671875" style="2826" customWidth="1"/>
    <col min="12294" max="12294" width="47.44140625" style="2826" customWidth="1"/>
    <col min="12295" max="12295" width="13" style="2826" customWidth="1"/>
    <col min="12296" max="12297" width="8.88671875" style="2826"/>
    <col min="12298" max="12298" width="5.77734375" style="2826" customWidth="1"/>
    <col min="12299" max="12299" width="11.77734375" style="2826" customWidth="1"/>
    <col min="12300" max="12301" width="10.77734375" style="2826" customWidth="1"/>
    <col min="12302" max="12302" width="10" style="2826" customWidth="1"/>
    <col min="12303" max="12304" width="10.44140625" style="2826" bestFit="1" customWidth="1"/>
    <col min="12305" max="12305" width="10" style="2826" customWidth="1"/>
    <col min="12306" max="12306" width="10.109375" style="2826" customWidth="1"/>
    <col min="12307" max="12307" width="10" style="2826" customWidth="1"/>
    <col min="12308" max="12308" width="26.109375" style="2826" customWidth="1"/>
    <col min="12309" max="12544" width="8.88671875" style="2826"/>
    <col min="12545" max="12545" width="9.44140625" style="2826" customWidth="1"/>
    <col min="12546" max="12546" width="8.88671875" style="2826"/>
    <col min="12547" max="12549" width="12.88671875" style="2826" customWidth="1"/>
    <col min="12550" max="12550" width="47.44140625" style="2826" customWidth="1"/>
    <col min="12551" max="12551" width="13" style="2826" customWidth="1"/>
    <col min="12552" max="12553" width="8.88671875" style="2826"/>
    <col min="12554" max="12554" width="5.77734375" style="2826" customWidth="1"/>
    <col min="12555" max="12555" width="11.77734375" style="2826" customWidth="1"/>
    <col min="12556" max="12557" width="10.77734375" style="2826" customWidth="1"/>
    <col min="12558" max="12558" width="10" style="2826" customWidth="1"/>
    <col min="12559" max="12560" width="10.44140625" style="2826" bestFit="1" customWidth="1"/>
    <col min="12561" max="12561" width="10" style="2826" customWidth="1"/>
    <col min="12562" max="12562" width="10.109375" style="2826" customWidth="1"/>
    <col min="12563" max="12563" width="10" style="2826" customWidth="1"/>
    <col min="12564" max="12564" width="26.109375" style="2826" customWidth="1"/>
    <col min="12565" max="12800" width="8.88671875" style="2826"/>
    <col min="12801" max="12801" width="9.44140625" style="2826" customWidth="1"/>
    <col min="12802" max="12802" width="8.88671875" style="2826"/>
    <col min="12803" max="12805" width="12.88671875" style="2826" customWidth="1"/>
    <col min="12806" max="12806" width="47.44140625" style="2826" customWidth="1"/>
    <col min="12807" max="12807" width="13" style="2826" customWidth="1"/>
    <col min="12808" max="12809" width="8.88671875" style="2826"/>
    <col min="12810" max="12810" width="5.77734375" style="2826" customWidth="1"/>
    <col min="12811" max="12811" width="11.77734375" style="2826" customWidth="1"/>
    <col min="12812" max="12813" width="10.77734375" style="2826" customWidth="1"/>
    <col min="12814" max="12814" width="10" style="2826" customWidth="1"/>
    <col min="12815" max="12816" width="10.44140625" style="2826" bestFit="1" customWidth="1"/>
    <col min="12817" max="12817" width="10" style="2826" customWidth="1"/>
    <col min="12818" max="12818" width="10.109375" style="2826" customWidth="1"/>
    <col min="12819" max="12819" width="10" style="2826" customWidth="1"/>
    <col min="12820" max="12820" width="26.109375" style="2826" customWidth="1"/>
    <col min="12821" max="13056" width="8.88671875" style="2826"/>
    <col min="13057" max="13057" width="9.44140625" style="2826" customWidth="1"/>
    <col min="13058" max="13058" width="8.88671875" style="2826"/>
    <col min="13059" max="13061" width="12.88671875" style="2826" customWidth="1"/>
    <col min="13062" max="13062" width="47.44140625" style="2826" customWidth="1"/>
    <col min="13063" max="13063" width="13" style="2826" customWidth="1"/>
    <col min="13064" max="13065" width="8.88671875" style="2826"/>
    <col min="13066" max="13066" width="5.77734375" style="2826" customWidth="1"/>
    <col min="13067" max="13067" width="11.77734375" style="2826" customWidth="1"/>
    <col min="13068" max="13069" width="10.77734375" style="2826" customWidth="1"/>
    <col min="13070" max="13070" width="10" style="2826" customWidth="1"/>
    <col min="13071" max="13072" width="10.44140625" style="2826" bestFit="1" customWidth="1"/>
    <col min="13073" max="13073" width="10" style="2826" customWidth="1"/>
    <col min="13074" max="13074" width="10.109375" style="2826" customWidth="1"/>
    <col min="13075" max="13075" width="10" style="2826" customWidth="1"/>
    <col min="13076" max="13076" width="26.109375" style="2826" customWidth="1"/>
    <col min="13077" max="13312" width="8.88671875" style="2826"/>
    <col min="13313" max="13313" width="9.44140625" style="2826" customWidth="1"/>
    <col min="13314" max="13314" width="8.88671875" style="2826"/>
    <col min="13315" max="13317" width="12.88671875" style="2826" customWidth="1"/>
    <col min="13318" max="13318" width="47.44140625" style="2826" customWidth="1"/>
    <col min="13319" max="13319" width="13" style="2826" customWidth="1"/>
    <col min="13320" max="13321" width="8.88671875" style="2826"/>
    <col min="13322" max="13322" width="5.77734375" style="2826" customWidth="1"/>
    <col min="13323" max="13323" width="11.77734375" style="2826" customWidth="1"/>
    <col min="13324" max="13325" width="10.77734375" style="2826" customWidth="1"/>
    <col min="13326" max="13326" width="10" style="2826" customWidth="1"/>
    <col min="13327" max="13328" width="10.44140625" style="2826" bestFit="1" customWidth="1"/>
    <col min="13329" max="13329" width="10" style="2826" customWidth="1"/>
    <col min="13330" max="13330" width="10.109375" style="2826" customWidth="1"/>
    <col min="13331" max="13331" width="10" style="2826" customWidth="1"/>
    <col min="13332" max="13332" width="26.109375" style="2826" customWidth="1"/>
    <col min="13333" max="13568" width="8.88671875" style="2826"/>
    <col min="13569" max="13569" width="9.44140625" style="2826" customWidth="1"/>
    <col min="13570" max="13570" width="8.88671875" style="2826"/>
    <col min="13571" max="13573" width="12.88671875" style="2826" customWidth="1"/>
    <col min="13574" max="13574" width="47.44140625" style="2826" customWidth="1"/>
    <col min="13575" max="13575" width="13" style="2826" customWidth="1"/>
    <col min="13576" max="13577" width="8.88671875" style="2826"/>
    <col min="13578" max="13578" width="5.77734375" style="2826" customWidth="1"/>
    <col min="13579" max="13579" width="11.77734375" style="2826" customWidth="1"/>
    <col min="13580" max="13581" width="10.77734375" style="2826" customWidth="1"/>
    <col min="13582" max="13582" width="10" style="2826" customWidth="1"/>
    <col min="13583" max="13584" width="10.44140625" style="2826" bestFit="1" customWidth="1"/>
    <col min="13585" max="13585" width="10" style="2826" customWidth="1"/>
    <col min="13586" max="13586" width="10.109375" style="2826" customWidth="1"/>
    <col min="13587" max="13587" width="10" style="2826" customWidth="1"/>
    <col min="13588" max="13588" width="26.109375" style="2826" customWidth="1"/>
    <col min="13589" max="13824" width="8.88671875" style="2826"/>
    <col min="13825" max="13825" width="9.44140625" style="2826" customWidth="1"/>
    <col min="13826" max="13826" width="8.88671875" style="2826"/>
    <col min="13827" max="13829" width="12.88671875" style="2826" customWidth="1"/>
    <col min="13830" max="13830" width="47.44140625" style="2826" customWidth="1"/>
    <col min="13831" max="13831" width="13" style="2826" customWidth="1"/>
    <col min="13832" max="13833" width="8.88671875" style="2826"/>
    <col min="13834" max="13834" width="5.77734375" style="2826" customWidth="1"/>
    <col min="13835" max="13835" width="11.77734375" style="2826" customWidth="1"/>
    <col min="13836" max="13837" width="10.77734375" style="2826" customWidth="1"/>
    <col min="13838" max="13838" width="10" style="2826" customWidth="1"/>
    <col min="13839" max="13840" width="10.44140625" style="2826" bestFit="1" customWidth="1"/>
    <col min="13841" max="13841" width="10" style="2826" customWidth="1"/>
    <col min="13842" max="13842" width="10.109375" style="2826" customWidth="1"/>
    <col min="13843" max="13843" width="10" style="2826" customWidth="1"/>
    <col min="13844" max="13844" width="26.109375" style="2826" customWidth="1"/>
    <col min="13845" max="14080" width="8.88671875" style="2826"/>
    <col min="14081" max="14081" width="9.44140625" style="2826" customWidth="1"/>
    <col min="14082" max="14082" width="8.88671875" style="2826"/>
    <col min="14083" max="14085" width="12.88671875" style="2826" customWidth="1"/>
    <col min="14086" max="14086" width="47.44140625" style="2826" customWidth="1"/>
    <col min="14087" max="14087" width="13" style="2826" customWidth="1"/>
    <col min="14088" max="14089" width="8.88671875" style="2826"/>
    <col min="14090" max="14090" width="5.77734375" style="2826" customWidth="1"/>
    <col min="14091" max="14091" width="11.77734375" style="2826" customWidth="1"/>
    <col min="14092" max="14093" width="10.77734375" style="2826" customWidth="1"/>
    <col min="14094" max="14094" width="10" style="2826" customWidth="1"/>
    <col min="14095" max="14096" width="10.44140625" style="2826" bestFit="1" customWidth="1"/>
    <col min="14097" max="14097" width="10" style="2826" customWidth="1"/>
    <col min="14098" max="14098" width="10.109375" style="2826" customWidth="1"/>
    <col min="14099" max="14099" width="10" style="2826" customWidth="1"/>
    <col min="14100" max="14100" width="26.109375" style="2826" customWidth="1"/>
    <col min="14101" max="14336" width="8.88671875" style="2826"/>
    <col min="14337" max="14337" width="9.44140625" style="2826" customWidth="1"/>
    <col min="14338" max="14338" width="8.88671875" style="2826"/>
    <col min="14339" max="14341" width="12.88671875" style="2826" customWidth="1"/>
    <col min="14342" max="14342" width="47.44140625" style="2826" customWidth="1"/>
    <col min="14343" max="14343" width="13" style="2826" customWidth="1"/>
    <col min="14344" max="14345" width="8.88671875" style="2826"/>
    <col min="14346" max="14346" width="5.77734375" style="2826" customWidth="1"/>
    <col min="14347" max="14347" width="11.77734375" style="2826" customWidth="1"/>
    <col min="14348" max="14349" width="10.77734375" style="2826" customWidth="1"/>
    <col min="14350" max="14350" width="10" style="2826" customWidth="1"/>
    <col min="14351" max="14352" width="10.44140625" style="2826" bestFit="1" customWidth="1"/>
    <col min="14353" max="14353" width="10" style="2826" customWidth="1"/>
    <col min="14354" max="14354" width="10.109375" style="2826" customWidth="1"/>
    <col min="14355" max="14355" width="10" style="2826" customWidth="1"/>
    <col min="14356" max="14356" width="26.109375" style="2826" customWidth="1"/>
    <col min="14357" max="14592" width="8.88671875" style="2826"/>
    <col min="14593" max="14593" width="9.44140625" style="2826" customWidth="1"/>
    <col min="14594" max="14594" width="8.88671875" style="2826"/>
    <col min="14595" max="14597" width="12.88671875" style="2826" customWidth="1"/>
    <col min="14598" max="14598" width="47.44140625" style="2826" customWidth="1"/>
    <col min="14599" max="14599" width="13" style="2826" customWidth="1"/>
    <col min="14600" max="14601" width="8.88671875" style="2826"/>
    <col min="14602" max="14602" width="5.77734375" style="2826" customWidth="1"/>
    <col min="14603" max="14603" width="11.77734375" style="2826" customWidth="1"/>
    <col min="14604" max="14605" width="10.77734375" style="2826" customWidth="1"/>
    <col min="14606" max="14606" width="10" style="2826" customWidth="1"/>
    <col min="14607" max="14608" width="10.44140625" style="2826" bestFit="1" customWidth="1"/>
    <col min="14609" max="14609" width="10" style="2826" customWidth="1"/>
    <col min="14610" max="14610" width="10.109375" style="2826" customWidth="1"/>
    <col min="14611" max="14611" width="10" style="2826" customWidth="1"/>
    <col min="14612" max="14612" width="26.109375" style="2826" customWidth="1"/>
    <col min="14613" max="14848" width="8.88671875" style="2826"/>
    <col min="14849" max="14849" width="9.44140625" style="2826" customWidth="1"/>
    <col min="14850" max="14850" width="8.88671875" style="2826"/>
    <col min="14851" max="14853" width="12.88671875" style="2826" customWidth="1"/>
    <col min="14854" max="14854" width="47.44140625" style="2826" customWidth="1"/>
    <col min="14855" max="14855" width="13" style="2826" customWidth="1"/>
    <col min="14856" max="14857" width="8.88671875" style="2826"/>
    <col min="14858" max="14858" width="5.77734375" style="2826" customWidth="1"/>
    <col min="14859" max="14859" width="11.77734375" style="2826" customWidth="1"/>
    <col min="14860" max="14861" width="10.77734375" style="2826" customWidth="1"/>
    <col min="14862" max="14862" width="10" style="2826" customWidth="1"/>
    <col min="14863" max="14864" width="10.44140625" style="2826" bestFit="1" customWidth="1"/>
    <col min="14865" max="14865" width="10" style="2826" customWidth="1"/>
    <col min="14866" max="14866" width="10.109375" style="2826" customWidth="1"/>
    <col min="14867" max="14867" width="10" style="2826" customWidth="1"/>
    <col min="14868" max="14868" width="26.109375" style="2826" customWidth="1"/>
    <col min="14869" max="15104" width="8.88671875" style="2826"/>
    <col min="15105" max="15105" width="9.44140625" style="2826" customWidth="1"/>
    <col min="15106" max="15106" width="8.88671875" style="2826"/>
    <col min="15107" max="15109" width="12.88671875" style="2826" customWidth="1"/>
    <col min="15110" max="15110" width="47.44140625" style="2826" customWidth="1"/>
    <col min="15111" max="15111" width="13" style="2826" customWidth="1"/>
    <col min="15112" max="15113" width="8.88671875" style="2826"/>
    <col min="15114" max="15114" width="5.77734375" style="2826" customWidth="1"/>
    <col min="15115" max="15115" width="11.77734375" style="2826" customWidth="1"/>
    <col min="15116" max="15117" width="10.77734375" style="2826" customWidth="1"/>
    <col min="15118" max="15118" width="10" style="2826" customWidth="1"/>
    <col min="15119" max="15120" width="10.44140625" style="2826" bestFit="1" customWidth="1"/>
    <col min="15121" max="15121" width="10" style="2826" customWidth="1"/>
    <col min="15122" max="15122" width="10.109375" style="2826" customWidth="1"/>
    <col min="15123" max="15123" width="10" style="2826" customWidth="1"/>
    <col min="15124" max="15124" width="26.109375" style="2826" customWidth="1"/>
    <col min="15125" max="15360" width="8.88671875" style="2826"/>
    <col min="15361" max="15361" width="9.44140625" style="2826" customWidth="1"/>
    <col min="15362" max="15362" width="8.88671875" style="2826"/>
    <col min="15363" max="15365" width="12.88671875" style="2826" customWidth="1"/>
    <col min="15366" max="15366" width="47.44140625" style="2826" customWidth="1"/>
    <col min="15367" max="15367" width="13" style="2826" customWidth="1"/>
    <col min="15368" max="15369" width="8.88671875" style="2826"/>
    <col min="15370" max="15370" width="5.77734375" style="2826" customWidth="1"/>
    <col min="15371" max="15371" width="11.77734375" style="2826" customWidth="1"/>
    <col min="15372" max="15373" width="10.77734375" style="2826" customWidth="1"/>
    <col min="15374" max="15374" width="10" style="2826" customWidth="1"/>
    <col min="15375" max="15376" width="10.44140625" style="2826" bestFit="1" customWidth="1"/>
    <col min="15377" max="15377" width="10" style="2826" customWidth="1"/>
    <col min="15378" max="15378" width="10.109375" style="2826" customWidth="1"/>
    <col min="15379" max="15379" width="10" style="2826" customWidth="1"/>
    <col min="15380" max="15380" width="26.109375" style="2826" customWidth="1"/>
    <col min="15381" max="15616" width="8.88671875" style="2826"/>
    <col min="15617" max="15617" width="9.44140625" style="2826" customWidth="1"/>
    <col min="15618" max="15618" width="8.88671875" style="2826"/>
    <col min="15619" max="15621" width="12.88671875" style="2826" customWidth="1"/>
    <col min="15622" max="15622" width="47.44140625" style="2826" customWidth="1"/>
    <col min="15623" max="15623" width="13" style="2826" customWidth="1"/>
    <col min="15624" max="15625" width="8.88671875" style="2826"/>
    <col min="15626" max="15626" width="5.77734375" style="2826" customWidth="1"/>
    <col min="15627" max="15627" width="11.77734375" style="2826" customWidth="1"/>
    <col min="15628" max="15629" width="10.77734375" style="2826" customWidth="1"/>
    <col min="15630" max="15630" width="10" style="2826" customWidth="1"/>
    <col min="15631" max="15632" width="10.44140625" style="2826" bestFit="1" customWidth="1"/>
    <col min="15633" max="15633" width="10" style="2826" customWidth="1"/>
    <col min="15634" max="15634" width="10.109375" style="2826" customWidth="1"/>
    <col min="15635" max="15635" width="10" style="2826" customWidth="1"/>
    <col min="15636" max="15636" width="26.109375" style="2826" customWidth="1"/>
    <col min="15637" max="15872" width="8.88671875" style="2826"/>
    <col min="15873" max="15873" width="9.44140625" style="2826" customWidth="1"/>
    <col min="15874" max="15874" width="8.88671875" style="2826"/>
    <col min="15875" max="15877" width="12.88671875" style="2826" customWidth="1"/>
    <col min="15878" max="15878" width="47.44140625" style="2826" customWidth="1"/>
    <col min="15879" max="15879" width="13" style="2826" customWidth="1"/>
    <col min="15880" max="15881" width="8.88671875" style="2826"/>
    <col min="15882" max="15882" width="5.77734375" style="2826" customWidth="1"/>
    <col min="15883" max="15883" width="11.77734375" style="2826" customWidth="1"/>
    <col min="15884" max="15885" width="10.77734375" style="2826" customWidth="1"/>
    <col min="15886" max="15886" width="10" style="2826" customWidth="1"/>
    <col min="15887" max="15888" width="10.44140625" style="2826" bestFit="1" customWidth="1"/>
    <col min="15889" max="15889" width="10" style="2826" customWidth="1"/>
    <col min="15890" max="15890" width="10.109375" style="2826" customWidth="1"/>
    <col min="15891" max="15891" width="10" style="2826" customWidth="1"/>
    <col min="15892" max="15892" width="26.109375" style="2826" customWidth="1"/>
    <col min="15893" max="16128" width="8.88671875" style="2826"/>
    <col min="16129" max="16129" width="9.44140625" style="2826" customWidth="1"/>
    <col min="16130" max="16130" width="8.88671875" style="2826"/>
    <col min="16131" max="16133" width="12.88671875" style="2826" customWidth="1"/>
    <col min="16134" max="16134" width="47.44140625" style="2826" customWidth="1"/>
    <col min="16135" max="16135" width="13" style="2826" customWidth="1"/>
    <col min="16136" max="16137" width="8.88671875" style="2826"/>
    <col min="16138" max="16138" width="5.77734375" style="2826" customWidth="1"/>
    <col min="16139" max="16139" width="11.77734375" style="2826" customWidth="1"/>
    <col min="16140" max="16141" width="10.77734375" style="2826" customWidth="1"/>
    <col min="16142" max="16142" width="10" style="2826" customWidth="1"/>
    <col min="16143" max="16144" width="10.44140625" style="2826" bestFit="1" customWidth="1"/>
    <col min="16145" max="16145" width="10" style="2826" customWidth="1"/>
    <col min="16146" max="16146" width="10.109375" style="2826" customWidth="1"/>
    <col min="16147" max="16147" width="10" style="2826" customWidth="1"/>
    <col min="16148" max="16148" width="26.109375" style="2826" customWidth="1"/>
    <col min="16149" max="16384" width="8.88671875" style="2826"/>
  </cols>
  <sheetData>
    <row r="1" spans="1:22" ht="21" customHeight="1">
      <c r="A1" s="2815" t="s">
        <v>2440</v>
      </c>
      <c r="B1" s="2816"/>
      <c r="C1" s="2829"/>
      <c r="D1" s="2829"/>
      <c r="E1" s="2817"/>
      <c r="F1" s="2818"/>
      <c r="G1" s="2819"/>
      <c r="J1" s="2822" t="s">
        <v>2297</v>
      </c>
      <c r="K1" s="2823"/>
      <c r="L1" s="2823"/>
      <c r="M1" s="2823"/>
      <c r="N1" s="2823"/>
      <c r="O1" s="2823"/>
      <c r="P1" s="2823"/>
      <c r="Q1" s="2823"/>
      <c r="R1" s="2824"/>
      <c r="S1" s="2825"/>
      <c r="T1" s="2825"/>
      <c r="U1" s="2825"/>
    </row>
    <row r="2" spans="1:22" s="2838" customFormat="1" ht="13.2" customHeight="1">
      <c r="A2" s="2827" t="s">
        <v>2298</v>
      </c>
      <c r="B2" s="2828" t="e">
        <f>C40</f>
        <v>#DIV/0!</v>
      </c>
      <c r="C2" s="2829" t="s">
        <v>2299</v>
      </c>
      <c r="D2" s="2829"/>
      <c r="E2" s="2830"/>
      <c r="F2" s="2831"/>
      <c r="G2" s="2832"/>
      <c r="H2" s="2833"/>
      <c r="I2" s="2834"/>
      <c r="J2" s="3725" t="s">
        <v>2300</v>
      </c>
      <c r="K2" s="3726"/>
      <c r="L2" s="2835" t="s">
        <v>2301</v>
      </c>
      <c r="M2" s="2835" t="s">
        <v>2302</v>
      </c>
      <c r="N2" s="2835" t="s">
        <v>2303</v>
      </c>
      <c r="O2" s="2835" t="s">
        <v>2304</v>
      </c>
      <c r="P2" s="2835" t="s">
        <v>2305</v>
      </c>
      <c r="Q2" s="2836" t="s">
        <v>2306</v>
      </c>
      <c r="R2" s="2837" t="s">
        <v>2307</v>
      </c>
      <c r="S2" s="2825"/>
      <c r="T2" s="2825"/>
      <c r="U2" s="2825"/>
      <c r="V2" s="2834"/>
    </row>
    <row r="3" spans="1:22" s="2838" customFormat="1" ht="13.2" customHeight="1">
      <c r="A3" s="2839" t="s">
        <v>2308</v>
      </c>
      <c r="B3" s="2840" t="e">
        <f>ROUND(B2*10000/B4,0)</f>
        <v>#DIV/0!</v>
      </c>
      <c r="C3" s="2829" t="s">
        <v>2309</v>
      </c>
      <c r="D3" s="2829"/>
      <c r="E3" s="2830"/>
      <c r="F3" s="2831"/>
      <c r="G3" s="2832"/>
      <c r="H3" s="2833"/>
      <c r="I3" s="2834"/>
      <c r="J3" s="3727" t="s">
        <v>2310</v>
      </c>
      <c r="K3" s="3728"/>
      <c r="L3" s="2841"/>
      <c r="M3" s="2841"/>
      <c r="N3" s="2841"/>
      <c r="O3" s="2841"/>
      <c r="P3" s="2841"/>
      <c r="Q3" s="2842"/>
      <c r="R3" s="2843">
        <f>SUM(L3:Q3)</f>
        <v>0</v>
      </c>
      <c r="S3" s="2825"/>
      <c r="T3" s="2825"/>
      <c r="U3" s="2825"/>
      <c r="V3" s="2834"/>
    </row>
    <row r="4" spans="1:22" s="2838" customFormat="1" ht="13.2" customHeight="1">
      <c r="A4" s="2844" t="s">
        <v>2311</v>
      </c>
      <c r="B4" s="2845"/>
      <c r="C4" s="2829"/>
      <c r="D4" s="2829"/>
      <c r="E4" s="2830"/>
      <c r="F4" s="2831"/>
      <c r="G4" s="2832"/>
      <c r="H4" s="2833"/>
      <c r="I4" s="2834"/>
      <c r="J4" s="3727" t="s">
        <v>2312</v>
      </c>
      <c r="K4" s="3728"/>
      <c r="L4" s="2846"/>
      <c r="M4" s="2846"/>
      <c r="N4" s="2846"/>
      <c r="O4" s="2846"/>
      <c r="P4" s="2846"/>
      <c r="Q4" s="2847"/>
      <c r="R4" s="2848">
        <f>SUM(L4:Q4)</f>
        <v>0</v>
      </c>
      <c r="S4" s="2825"/>
      <c r="T4" s="2825"/>
      <c r="U4" s="2825"/>
      <c r="V4" s="2834"/>
    </row>
    <row r="5" spans="1:22" s="2838" customFormat="1" ht="13.2" customHeight="1" thickBot="1">
      <c r="A5" s="2849" t="s">
        <v>2313</v>
      </c>
      <c r="B5" s="2850"/>
      <c r="C5" s="2829"/>
      <c r="D5" s="2851"/>
      <c r="E5" s="2831"/>
      <c r="F5" s="2831"/>
      <c r="G5" s="2832"/>
      <c r="H5" s="2833"/>
      <c r="I5" s="2834"/>
      <c r="J5" s="2852" t="s">
        <v>2314</v>
      </c>
      <c r="K5" s="2853"/>
      <c r="L5" s="2853"/>
      <c r="M5" s="2854"/>
      <c r="N5" s="2854"/>
      <c r="O5" s="2854"/>
      <c r="P5" s="2854"/>
      <c r="Q5" s="2854"/>
      <c r="R5" s="2837">
        <f>SUM(R14,R19,R24,R25,R27,R28)</f>
        <v>0</v>
      </c>
      <c r="S5" s="2825"/>
      <c r="T5" s="2825" t="s">
        <v>2315</v>
      </c>
      <c r="U5" s="2825" t="e">
        <f>ROUND(R5*10000/365/R3,1)</f>
        <v>#DIV/0!</v>
      </c>
      <c r="V5" s="2834"/>
    </row>
    <row r="6" spans="1:22" s="2838" customFormat="1" ht="13.2" customHeight="1" thickBot="1">
      <c r="A6" s="3733" t="s">
        <v>2316</v>
      </c>
      <c r="B6" s="3734"/>
      <c r="C6" s="3735"/>
      <c r="D6" s="2855"/>
      <c r="E6" s="2856"/>
      <c r="F6" s="2857"/>
      <c r="G6" s="2858"/>
      <c r="H6" s="2833"/>
      <c r="I6" s="2834"/>
      <c r="J6" s="3719">
        <v>1</v>
      </c>
      <c r="K6" s="3720" t="s">
        <v>2317</v>
      </c>
      <c r="L6" s="2859" t="s">
        <v>2318</v>
      </c>
      <c r="M6" s="2860" t="s">
        <v>2319</v>
      </c>
      <c r="N6" s="2860" t="s">
        <v>2320</v>
      </c>
      <c r="O6" s="2860" t="s">
        <v>2321</v>
      </c>
      <c r="P6" s="2860" t="s">
        <v>2322</v>
      </c>
      <c r="Q6" s="2860" t="s">
        <v>2323</v>
      </c>
      <c r="R6" s="2843" t="s">
        <v>2324</v>
      </c>
      <c r="S6" s="2825"/>
      <c r="T6" s="2825" t="s">
        <v>2325</v>
      </c>
      <c r="U6" s="2825"/>
      <c r="V6" s="2834"/>
    </row>
    <row r="7" spans="1:22" s="2838" customFormat="1" ht="13.2" customHeight="1">
      <c r="A7" s="2861" t="s">
        <v>2326</v>
      </c>
      <c r="B7" s="2862"/>
      <c r="C7" s="2863"/>
      <c r="D7" s="2864">
        <f>SUM(D9,D10,D11,D17,0)</f>
        <v>0</v>
      </c>
      <c r="E7" s="2865" t="e">
        <f>E9+E10+E11+E17</f>
        <v>#DIV/0!</v>
      </c>
      <c r="F7" s="2866"/>
      <c r="G7" s="2867"/>
      <c r="H7" s="2833"/>
      <c r="I7" s="2834"/>
      <c r="J7" s="3719"/>
      <c r="K7" s="3721"/>
      <c r="L7" s="2868" t="s">
        <v>2327</v>
      </c>
      <c r="M7" s="2869"/>
      <c r="N7" s="2845"/>
      <c r="O7" s="2870"/>
      <c r="P7" s="2870"/>
      <c r="Q7" s="2871">
        <v>365</v>
      </c>
      <c r="R7" s="2872">
        <f>ROUND(M7*N7*O7*P7*Q7/10000,0)</f>
        <v>0</v>
      </c>
      <c r="S7" s="2825"/>
      <c r="T7" s="2825" t="s">
        <v>2328</v>
      </c>
      <c r="U7" s="2825"/>
      <c r="V7" s="2834"/>
    </row>
    <row r="8" spans="1:22" s="2838" customFormat="1" ht="13.2" customHeight="1">
      <c r="A8" s="2873" t="s">
        <v>2329</v>
      </c>
      <c r="B8" s="3736" t="s">
        <v>2330</v>
      </c>
      <c r="C8" s="3737"/>
      <c r="D8" s="2874" t="s">
        <v>2331</v>
      </c>
      <c r="E8" s="2875" t="s">
        <v>2332</v>
      </c>
      <c r="F8" s="2876" t="s">
        <v>2333</v>
      </c>
      <c r="G8" s="2877"/>
      <c r="H8" s="2833"/>
      <c r="I8" s="2834"/>
      <c r="J8" s="3719"/>
      <c r="K8" s="3721"/>
      <c r="L8" s="2868" t="s">
        <v>2334</v>
      </c>
      <c r="M8" s="2869"/>
      <c r="N8" s="2845"/>
      <c r="O8" s="2870"/>
      <c r="P8" s="2870"/>
      <c r="Q8" s="2871">
        <v>365</v>
      </c>
      <c r="R8" s="2872">
        <f t="shared" ref="R8:R13" si="0">ROUND(M8*N8*O8*P8*Q8/10000,0)</f>
        <v>0</v>
      </c>
      <c r="S8" s="2825"/>
      <c r="T8" s="2825" t="s">
        <v>2335</v>
      </c>
      <c r="U8" s="2825"/>
      <c r="V8" s="2834"/>
    </row>
    <row r="9" spans="1:22" s="2838" customFormat="1" ht="13.2" customHeight="1">
      <c r="A9" s="2873">
        <v>1</v>
      </c>
      <c r="B9" s="3736" t="s">
        <v>2336</v>
      </c>
      <c r="C9" s="3737"/>
      <c r="D9" s="2874">
        <f>ROUND(D6*E9,0)</f>
        <v>0</v>
      </c>
      <c r="E9" s="2878"/>
      <c r="F9" s="2879" t="s">
        <v>2337</v>
      </c>
      <c r="G9" s="2858"/>
      <c r="H9" s="2833"/>
      <c r="I9" s="2834"/>
      <c r="J9" s="3719"/>
      <c r="K9" s="3721"/>
      <c r="L9" s="2868" t="s">
        <v>2338</v>
      </c>
      <c r="M9" s="2869"/>
      <c r="N9" s="2845"/>
      <c r="O9" s="2870"/>
      <c r="P9" s="2870"/>
      <c r="Q9" s="2871">
        <v>365</v>
      </c>
      <c r="R9" s="2872">
        <f t="shared" si="0"/>
        <v>0</v>
      </c>
      <c r="S9" s="2825"/>
      <c r="T9" s="2825"/>
      <c r="U9" s="2825"/>
      <c r="V9" s="2834"/>
    </row>
    <row r="10" spans="1:22" s="2838" customFormat="1" ht="13.2" customHeight="1">
      <c r="A10" s="2873">
        <v>2</v>
      </c>
      <c r="B10" s="3736" t="s">
        <v>2339</v>
      </c>
      <c r="C10" s="3737"/>
      <c r="D10" s="2874">
        <f>ROUND(D6*E10,0)</f>
        <v>0</v>
      </c>
      <c r="E10" s="2878"/>
      <c r="F10" s="2879" t="s">
        <v>2340</v>
      </c>
      <c r="G10" s="2858"/>
      <c r="H10" s="2833"/>
      <c r="I10" s="2834"/>
      <c r="J10" s="3719"/>
      <c r="K10" s="3721"/>
      <c r="L10" s="2868" t="s">
        <v>2341</v>
      </c>
      <c r="M10" s="2869"/>
      <c r="N10" s="2845"/>
      <c r="O10" s="2870"/>
      <c r="P10" s="2870"/>
      <c r="Q10" s="2871">
        <v>365</v>
      </c>
      <c r="R10" s="2872">
        <f t="shared" si="0"/>
        <v>0</v>
      </c>
      <c r="S10" s="2825"/>
      <c r="T10" s="2825"/>
      <c r="U10" s="2825"/>
      <c r="V10" s="2834"/>
    </row>
    <row r="11" spans="1:22" s="2838" customFormat="1" ht="13.2" customHeight="1">
      <c r="A11" s="2873">
        <v>3</v>
      </c>
      <c r="B11" s="3736" t="s">
        <v>2342</v>
      </c>
      <c r="C11" s="3737"/>
      <c r="D11" s="2874">
        <f>D12+D14+D15+D16</f>
        <v>0</v>
      </c>
      <c r="E11" s="2880" t="e">
        <f>D11/D6</f>
        <v>#DIV/0!</v>
      </c>
      <c r="F11" s="2876"/>
      <c r="G11" s="2877"/>
      <c r="H11" s="2833"/>
      <c r="I11" s="2834"/>
      <c r="J11" s="3719"/>
      <c r="K11" s="3721"/>
      <c r="L11" s="2868" t="s">
        <v>2343</v>
      </c>
      <c r="M11" s="2869"/>
      <c r="N11" s="2845"/>
      <c r="O11" s="2870"/>
      <c r="P11" s="2870"/>
      <c r="Q11" s="2871">
        <v>365</v>
      </c>
      <c r="R11" s="2872">
        <f t="shared" si="0"/>
        <v>0</v>
      </c>
      <c r="S11" s="2825"/>
      <c r="T11" s="2825"/>
      <c r="U11" s="2825"/>
      <c r="V11" s="2834"/>
    </row>
    <row r="12" spans="1:22" s="2838" customFormat="1" ht="13.2" customHeight="1">
      <c r="A12" s="2881" t="s">
        <v>2344</v>
      </c>
      <c r="B12" s="3729" t="s">
        <v>2345</v>
      </c>
      <c r="C12" s="3730"/>
      <c r="D12" s="2882">
        <f>ROUND(D13*1.2%*(1-30%),0)</f>
        <v>0</v>
      </c>
      <c r="E12" s="2883">
        <v>1.2E-2</v>
      </c>
      <c r="F12" s="2876" t="s">
        <v>2346</v>
      </c>
      <c r="G12" s="2877"/>
      <c r="H12" s="2833"/>
      <c r="I12" s="2834"/>
      <c r="J12" s="3719"/>
      <c r="K12" s="3721"/>
      <c r="L12" s="2868" t="s">
        <v>2347</v>
      </c>
      <c r="M12" s="2869"/>
      <c r="N12" s="2845"/>
      <c r="O12" s="2870"/>
      <c r="P12" s="2870"/>
      <c r="Q12" s="2871">
        <v>365</v>
      </c>
      <c r="R12" s="2872">
        <f t="shared" si="0"/>
        <v>0</v>
      </c>
      <c r="S12" s="2825"/>
      <c r="T12" s="2825"/>
      <c r="U12" s="2825"/>
      <c r="V12" s="2834"/>
    </row>
    <row r="13" spans="1:22" s="2838" customFormat="1" ht="13.2" customHeight="1">
      <c r="A13" s="2881"/>
      <c r="B13" s="2884"/>
      <c r="C13" s="2885" t="s">
        <v>2348</v>
      </c>
      <c r="D13" s="2886"/>
      <c r="E13" s="2887"/>
      <c r="F13" s="2876"/>
      <c r="G13" s="2877"/>
      <c r="H13" s="2833"/>
      <c r="I13" s="2834"/>
      <c r="J13" s="3719"/>
      <c r="K13" s="3721"/>
      <c r="L13" s="2868" t="s">
        <v>2349</v>
      </c>
      <c r="M13" s="2869"/>
      <c r="N13" s="2845"/>
      <c r="O13" s="2870"/>
      <c r="P13" s="2870"/>
      <c r="Q13" s="2871">
        <v>365</v>
      </c>
      <c r="R13" s="2872">
        <f t="shared" si="0"/>
        <v>0</v>
      </c>
      <c r="S13" s="2825"/>
      <c r="T13" s="2825"/>
      <c r="U13" s="2825"/>
      <c r="V13" s="2834"/>
    </row>
    <row r="14" spans="1:22" s="2838" customFormat="1" ht="13.2" customHeight="1">
      <c r="A14" s="2881" t="s">
        <v>2350</v>
      </c>
      <c r="B14" s="3729" t="s">
        <v>2351</v>
      </c>
      <c r="C14" s="3730"/>
      <c r="D14" s="2882">
        <f>ROUND(E14*B5/10000,0)</f>
        <v>0</v>
      </c>
      <c r="E14" s="2871"/>
      <c r="F14" s="2876" t="s">
        <v>2352</v>
      </c>
      <c r="G14" s="2877"/>
      <c r="H14" s="2833"/>
      <c r="I14" s="2834"/>
      <c r="J14" s="3719"/>
      <c r="K14" s="3722"/>
      <c r="L14" s="2888" t="s">
        <v>2353</v>
      </c>
      <c r="M14" s="2889">
        <f>SUM(M7:M13)</f>
        <v>0</v>
      </c>
      <c r="N14" s="2889" t="e">
        <f>ROUND((N7*M7+N8*M8+N9*M9+N10*M10+N11*M11+N12*M12+N13*M13)/M14,0)</f>
        <v>#DIV/0!</v>
      </c>
      <c r="O14" s="2890"/>
      <c r="P14" s="2890"/>
      <c r="Q14" s="2891"/>
      <c r="R14" s="2837">
        <f>SUM(R7:R13)</f>
        <v>0</v>
      </c>
      <c r="S14" s="2825"/>
      <c r="T14" s="2825"/>
      <c r="U14" s="2825"/>
      <c r="V14" s="2834"/>
    </row>
    <row r="15" spans="1:22" s="2838" customFormat="1" ht="13.2" customHeight="1">
      <c r="A15" s="2881" t="s">
        <v>2354</v>
      </c>
      <c r="B15" s="3729" t="s">
        <v>2355</v>
      </c>
      <c r="C15" s="3730"/>
      <c r="D15" s="2882">
        <f>ROUND(D6*E15,0)</f>
        <v>0</v>
      </c>
      <c r="E15" s="2883">
        <v>5.5E-2</v>
      </c>
      <c r="F15" s="2876" t="s">
        <v>2356</v>
      </c>
      <c r="G15" s="2858"/>
      <c r="H15" s="2833"/>
      <c r="I15" s="2834"/>
      <c r="J15" s="3719">
        <v>2</v>
      </c>
      <c r="K15" s="3720" t="s">
        <v>2357</v>
      </c>
      <c r="L15" s="2868" t="s">
        <v>2358</v>
      </c>
      <c r="M15" s="2869" t="s">
        <v>2359</v>
      </c>
      <c r="N15" s="2869" t="s">
        <v>2360</v>
      </c>
      <c r="O15" s="2870" t="s">
        <v>2361</v>
      </c>
      <c r="P15" s="2870" t="s">
        <v>2362</v>
      </c>
      <c r="Q15" s="2845" t="s">
        <v>2363</v>
      </c>
      <c r="R15" s="2892" t="s">
        <v>2364</v>
      </c>
      <c r="S15" s="2825"/>
      <c r="T15" s="2825"/>
      <c r="U15" s="2825"/>
      <c r="V15" s="2834"/>
    </row>
    <row r="16" spans="1:22" s="2838" customFormat="1" ht="13.2" customHeight="1">
      <c r="A16" s="2881" t="s">
        <v>2365</v>
      </c>
      <c r="B16" s="3729" t="s">
        <v>2366</v>
      </c>
      <c r="C16" s="3730"/>
      <c r="D16" s="2893">
        <f>D6*E16</f>
        <v>0</v>
      </c>
      <c r="E16" s="2894"/>
      <c r="F16" s="2879" t="s">
        <v>2367</v>
      </c>
      <c r="G16" s="2858"/>
      <c r="H16" s="2833"/>
      <c r="I16" s="2834"/>
      <c r="J16" s="3719"/>
      <c r="K16" s="3721"/>
      <c r="L16" s="2868" t="s">
        <v>2368</v>
      </c>
      <c r="M16" s="2869"/>
      <c r="N16" s="2869"/>
      <c r="O16" s="2870"/>
      <c r="P16" s="2871">
        <v>365</v>
      </c>
      <c r="Q16" s="2845"/>
      <c r="R16" s="2892">
        <f>ROUND(M16*N16*O16*P16/10000,0)</f>
        <v>0</v>
      </c>
      <c r="S16" s="2825"/>
      <c r="T16" s="2825"/>
      <c r="U16" s="2825"/>
      <c r="V16" s="2834"/>
    </row>
    <row r="17" spans="1:22" s="2838" customFormat="1" ht="13.2" customHeight="1" thickBot="1">
      <c r="A17" s="2895">
        <v>4</v>
      </c>
      <c r="B17" s="3731" t="s">
        <v>2369</v>
      </c>
      <c r="C17" s="3732"/>
      <c r="D17" s="2896">
        <f>ROUND(D6*E17,0)</f>
        <v>0</v>
      </c>
      <c r="E17" s="2897"/>
      <c r="F17" s="2898" t="s">
        <v>2370</v>
      </c>
      <c r="G17" s="2858"/>
      <c r="H17" s="2833"/>
      <c r="I17" s="2834"/>
      <c r="J17" s="3719"/>
      <c r="K17" s="3721"/>
      <c r="L17" s="2868" t="s">
        <v>2371</v>
      </c>
      <c r="M17" s="2869"/>
      <c r="N17" s="2869"/>
      <c r="O17" s="2870"/>
      <c r="P17" s="2871">
        <v>365</v>
      </c>
      <c r="Q17" s="2845"/>
      <c r="R17" s="2892">
        <f>ROUND(M17*N17*O17*P17/10000,0)</f>
        <v>0</v>
      </c>
      <c r="S17" s="2825"/>
      <c r="T17" s="2825"/>
      <c r="U17" s="2825"/>
      <c r="V17" s="2834"/>
    </row>
    <row r="18" spans="1:22" s="2838" customFormat="1" ht="13.2" customHeight="1" thickBot="1">
      <c r="A18" s="2861" t="s">
        <v>2372</v>
      </c>
      <c r="B18" s="2862"/>
      <c r="C18" s="2862"/>
      <c r="D18" s="2899">
        <f>ROUND(D6*E18,0)</f>
        <v>0</v>
      </c>
      <c r="E18" s="2900"/>
      <c r="F18" s="2901" t="s">
        <v>2373</v>
      </c>
      <c r="G18" s="2858"/>
      <c r="H18" s="2833"/>
      <c r="I18" s="2834"/>
      <c r="J18" s="3719"/>
      <c r="K18" s="3721"/>
      <c r="L18" s="2868" t="s">
        <v>2374</v>
      </c>
      <c r="M18" s="2869"/>
      <c r="N18" s="2869"/>
      <c r="O18" s="2870"/>
      <c r="P18" s="2871">
        <v>365</v>
      </c>
      <c r="Q18" s="2845"/>
      <c r="R18" s="2892">
        <f>ROUND(M18*N18*O18*P18/10000,0)</f>
        <v>0</v>
      </c>
      <c r="S18" s="2825"/>
      <c r="T18" s="2825"/>
      <c r="U18" s="2825"/>
      <c r="V18" s="2834"/>
    </row>
    <row r="19" spans="1:22" s="2838" customFormat="1" ht="13.2" customHeight="1" thickBot="1">
      <c r="A19" s="2902" t="s">
        <v>2375</v>
      </c>
      <c r="B19" s="2856"/>
      <c r="C19" s="2856"/>
      <c r="D19" s="2856"/>
      <c r="E19" s="2856"/>
      <c r="F19" s="2857"/>
      <c r="G19" s="2877"/>
      <c r="H19" s="2833"/>
      <c r="I19" s="2834"/>
      <c r="J19" s="3719"/>
      <c r="K19" s="3722"/>
      <c r="L19" s="2888" t="s">
        <v>2353</v>
      </c>
      <c r="M19" s="2889"/>
      <c r="N19" s="2889">
        <f>SUM(N16:N18)</f>
        <v>0</v>
      </c>
      <c r="O19" s="2890"/>
      <c r="P19" s="2903" t="s">
        <v>2441</v>
      </c>
      <c r="Q19" s="2870"/>
      <c r="R19" s="2904">
        <f>ROUND(IF(P19="按比例",R14*Q19,SUM(R16:R18)),0)</f>
        <v>0</v>
      </c>
      <c r="S19" s="2825"/>
      <c r="T19" s="2825"/>
      <c r="U19" s="2825"/>
      <c r="V19" s="2834"/>
    </row>
    <row r="20" spans="1:22" s="2838" customFormat="1" ht="13.2" customHeight="1">
      <c r="A20" s="2861"/>
      <c r="B20" s="2862"/>
      <c r="C20" s="2862"/>
      <c r="D20" s="2862"/>
      <c r="E20" s="2862"/>
      <c r="F20" s="2905"/>
      <c r="G20" s="2877"/>
      <c r="H20" s="2833"/>
      <c r="I20" s="2834"/>
      <c r="J20" s="3719">
        <v>3</v>
      </c>
      <c r="K20" s="3720" t="s">
        <v>2376</v>
      </c>
      <c r="L20" s="2868" t="s">
        <v>2377</v>
      </c>
      <c r="M20" s="2869" t="s">
        <v>2378</v>
      </c>
      <c r="N20" s="2906" t="s">
        <v>2379</v>
      </c>
      <c r="O20" s="2870" t="s">
        <v>2380</v>
      </c>
      <c r="P20" s="2871" t="s">
        <v>2381</v>
      </c>
      <c r="Q20" s="2845" t="s">
        <v>2382</v>
      </c>
      <c r="R20" s="2892" t="s">
        <v>2324</v>
      </c>
      <c r="S20" s="2825"/>
      <c r="T20" s="2825"/>
      <c r="U20" s="2825"/>
      <c r="V20" s="2834"/>
    </row>
    <row r="21" spans="1:22" s="2838" customFormat="1" ht="13.2" customHeight="1">
      <c r="A21" s="2861"/>
      <c r="B21" s="2862"/>
      <c r="C21" s="2907" t="s">
        <v>2383</v>
      </c>
      <c r="D21" s="2908" t="s">
        <v>2384</v>
      </c>
      <c r="E21" s="2909" t="s">
        <v>2385</v>
      </c>
      <c r="F21" s="2905"/>
      <c r="G21" s="2877"/>
      <c r="H21" s="2833"/>
      <c r="I21" s="2834"/>
      <c r="J21" s="3719"/>
      <c r="K21" s="3721"/>
      <c r="L21" s="2868" t="s">
        <v>2386</v>
      </c>
      <c r="M21" s="2869"/>
      <c r="N21" s="2869"/>
      <c r="O21" s="2870"/>
      <c r="P21" s="2871">
        <v>365</v>
      </c>
      <c r="Q21" s="2845"/>
      <c r="R21" s="2910">
        <f>ROUND(M21*N21*O21*P21/10000,0)</f>
        <v>0</v>
      </c>
      <c r="S21" s="2825"/>
      <c r="T21" s="2825"/>
      <c r="U21" s="2825"/>
      <c r="V21" s="2834"/>
    </row>
    <row r="22" spans="1:22" s="2838" customFormat="1" ht="13.2" customHeight="1">
      <c r="A22" s="2861"/>
      <c r="B22" s="2862"/>
      <c r="C22" s="2911" t="s">
        <v>2387</v>
      </c>
      <c r="D22" s="2912" t="s">
        <v>2388</v>
      </c>
      <c r="E22" s="2913" t="s">
        <v>2389</v>
      </c>
      <c r="F22" s="2905"/>
      <c r="G22" s="2825"/>
      <c r="H22" s="2833"/>
      <c r="I22" s="2834"/>
      <c r="J22" s="3719"/>
      <c r="K22" s="3721"/>
      <c r="L22" s="2868" t="s">
        <v>2390</v>
      </c>
      <c r="M22" s="2869"/>
      <c r="N22" s="2869"/>
      <c r="O22" s="2870"/>
      <c r="P22" s="2871">
        <v>365</v>
      </c>
      <c r="Q22" s="2845"/>
      <c r="R22" s="2910">
        <f>ROUND(M22*N22*O22*P22/10000,0)</f>
        <v>0</v>
      </c>
      <c r="S22" s="2825"/>
      <c r="T22" s="2825"/>
      <c r="U22" s="2825"/>
      <c r="V22" s="2834"/>
    </row>
    <row r="23" spans="1:22" s="2838" customFormat="1" ht="13.2" customHeight="1">
      <c r="A23" s="2914">
        <v>1</v>
      </c>
      <c r="B23" s="2915" t="s">
        <v>2391</v>
      </c>
      <c r="C23" s="2916">
        <f>D6</f>
        <v>0</v>
      </c>
      <c r="D23" s="2917">
        <f>C23*(1+D24)</f>
        <v>0</v>
      </c>
      <c r="E23" s="2918">
        <f>D23*(1+E24)</f>
        <v>0</v>
      </c>
      <c r="F23" s="2919"/>
      <c r="G23" s="2920"/>
      <c r="H23" s="2833"/>
      <c r="I23" s="2834"/>
      <c r="J23" s="3719"/>
      <c r="K23" s="3721"/>
      <c r="L23" s="2868" t="s">
        <v>2392</v>
      </c>
      <c r="M23" s="2869"/>
      <c r="N23" s="2869"/>
      <c r="O23" s="2870"/>
      <c r="P23" s="2871">
        <v>365</v>
      </c>
      <c r="Q23" s="2845"/>
      <c r="R23" s="2910">
        <f>ROUND(M23*N23*O23*P23/10000,0)</f>
        <v>0</v>
      </c>
      <c r="S23" s="2825"/>
      <c r="T23" s="2825"/>
      <c r="U23" s="2825"/>
      <c r="V23" s="2834"/>
    </row>
    <row r="24" spans="1:22" s="2838" customFormat="1" ht="13.2" customHeight="1">
      <c r="A24" s="2921"/>
      <c r="B24" s="2922" t="s">
        <v>2393</v>
      </c>
      <c r="C24" s="2923"/>
      <c r="D24" s="2924"/>
      <c r="E24" s="2925"/>
      <c r="F24" s="2926"/>
      <c r="G24" s="2920"/>
      <c r="H24" s="2833"/>
      <c r="I24" s="2834"/>
      <c r="J24" s="3719"/>
      <c r="K24" s="3722"/>
      <c r="L24" s="2888" t="s">
        <v>2353</v>
      </c>
      <c r="M24" s="2889">
        <f>SUM(M21:M23)</f>
        <v>0</v>
      </c>
      <c r="N24" s="2889"/>
      <c r="O24" s="2890"/>
      <c r="P24" s="2903" t="s">
        <v>2441</v>
      </c>
      <c r="Q24" s="2870"/>
      <c r="R24" s="2904">
        <f>ROUND(IF(P24="按比例",R14*Q24,SUM(R21:R23)),0)</f>
        <v>0</v>
      </c>
      <c r="S24" s="2825"/>
      <c r="T24" s="2825"/>
      <c r="U24" s="2825"/>
      <c r="V24" s="2834"/>
    </row>
    <row r="25" spans="1:22" s="2933" customFormat="1" ht="13.2" customHeight="1">
      <c r="A25" s="2921"/>
      <c r="B25" s="2922"/>
      <c r="C25" s="2923"/>
      <c r="D25" s="2924"/>
      <c r="E25" s="2925"/>
      <c r="F25" s="2926"/>
      <c r="G25" s="2825"/>
      <c r="H25" s="2833"/>
      <c r="I25" s="2834"/>
      <c r="J25" s="2927">
        <v>4</v>
      </c>
      <c r="K25" s="2928" t="s">
        <v>2394</v>
      </c>
      <c r="L25" s="2929"/>
      <c r="M25" s="2929"/>
      <c r="N25" s="2929"/>
      <c r="O25" s="2929"/>
      <c r="P25" s="2930"/>
      <c r="Q25" s="2931"/>
      <c r="R25" s="2904">
        <f>ROUND(R14*Q25,0)</f>
        <v>0</v>
      </c>
      <c r="S25" s="2825"/>
      <c r="T25" s="2825"/>
      <c r="U25" s="2825"/>
      <c r="V25" s="2932"/>
    </row>
    <row r="26" spans="1:22" s="2933" customFormat="1" ht="13.2" customHeight="1">
      <c r="A26" s="2914">
        <v>2</v>
      </c>
      <c r="B26" s="2915" t="s">
        <v>2395</v>
      </c>
      <c r="C26" s="2916">
        <f>D7</f>
        <v>0</v>
      </c>
      <c r="D26" s="2917">
        <f>D23*D27</f>
        <v>0</v>
      </c>
      <c r="E26" s="2918">
        <f>E23*E27</f>
        <v>0</v>
      </c>
      <c r="F26" s="2919"/>
      <c r="G26" s="2920"/>
      <c r="H26" s="2833"/>
      <c r="I26" s="2834"/>
      <c r="J26" s="3723">
        <v>5</v>
      </c>
      <c r="K26" s="2934" t="s">
        <v>2396</v>
      </c>
      <c r="L26" s="2935"/>
      <c r="M26" s="2936"/>
      <c r="N26" s="2937" t="s">
        <v>2397</v>
      </c>
      <c r="O26" s="2937" t="s">
        <v>2398</v>
      </c>
      <c r="P26" s="2938" t="s">
        <v>2399</v>
      </c>
      <c r="Q26" s="2938" t="s">
        <v>2400</v>
      </c>
      <c r="R26" s="2843" t="s">
        <v>2401</v>
      </c>
      <c r="S26" s="2877"/>
      <c r="T26" s="2877"/>
      <c r="U26" s="2877"/>
      <c r="V26" s="2932"/>
    </row>
    <row r="27" spans="1:22" s="2838" customFormat="1" ht="13.2" customHeight="1">
      <c r="A27" s="2921"/>
      <c r="B27" s="2922" t="s">
        <v>2402</v>
      </c>
      <c r="C27" s="2939" t="e">
        <f>E7</f>
        <v>#DIV/0!</v>
      </c>
      <c r="D27" s="2924"/>
      <c r="E27" s="2925"/>
      <c r="F27" s="2926"/>
      <c r="G27" s="2920"/>
      <c r="H27" s="2940"/>
      <c r="I27" s="2932"/>
      <c r="J27" s="3724"/>
      <c r="K27" s="2941"/>
      <c r="L27" s="2942"/>
      <c r="M27" s="2943"/>
      <c r="N27" s="2944"/>
      <c r="O27" s="2944"/>
      <c r="P27" s="2944"/>
      <c r="Q27" s="2945"/>
      <c r="R27" s="2904">
        <f>ROUND(O27*N27*P27*(1-Q27)/10000,0)</f>
        <v>0</v>
      </c>
      <c r="S27" s="2825"/>
      <c r="T27" s="2825"/>
      <c r="U27" s="2825"/>
      <c r="V27" s="2834"/>
    </row>
    <row r="28" spans="1:22" s="2933" customFormat="1" ht="13.2" customHeight="1" thickBot="1">
      <c r="A28" s="2921"/>
      <c r="B28" s="2922"/>
      <c r="C28" s="2939"/>
      <c r="D28" s="2924"/>
      <c r="E28" s="2925" t="s">
        <v>2403</v>
      </c>
      <c r="F28" s="2926"/>
      <c r="G28" s="2825"/>
      <c r="H28" s="2940"/>
      <c r="I28" s="2932"/>
      <c r="J28" s="2946">
        <v>6</v>
      </c>
      <c r="K28" s="2947" t="s">
        <v>2404</v>
      </c>
      <c r="L28" s="2948" t="s">
        <v>2405</v>
      </c>
      <c r="M28" s="2949"/>
      <c r="N28" s="2948" t="s">
        <v>2406</v>
      </c>
      <c r="O28" s="2950"/>
      <c r="P28" s="2948" t="s">
        <v>2407</v>
      </c>
      <c r="Q28" s="2951">
        <v>1.4999999999999999E-2</v>
      </c>
      <c r="R28" s="2952"/>
      <c r="S28" s="2825"/>
      <c r="T28" s="2825"/>
      <c r="U28" s="2825"/>
      <c r="V28" s="2932"/>
    </row>
    <row r="29" spans="1:22" s="2933" customFormat="1" ht="13.2" customHeight="1">
      <c r="A29" s="2914">
        <v>3</v>
      </c>
      <c r="B29" s="2915" t="s">
        <v>2408</v>
      </c>
      <c r="C29" s="2916">
        <f>C23*C30</f>
        <v>0</v>
      </c>
      <c r="D29" s="2917">
        <f>D23*C30</f>
        <v>0</v>
      </c>
      <c r="E29" s="2918">
        <f>E23*C30</f>
        <v>0</v>
      </c>
      <c r="F29" s="2919"/>
      <c r="G29" s="2920"/>
      <c r="H29" s="2833"/>
      <c r="I29" s="2834"/>
      <c r="J29" s="2825"/>
      <c r="K29" s="2825"/>
      <c r="L29" s="2825"/>
      <c r="M29" s="2825"/>
      <c r="N29" s="2825"/>
      <c r="O29" s="2825"/>
      <c r="P29" s="2825"/>
      <c r="Q29" s="2825"/>
      <c r="R29" s="2825"/>
      <c r="S29" s="2825"/>
      <c r="T29" s="2825"/>
      <c r="U29" s="2825"/>
      <c r="V29" s="2932"/>
    </row>
    <row r="30" spans="1:22" s="2838" customFormat="1" ht="13.2" customHeight="1" thickBot="1">
      <c r="A30" s="2921"/>
      <c r="B30" s="2922" t="s">
        <v>2409</v>
      </c>
      <c r="C30" s="2939">
        <f>E18</f>
        <v>0</v>
      </c>
      <c r="D30" s="2953"/>
      <c r="E30" s="2887"/>
      <c r="F30" s="2926"/>
      <c r="G30" s="2920"/>
      <c r="H30" s="2940"/>
      <c r="I30" s="2932"/>
      <c r="J30" s="2825"/>
      <c r="K30" s="2825"/>
      <c r="L30" s="2825"/>
      <c r="M30" s="2825"/>
      <c r="N30" s="2825"/>
      <c r="O30" s="2825"/>
      <c r="P30" s="2825"/>
      <c r="Q30" s="2825"/>
      <c r="R30" s="2825"/>
      <c r="S30" s="2825"/>
      <c r="T30" s="2825"/>
      <c r="U30" s="2825"/>
      <c r="V30" s="2834"/>
    </row>
    <row r="31" spans="1:22" s="2933" customFormat="1" ht="13.2" customHeight="1">
      <c r="A31" s="2921"/>
      <c r="B31" s="2922"/>
      <c r="C31" s="2954"/>
      <c r="D31" s="2953"/>
      <c r="E31" s="2887"/>
      <c r="F31" s="2926"/>
      <c r="G31" s="2825"/>
      <c r="H31" s="2940"/>
      <c r="I31" s="2932"/>
      <c r="J31" s="2822" t="s">
        <v>2410</v>
      </c>
      <c r="K31" s="2823"/>
      <c r="L31" s="2823"/>
      <c r="M31" s="2823"/>
      <c r="N31" s="2823"/>
      <c r="O31" s="2823"/>
      <c r="P31" s="2823"/>
      <c r="Q31" s="2823"/>
      <c r="R31" s="2824"/>
      <c r="S31" s="2825"/>
      <c r="T31" s="2825"/>
      <c r="U31" s="2825"/>
      <c r="V31" s="2932"/>
    </row>
    <row r="32" spans="1:22" s="2933" customFormat="1" ht="13.2" customHeight="1">
      <c r="A32" s="2914">
        <v>4</v>
      </c>
      <c r="B32" s="2915" t="s">
        <v>2411</v>
      </c>
      <c r="C32" s="2916">
        <f>C23-C26-C29</f>
        <v>0</v>
      </c>
      <c r="D32" s="2917">
        <f>D23-D26-D29</f>
        <v>0</v>
      </c>
      <c r="E32" s="2918">
        <f>E23-E26-E29</f>
        <v>0</v>
      </c>
      <c r="F32" s="2919"/>
      <c r="G32" s="2825"/>
      <c r="H32" s="2833"/>
      <c r="I32" s="2834"/>
      <c r="J32" s="3725" t="s">
        <v>2412</v>
      </c>
      <c r="K32" s="3726"/>
      <c r="L32" s="2835" t="s">
        <v>2413</v>
      </c>
      <c r="M32" s="2835" t="s">
        <v>2302</v>
      </c>
      <c r="N32" s="2835" t="s">
        <v>2303</v>
      </c>
      <c r="O32" s="2835" t="s">
        <v>2304</v>
      </c>
      <c r="P32" s="2835" t="s">
        <v>2305</v>
      </c>
      <c r="Q32" s="2836" t="s">
        <v>2414</v>
      </c>
      <c r="R32" s="2955" t="s">
        <v>2415</v>
      </c>
      <c r="S32" s="2825"/>
      <c r="T32" s="2825"/>
      <c r="U32" s="2825"/>
      <c r="V32" s="2932"/>
    </row>
    <row r="33" spans="1:23" s="2838" customFormat="1" ht="13.2" customHeight="1">
      <c r="A33" s="2914"/>
      <c r="B33" s="2915"/>
      <c r="C33" s="2916"/>
      <c r="D33" s="2956"/>
      <c r="E33" s="2957"/>
      <c r="F33" s="2919"/>
      <c r="G33" s="2825"/>
      <c r="H33" s="2940"/>
      <c r="I33" s="2932"/>
      <c r="J33" s="3727" t="s">
        <v>2416</v>
      </c>
      <c r="K33" s="3728"/>
      <c r="L33" s="2841"/>
      <c r="M33" s="2841"/>
      <c r="N33" s="2841"/>
      <c r="O33" s="2841"/>
      <c r="P33" s="2841"/>
      <c r="Q33" s="2842"/>
      <c r="R33" s="2958">
        <f>SUM(L33:Q33)</f>
        <v>0</v>
      </c>
      <c r="S33" s="2825"/>
      <c r="T33" s="2825"/>
      <c r="U33" s="2825"/>
      <c r="V33" s="2834"/>
    </row>
    <row r="34" spans="1:23" s="2838" customFormat="1" ht="13.2" customHeight="1">
      <c r="A34" s="2914">
        <v>5</v>
      </c>
      <c r="B34" s="2915" t="s">
        <v>2417</v>
      </c>
      <c r="C34" s="2959"/>
      <c r="D34" s="2960"/>
      <c r="E34" s="2961"/>
      <c r="F34" s="2919"/>
      <c r="G34" s="2825"/>
      <c r="H34" s="2940"/>
      <c r="I34" s="2932"/>
      <c r="J34" s="3727" t="s">
        <v>2418</v>
      </c>
      <c r="K34" s="3728"/>
      <c r="L34" s="2846"/>
      <c r="M34" s="2846"/>
      <c r="N34" s="2846"/>
      <c r="O34" s="2846"/>
      <c r="P34" s="2846"/>
      <c r="Q34" s="2847"/>
      <c r="R34" s="2962">
        <f>SUM(L34:Q34)</f>
        <v>0</v>
      </c>
      <c r="S34" s="2825"/>
      <c r="T34" s="2825"/>
      <c r="U34" s="2825" t="e">
        <f>ROUND(R35*10000/365/R33,1)</f>
        <v>#DIV/0!</v>
      </c>
      <c r="V34" s="2834"/>
    </row>
    <row r="35" spans="1:23" s="2838" customFormat="1" ht="13.2" customHeight="1">
      <c r="A35" s="2914">
        <v>6</v>
      </c>
      <c r="B35" s="2915" t="s">
        <v>2419</v>
      </c>
      <c r="C35" s="2963"/>
      <c r="D35" s="2964"/>
      <c r="E35" s="2965"/>
      <c r="F35" s="2919"/>
      <c r="G35" s="2966"/>
      <c r="H35" s="2833"/>
      <c r="I35" s="2932"/>
      <c r="J35" s="2852" t="s">
        <v>2420</v>
      </c>
      <c r="K35" s="2853"/>
      <c r="L35" s="2853"/>
      <c r="M35" s="2854"/>
      <c r="N35" s="2854"/>
      <c r="O35" s="2854"/>
      <c r="P35" s="2854"/>
      <c r="Q35" s="2854"/>
      <c r="R35" s="2967">
        <f>R40+R41+R43</f>
        <v>0</v>
      </c>
      <c r="S35" s="2825"/>
      <c r="T35" s="2825" t="s">
        <v>2421</v>
      </c>
      <c r="U35" s="2825"/>
      <c r="V35" s="2834"/>
    </row>
    <row r="36" spans="1:23" s="2838" customFormat="1" ht="13.2" customHeight="1" thickBot="1">
      <c r="A36" s="2914">
        <v>7</v>
      </c>
      <c r="B36" s="2968" t="s">
        <v>2422</v>
      </c>
      <c r="C36" s="2969"/>
      <c r="D36" s="2970"/>
      <c r="E36" s="2971"/>
      <c r="F36" s="2972">
        <f>C36+D36+E36</f>
        <v>0</v>
      </c>
      <c r="G36" s="2825"/>
      <c r="H36" s="2833"/>
      <c r="I36" s="2834"/>
      <c r="J36" s="3719">
        <v>1</v>
      </c>
      <c r="K36" s="3720" t="s">
        <v>2423</v>
      </c>
      <c r="L36" s="2859"/>
      <c r="M36" s="2860"/>
      <c r="N36" s="2860"/>
      <c r="O36" s="2860"/>
      <c r="P36" s="2860"/>
      <c r="Q36" s="2860"/>
      <c r="R36" s="2843" t="s">
        <v>2324</v>
      </c>
      <c r="S36" s="2825"/>
      <c r="T36" s="2825" t="s">
        <v>2325</v>
      </c>
      <c r="U36" s="2825"/>
      <c r="V36" s="2834"/>
    </row>
    <row r="37" spans="1:23" s="2838" customFormat="1" ht="13.2" customHeight="1">
      <c r="A37" s="2914"/>
      <c r="B37" s="2915"/>
      <c r="C37" s="2915"/>
      <c r="D37" s="2915"/>
      <c r="E37" s="2915"/>
      <c r="F37" s="2919"/>
      <c r="G37" s="2825"/>
      <c r="H37" s="2833"/>
      <c r="I37" s="2834"/>
      <c r="J37" s="3719"/>
      <c r="K37" s="3721"/>
      <c r="L37" s="2868"/>
      <c r="M37" s="2869"/>
      <c r="N37" s="2845"/>
      <c r="O37" s="2870"/>
      <c r="P37" s="2870"/>
      <c r="Q37" s="2871"/>
      <c r="R37" s="2872"/>
      <c r="S37" s="2825"/>
      <c r="T37" s="2825" t="s">
        <v>2328</v>
      </c>
      <c r="U37" s="2825"/>
      <c r="V37" s="2834"/>
    </row>
    <row r="38" spans="1:23" s="2838" customFormat="1" ht="13.2" customHeight="1">
      <c r="A38" s="2914">
        <v>8</v>
      </c>
      <c r="B38" s="2915"/>
      <c r="C38" s="2874" t="e">
        <f>ROUND(C32*(1-((1+C35)/(1+C34))^C36)/(C34-C35),0)</f>
        <v>#DIV/0!</v>
      </c>
      <c r="D38" s="2874">
        <f>IF(D23=0,0,ROUND(D32*(1-((1+D35)/(1+D34))^D36)/(D34-D35),0))</f>
        <v>0</v>
      </c>
      <c r="E38" s="2874">
        <f>IF(E23=0,0,ROUND(E32*(1-((1+E35)/(1+E34))^E36)/(E34-E35),0))</f>
        <v>0</v>
      </c>
      <c r="F38" s="2919"/>
      <c r="G38" s="2825"/>
      <c r="H38" s="2833"/>
      <c r="I38" s="2834"/>
      <c r="J38" s="3719"/>
      <c r="K38" s="3721"/>
      <c r="L38" s="2868"/>
      <c r="M38" s="2869"/>
      <c r="N38" s="2845"/>
      <c r="O38" s="2870"/>
      <c r="P38" s="2870"/>
      <c r="Q38" s="2871"/>
      <c r="R38" s="2872"/>
      <c r="S38" s="2825"/>
      <c r="T38" s="2825" t="s">
        <v>2335</v>
      </c>
      <c r="U38" s="2825"/>
      <c r="V38" s="2834"/>
    </row>
    <row r="39" spans="1:23" s="2838" customFormat="1" ht="13.2" customHeight="1">
      <c r="A39" s="2914">
        <v>9</v>
      </c>
      <c r="B39" s="2915" t="s">
        <v>2424</v>
      </c>
      <c r="C39" s="2882" t="e">
        <f>C38</f>
        <v>#DIV/0!</v>
      </c>
      <c r="D39" s="2915">
        <f>D38/(1+D34)^C36</f>
        <v>0</v>
      </c>
      <c r="E39" s="2915">
        <f>E38/(1+E34)^(C36+D36)</f>
        <v>0</v>
      </c>
      <c r="F39" s="2919"/>
      <c r="G39" s="2834"/>
      <c r="H39" s="2833"/>
      <c r="I39" s="2834"/>
      <c r="J39" s="3719"/>
      <c r="K39" s="3721"/>
      <c r="L39" s="2868"/>
      <c r="M39" s="2869"/>
      <c r="N39" s="2845"/>
      <c r="O39" s="2870"/>
      <c r="P39" s="2870"/>
      <c r="Q39" s="2871"/>
      <c r="R39" s="2872"/>
      <c r="S39" s="2825"/>
      <c r="T39" s="2825"/>
      <c r="U39" s="2825"/>
      <c r="V39" s="2834"/>
    </row>
    <row r="40" spans="1:23" s="2838" customFormat="1" ht="13.2" customHeight="1">
      <c r="A40" s="2973">
        <v>10</v>
      </c>
      <c r="B40" s="2915" t="s">
        <v>2425</v>
      </c>
      <c r="C40" s="2974" t="e">
        <f>C39+D39+E39</f>
        <v>#DIV/0!</v>
      </c>
      <c r="D40" s="2975"/>
      <c r="E40" s="2975"/>
      <c r="F40" s="2976"/>
      <c r="G40" s="2825"/>
      <c r="H40" s="2833"/>
      <c r="I40" s="2834"/>
      <c r="J40" s="3719"/>
      <c r="K40" s="3722"/>
      <c r="L40" s="2888" t="s">
        <v>2426</v>
      </c>
      <c r="M40" s="2889"/>
      <c r="N40" s="2889"/>
      <c r="O40" s="2890"/>
      <c r="P40" s="2890"/>
      <c r="Q40" s="2891"/>
      <c r="R40" s="2837">
        <f>SUM(R37:R39)</f>
        <v>0</v>
      </c>
      <c r="S40" s="2825"/>
      <c r="T40" s="2825"/>
      <c r="U40" s="2825"/>
      <c r="V40" s="2834"/>
    </row>
    <row r="41" spans="1:23" s="2838" customFormat="1" ht="13.2" customHeight="1" thickBot="1">
      <c r="A41" s="2977">
        <v>11</v>
      </c>
      <c r="B41" s="2978" t="s">
        <v>2427</v>
      </c>
      <c r="C41" s="2978" t="e">
        <f>ROUND(C40*10000/B4,0)</f>
        <v>#DIV/0!</v>
      </c>
      <c r="D41" s="2979"/>
      <c r="E41" s="2979"/>
      <c r="F41" s="2980"/>
      <c r="G41" s="2833"/>
      <c r="H41" s="2833"/>
      <c r="I41" s="2834"/>
      <c r="J41" s="2927">
        <v>2</v>
      </c>
      <c r="K41" s="2928" t="s">
        <v>2428</v>
      </c>
      <c r="L41" s="2929"/>
      <c r="M41" s="2929"/>
      <c r="N41" s="2929"/>
      <c r="O41" s="2929"/>
      <c r="P41" s="2930"/>
      <c r="Q41" s="2931"/>
      <c r="R41" s="2904">
        <f>ROUND(R40*Q41,0)</f>
        <v>0</v>
      </c>
      <c r="S41" s="2825"/>
      <c r="T41" s="2825"/>
      <c r="U41" s="2877"/>
      <c r="V41" s="2834"/>
    </row>
    <row r="42" spans="1:23" s="2838" customFormat="1" ht="13.2" customHeight="1">
      <c r="G42" s="2833"/>
      <c r="H42" s="2833"/>
      <c r="I42" s="2834"/>
      <c r="J42" s="3723">
        <v>3</v>
      </c>
      <c r="K42" s="2934" t="s">
        <v>2429</v>
      </c>
      <c r="L42" s="2935"/>
      <c r="M42" s="2936"/>
      <c r="N42" s="2937" t="s">
        <v>2430</v>
      </c>
      <c r="O42" s="2937" t="s">
        <v>2431</v>
      </c>
      <c r="P42" s="2938" t="s">
        <v>2432</v>
      </c>
      <c r="Q42" s="2938" t="s">
        <v>2433</v>
      </c>
      <c r="R42" s="2843" t="s">
        <v>2434</v>
      </c>
      <c r="S42" s="2877"/>
      <c r="T42" s="2877"/>
      <c r="U42" s="2825"/>
      <c r="V42" s="2834"/>
    </row>
    <row r="43" spans="1:23" ht="13.2" customHeight="1">
      <c r="A43" s="2838"/>
      <c r="B43" s="2838"/>
      <c r="C43" s="2838"/>
      <c r="D43" s="2838"/>
      <c r="E43" s="2838"/>
      <c r="F43" s="2838"/>
      <c r="I43" s="2820"/>
      <c r="J43" s="3724"/>
      <c r="K43" s="2941"/>
      <c r="L43" s="2942"/>
      <c r="M43" s="2943"/>
      <c r="N43" s="2869"/>
      <c r="O43" s="2869"/>
      <c r="P43" s="2869"/>
      <c r="Q43" s="2931"/>
      <c r="R43" s="2904">
        <f>ROUND(O43*N43*P43*(1-Q43)/10000,0)</f>
        <v>0</v>
      </c>
      <c r="S43" s="2825"/>
      <c r="T43" s="2825"/>
      <c r="V43" s="2981"/>
      <c r="W43" s="2982"/>
    </row>
    <row r="44" spans="1:23" ht="13.2" customHeight="1" thickBot="1">
      <c r="J44" s="2946">
        <v>6</v>
      </c>
      <c r="K44" s="2947" t="s">
        <v>2435</v>
      </c>
      <c r="L44" s="2983" t="s">
        <v>2436</v>
      </c>
      <c r="M44" s="2949"/>
      <c r="N44" s="2983" t="s">
        <v>2437</v>
      </c>
      <c r="O44" s="2949"/>
      <c r="P44" s="2983" t="s">
        <v>2438</v>
      </c>
      <c r="Q44" s="2951">
        <v>1.4999999999999999E-2</v>
      </c>
      <c r="R44" s="295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3203125" defaultRowHeight="13.2"/>
  <cols>
    <col min="1" max="1" width="9.33203125" style="1784" customWidth="1"/>
    <col min="2" max="2" width="26.6640625" style="1785" customWidth="1"/>
    <col min="3" max="3" width="11.109375" style="1785" customWidth="1"/>
    <col min="4" max="5" width="11.109375" style="1786" customWidth="1"/>
    <col min="6" max="6" width="9.44140625" style="1785" customWidth="1"/>
    <col min="7" max="7" width="31.88671875" style="1785" customWidth="1"/>
    <col min="8" max="25" width="9" style="1787" customWidth="1"/>
    <col min="26" max="254" width="9" style="1785" customWidth="1"/>
    <col min="255" max="16384" width="8.33203125" style="1785"/>
  </cols>
  <sheetData>
    <row r="1" spans="1:25" s="1671" customFormat="1" ht="21">
      <c r="A1" s="391" t="s">
        <v>551</v>
      </c>
      <c r="B1" s="679"/>
      <c r="C1" s="1781"/>
      <c r="D1" s="1781"/>
      <c r="E1" s="1781"/>
      <c r="F1" s="1781"/>
      <c r="G1" s="1715"/>
    </row>
    <row r="2" spans="1:25" s="1671" customFormat="1" ht="18" customHeight="1">
      <c r="A2" s="393" t="s">
        <v>427</v>
      </c>
      <c r="B2" s="395">
        <f ca="1">C23</f>
        <v>0</v>
      </c>
      <c r="C2" s="2767"/>
      <c r="D2" s="2767"/>
      <c r="E2" s="2767"/>
      <c r="F2" s="2767"/>
      <c r="G2" s="2767"/>
    </row>
    <row r="3" spans="1:25" s="1671" customFormat="1" ht="18" customHeight="1">
      <c r="A3" s="1169" t="s">
        <v>1218</v>
      </c>
      <c r="B3" s="395">
        <f ca="1">ROUND(B2*10000/'数据-汇总表'!E3,0)</f>
        <v>0</v>
      </c>
      <c r="C3" s="2767"/>
      <c r="D3" s="2767"/>
      <c r="E3" s="2767"/>
      <c r="F3" s="2767"/>
      <c r="G3" s="2767"/>
    </row>
    <row r="4" spans="1:25" s="1671" customFormat="1" ht="18" customHeight="1">
      <c r="A4" s="396" t="s">
        <v>428</v>
      </c>
      <c r="B4" s="397">
        <f ca="1">ROUND(B2*10000/'数据-汇总表'!D3,0)</f>
        <v>0</v>
      </c>
      <c r="C4" s="2727"/>
      <c r="D4" s="2767"/>
      <c r="E4" s="2767"/>
      <c r="F4" s="2767"/>
      <c r="G4" s="2767"/>
    </row>
    <row r="5" spans="1:25" s="1671" customFormat="1" ht="18" customHeight="1" thickBot="1">
      <c r="A5" s="399"/>
      <c r="B5" s="400">
        <f ca="1">ROUND(B2/('数据-汇总表'!D3/666.67),0)</f>
        <v>0</v>
      </c>
      <c r="C5" s="401" t="s">
        <v>429</v>
      </c>
      <c r="D5" s="2767"/>
      <c r="E5" s="2767"/>
      <c r="F5" s="2767"/>
      <c r="G5" s="2767"/>
    </row>
    <row r="6" spans="1:25" s="1782" customFormat="1" ht="13.5" customHeight="1">
      <c r="A6" s="680"/>
      <c r="B6" s="681" t="s">
        <v>552</v>
      </c>
      <c r="C6" s="682" t="s">
        <v>553</v>
      </c>
      <c r="D6" s="682" t="s">
        <v>554</v>
      </c>
      <c r="E6" s="683" t="s">
        <v>555</v>
      </c>
      <c r="F6" s="683" t="s">
        <v>556</v>
      </c>
      <c r="G6" s="2766" t="s">
        <v>2281</v>
      </c>
    </row>
    <row r="7" spans="1:25" s="1782" customFormat="1" ht="13.5" customHeight="1">
      <c r="A7" s="1980">
        <v>1</v>
      </c>
      <c r="B7" s="684" t="s">
        <v>557</v>
      </c>
      <c r="C7" s="685">
        <f>C8+C9</f>
        <v>0</v>
      </c>
      <c r="D7" s="685"/>
      <c r="E7" s="686"/>
      <c r="F7" s="686"/>
      <c r="G7" s="1989"/>
    </row>
    <row r="8" spans="1:25" s="1782" customFormat="1" ht="13.5" customHeight="1">
      <c r="A8" s="1980" t="s">
        <v>1786</v>
      </c>
      <c r="B8" s="1983" t="s">
        <v>1788</v>
      </c>
      <c r="C8" s="2770">
        <f>ROUND(D8*E8/10000,0)</f>
        <v>0</v>
      </c>
      <c r="D8" s="2770">
        <v>0</v>
      </c>
      <c r="E8" s="2771">
        <v>0</v>
      </c>
      <c r="F8" s="686"/>
      <c r="G8" s="687"/>
    </row>
    <row r="9" spans="1:25" s="1782" customFormat="1" ht="13.5" customHeight="1">
      <c r="A9" s="1980" t="s">
        <v>1787</v>
      </c>
      <c r="B9" s="1983" t="s">
        <v>1789</v>
      </c>
      <c r="C9" s="2770">
        <f>ROUND(D9*E9/10000,0)</f>
        <v>0</v>
      </c>
      <c r="D9" s="2770">
        <v>0</v>
      </c>
      <c r="E9" s="2771">
        <v>0</v>
      </c>
      <c r="F9" s="686"/>
      <c r="G9" s="687"/>
    </row>
    <row r="10" spans="1:25" s="1782" customFormat="1" ht="36">
      <c r="A10" s="1980">
        <v>2</v>
      </c>
      <c r="B10" s="684" t="s">
        <v>561</v>
      </c>
      <c r="C10" s="685">
        <f>C11+C14+C15</f>
        <v>0</v>
      </c>
      <c r="D10" s="695"/>
      <c r="E10" s="685"/>
      <c r="F10" s="696"/>
      <c r="G10" s="694" t="s">
        <v>562</v>
      </c>
    </row>
    <row r="11" spans="1:25" s="1782" customFormat="1" ht="13.5" customHeight="1">
      <c r="A11" s="1980" t="s">
        <v>1786</v>
      </c>
      <c r="B11" s="688" t="s">
        <v>558</v>
      </c>
      <c r="C11" s="689">
        <f>'数据-取费表'!B29</f>
        <v>0</v>
      </c>
      <c r="D11" s="690"/>
      <c r="E11" s="689"/>
      <c r="F11" s="691"/>
      <c r="G11" s="1988" t="s">
        <v>1797</v>
      </c>
    </row>
    <row r="12" spans="1:25" s="1782" customFormat="1" ht="13.5" customHeight="1">
      <c r="A12" s="1986" t="s">
        <v>1794</v>
      </c>
      <c r="B12" s="692" t="s">
        <v>559</v>
      </c>
      <c r="C12" s="693">
        <f>ROUND(D12*E12/10000,0)</f>
        <v>282</v>
      </c>
      <c r="D12" s="2770">
        <f>'数据-汇总表'!E5</f>
        <v>26901.119999999999</v>
      </c>
      <c r="E12" s="2770">
        <f>'数据-取费表'!B27</f>
        <v>105</v>
      </c>
      <c r="F12" s="691"/>
      <c r="G12" s="694"/>
    </row>
    <row r="13" spans="1:25" s="1782" customFormat="1" ht="13.5" customHeight="1">
      <c r="A13" s="1986" t="s">
        <v>1793</v>
      </c>
      <c r="B13" s="692" t="s">
        <v>560</v>
      </c>
      <c r="C13" s="693">
        <f>ROUND(D13*E13/10000,0)</f>
        <v>12</v>
      </c>
      <c r="D13" s="2770">
        <f>'数据-汇总表'!E6</f>
        <v>1120.880000000001</v>
      </c>
      <c r="E13" s="2770">
        <f>'数据-取费表'!B28</f>
        <v>105</v>
      </c>
      <c r="F13" s="691"/>
      <c r="G13" s="694"/>
    </row>
    <row r="14" spans="1:25" s="1782" customFormat="1" ht="13.5" customHeight="1">
      <c r="A14" s="1980" t="s">
        <v>1787</v>
      </c>
      <c r="B14" s="1985" t="s">
        <v>1790</v>
      </c>
      <c r="C14" s="2772">
        <f>ROUND(D14*E14/10000,0)</f>
        <v>0</v>
      </c>
      <c r="D14" s="2770">
        <v>0</v>
      </c>
      <c r="E14" s="2771">
        <v>0</v>
      </c>
      <c r="F14" s="1984"/>
      <c r="G14" s="1987" t="s">
        <v>1795</v>
      </c>
    </row>
    <row r="15" spans="1:25" s="1782" customFormat="1" ht="13.5" customHeight="1">
      <c r="A15" s="1980" t="s">
        <v>1792</v>
      </c>
      <c r="B15" s="1985" t="s">
        <v>1791</v>
      </c>
      <c r="C15" s="2772">
        <f>ROUND(D15*E15/10000,0)</f>
        <v>0</v>
      </c>
      <c r="D15" s="2770">
        <v>0</v>
      </c>
      <c r="E15" s="2771">
        <v>0</v>
      </c>
      <c r="F15" s="1984"/>
      <c r="G15" s="1987" t="s">
        <v>1796</v>
      </c>
    </row>
    <row r="16" spans="1:25" s="1783" customFormat="1" ht="48">
      <c r="A16" s="1980">
        <v>3</v>
      </c>
      <c r="B16" s="684" t="s">
        <v>563</v>
      </c>
      <c r="C16" s="2772">
        <f>ROUND(D16*E16/10000,0)</f>
        <v>0</v>
      </c>
      <c r="D16" s="2770">
        <v>0</v>
      </c>
      <c r="E16" s="2771">
        <v>0</v>
      </c>
      <c r="F16" s="696"/>
      <c r="G16" s="694" t="s">
        <v>1798</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6.4">
      <c r="A17" s="1981">
        <v>4</v>
      </c>
      <c r="B17" s="684" t="s">
        <v>564</v>
      </c>
      <c r="C17" s="2045">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1"/>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81">
        <v>5</v>
      </c>
      <c r="B18" s="684" t="s">
        <v>565</v>
      </c>
      <c r="C18" s="685">
        <f>ROUND((C7+C10+C16)*F18,0)</f>
        <v>0</v>
      </c>
      <c r="D18" s="697"/>
      <c r="E18" s="698"/>
      <c r="F18" s="1143"/>
      <c r="G18" s="700" t="s">
        <v>566</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80">
        <v>6</v>
      </c>
      <c r="B19" s="684" t="s">
        <v>567</v>
      </c>
      <c r="C19" s="685">
        <f ca="1">C7+C10+C16+C17+C18</f>
        <v>0</v>
      </c>
      <c r="D19" s="695"/>
      <c r="E19" s="685"/>
      <c r="F19" s="696"/>
      <c r="G19" s="700" t="s">
        <v>568</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5.2">
      <c r="A20" s="1980">
        <v>7</v>
      </c>
      <c r="B20" s="684" t="s">
        <v>569</v>
      </c>
      <c r="C20" s="685">
        <f ca="1">ROUND(C19*F20,0)</f>
        <v>0</v>
      </c>
      <c r="D20" s="695"/>
      <c r="E20" s="685"/>
      <c r="F20" s="1143"/>
      <c r="G20" s="700" t="s">
        <v>570</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80">
        <v>8</v>
      </c>
      <c r="B21" s="684" t="s">
        <v>571</v>
      </c>
      <c r="C21" s="685">
        <f ca="1">C19+C20</f>
        <v>0</v>
      </c>
      <c r="D21" s="695"/>
      <c r="E21" s="685"/>
      <c r="F21" s="696"/>
      <c r="G21" s="700" t="s">
        <v>572</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customHeight="1">
      <c r="A22" s="1980">
        <v>9</v>
      </c>
      <c r="B22" s="684" t="s">
        <v>573</v>
      </c>
      <c r="C22" s="685">
        <f ca="1">ROUND(C21*F22,0)</f>
        <v>0</v>
      </c>
      <c r="D22" s="695"/>
      <c r="E22" s="685"/>
      <c r="F22" s="701">
        <f>'数据-取费表'!AP16</f>
        <v>0.95799999999999996</v>
      </c>
      <c r="G22" s="700" t="s">
        <v>574</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2" customHeight="1" thickBot="1">
      <c r="A23" s="1982">
        <v>10</v>
      </c>
      <c r="B23" s="702" t="s">
        <v>575</v>
      </c>
      <c r="C23" s="703">
        <f ca="1">C22</f>
        <v>0</v>
      </c>
      <c r="D23" s="704"/>
      <c r="E23" s="703"/>
      <c r="F23" s="705"/>
      <c r="G23" s="706"/>
      <c r="H23" s="1782"/>
      <c r="I23" s="1782"/>
      <c r="J23" s="1782"/>
      <c r="K23" s="1782"/>
      <c r="L23" s="1782"/>
      <c r="M23" s="1782"/>
      <c r="N23" s="1782"/>
      <c r="O23" s="1782"/>
      <c r="P23" s="1782"/>
      <c r="Q23" s="1782"/>
      <c r="R23" s="1782"/>
      <c r="S23" s="1782"/>
      <c r="T23" s="1782"/>
      <c r="U23" s="1782"/>
      <c r="V23" s="1782"/>
      <c r="W23" s="1782"/>
      <c r="X23" s="1782"/>
      <c r="Y23" s="1782"/>
    </row>
    <row r="24" spans="1:25" s="2769" customFormat="1">
      <c r="A24" s="2768"/>
      <c r="D24" s="1627"/>
      <c r="E24" s="1627"/>
    </row>
    <row r="25" spans="1:25" s="2769" customFormat="1">
      <c r="A25" s="2768"/>
      <c r="D25" s="1627"/>
      <c r="E25" s="1627"/>
    </row>
    <row r="26" spans="1:25" s="2769" customFormat="1">
      <c r="A26" s="2768"/>
      <c r="D26" s="1627"/>
      <c r="E26" s="1627"/>
    </row>
    <row r="27" spans="1:25" s="2769" customFormat="1">
      <c r="A27" s="2768"/>
      <c r="D27" s="1627"/>
      <c r="E27" s="1627"/>
    </row>
    <row r="28" spans="1:25" s="2769" customFormat="1">
      <c r="A28" s="2768"/>
      <c r="D28" s="1627"/>
      <c r="E28" s="1627"/>
    </row>
    <row r="29" spans="1:25" s="2769" customFormat="1">
      <c r="A29" s="2768"/>
      <c r="D29" s="1627"/>
      <c r="E29" s="1627"/>
    </row>
    <row r="30" spans="1:25" s="2769" customFormat="1">
      <c r="A30" s="2768"/>
      <c r="D30" s="1627"/>
      <c r="E30" s="1627"/>
    </row>
    <row r="31" spans="1:25" s="2769" customFormat="1">
      <c r="A31" s="2768"/>
      <c r="D31" s="1627"/>
      <c r="E31" s="1627"/>
    </row>
    <row r="32" spans="1:25" s="2769" customFormat="1">
      <c r="A32" s="2768"/>
      <c r="D32" s="1627"/>
      <c r="E32" s="1627"/>
    </row>
    <row r="33" spans="1:5" s="2769" customFormat="1">
      <c r="A33" s="2768"/>
      <c r="D33" s="1627"/>
      <c r="E33" s="1627"/>
    </row>
    <row r="34" spans="1:5" s="2769" customFormat="1">
      <c r="A34" s="2768"/>
      <c r="D34" s="1627"/>
      <c r="E34" s="1627"/>
    </row>
    <row r="35" spans="1:5" s="2769" customFormat="1">
      <c r="A35" s="2768"/>
      <c r="D35" s="1627"/>
      <c r="E35" s="1627"/>
    </row>
    <row r="36" spans="1:5" s="2769" customFormat="1">
      <c r="A36" s="2768"/>
      <c r="D36" s="1627"/>
      <c r="E36" s="1627"/>
    </row>
    <row r="37" spans="1:5" s="2769" customFormat="1">
      <c r="A37" s="2768"/>
      <c r="D37" s="1627"/>
      <c r="E37" s="1627"/>
    </row>
    <row r="38" spans="1:5" s="2769" customFormat="1">
      <c r="A38" s="2768"/>
      <c r="D38" s="1627"/>
      <c r="E38" s="1627"/>
    </row>
    <row r="39" spans="1:5" s="2769" customFormat="1">
      <c r="A39" s="2768"/>
      <c r="D39" s="1627"/>
      <c r="E39" s="1627"/>
    </row>
    <row r="40" spans="1:5" s="2769" customFormat="1">
      <c r="A40" s="2768"/>
      <c r="D40" s="1627"/>
      <c r="E40" s="1627"/>
    </row>
    <row r="41" spans="1:5" s="2769" customFormat="1">
      <c r="A41" s="2768"/>
      <c r="D41" s="1627"/>
      <c r="E41" s="1627"/>
    </row>
    <row r="42" spans="1:5" s="2769" customFormat="1">
      <c r="A42" s="2768"/>
      <c r="D42" s="1627"/>
      <c r="E42" s="1627"/>
    </row>
    <row r="43" spans="1:5" s="2769" customFormat="1">
      <c r="A43" s="2768"/>
      <c r="D43" s="1627"/>
      <c r="E43" s="1627"/>
    </row>
    <row r="44" spans="1:5" s="2769" customFormat="1">
      <c r="A44" s="2768"/>
      <c r="D44" s="1627"/>
      <c r="E44" s="1627"/>
    </row>
    <row r="45" spans="1:5" s="2769" customFormat="1">
      <c r="A45" s="2768"/>
      <c r="D45" s="1627"/>
      <c r="E45" s="1627"/>
    </row>
    <row r="46" spans="1:5" s="2769" customFormat="1">
      <c r="A46" s="2768"/>
      <c r="D46" s="1627"/>
      <c r="E46" s="1627"/>
    </row>
    <row r="47" spans="1:5" s="2769" customFormat="1">
      <c r="A47" s="2768"/>
      <c r="D47" s="1627"/>
      <c r="E47" s="1627"/>
    </row>
    <row r="48" spans="1:5" s="2769" customFormat="1">
      <c r="A48" s="2768"/>
      <c r="D48" s="1627"/>
      <c r="E48" s="1627"/>
    </row>
    <row r="49" spans="1:5" s="2769" customFormat="1">
      <c r="A49" s="2768"/>
      <c r="D49" s="1627"/>
      <c r="E49" s="1627"/>
    </row>
    <row r="50" spans="1:5" s="2769" customFormat="1">
      <c r="A50" s="2768"/>
      <c r="D50" s="1627"/>
      <c r="E50" s="1627"/>
    </row>
    <row r="51" spans="1:5" s="2769" customFormat="1">
      <c r="A51" s="2768"/>
      <c r="D51" s="1627"/>
      <c r="E51" s="1627"/>
    </row>
    <row r="52" spans="1:5" s="2769" customFormat="1">
      <c r="A52" s="2768"/>
      <c r="D52" s="1627"/>
      <c r="E52" s="1627"/>
    </row>
    <row r="53" spans="1:5" s="2769" customFormat="1">
      <c r="A53" s="2768"/>
      <c r="D53" s="1627"/>
      <c r="E53" s="1627"/>
    </row>
    <row r="54" spans="1:5" s="2769" customFormat="1">
      <c r="A54" s="2768"/>
      <c r="D54" s="1627"/>
      <c r="E54" s="1627"/>
    </row>
    <row r="55" spans="1:5" s="2769" customFormat="1">
      <c r="A55" s="2768"/>
      <c r="D55" s="1627"/>
      <c r="E55" s="1627"/>
    </row>
    <row r="56" spans="1:5" s="2769" customFormat="1">
      <c r="A56" s="2768"/>
      <c r="D56" s="1627"/>
      <c r="E56" s="1627"/>
    </row>
    <row r="57" spans="1:5" s="2769" customFormat="1">
      <c r="A57" s="2768"/>
      <c r="D57" s="1627"/>
      <c r="E57" s="1627"/>
    </row>
    <row r="58" spans="1:5" s="2769" customFormat="1">
      <c r="A58" s="2768"/>
      <c r="D58" s="1627"/>
      <c r="E58" s="1627"/>
    </row>
    <row r="59" spans="1:5" s="2769" customFormat="1">
      <c r="A59" s="2768"/>
      <c r="D59" s="1627"/>
      <c r="E59" s="1627"/>
    </row>
    <row r="60" spans="1:5" s="2769" customFormat="1">
      <c r="A60" s="2768"/>
      <c r="D60" s="1627"/>
      <c r="E60" s="1627"/>
    </row>
    <row r="61" spans="1:5" s="2769" customFormat="1">
      <c r="A61" s="2768"/>
      <c r="D61" s="1627"/>
      <c r="E61" s="1627"/>
    </row>
    <row r="62" spans="1:5" s="2769" customFormat="1">
      <c r="A62" s="2768"/>
      <c r="D62" s="1627"/>
      <c r="E62" s="1627"/>
    </row>
    <row r="63" spans="1:5" s="2769" customFormat="1">
      <c r="A63" s="2768"/>
      <c r="D63" s="1627"/>
      <c r="E63" s="1627"/>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7" zoomScale="60" zoomScaleNormal="60" workbookViewId="0">
      <selection activeCell="K11" sqref="K11"/>
    </sheetView>
  </sheetViews>
  <sheetFormatPr defaultColWidth="9" defaultRowHeight="13.8"/>
  <cols>
    <col min="1" max="1" width="10.44140625" style="1132" customWidth="1"/>
    <col min="2" max="2" width="15.77734375" style="1132" customWidth="1"/>
    <col min="3" max="3" width="17.6640625" style="1132" customWidth="1"/>
    <col min="4" max="4" width="12.21875" style="1132" customWidth="1"/>
    <col min="5" max="5" width="16" style="1132" customWidth="1"/>
    <col min="6" max="6" width="12.21875" style="1132" customWidth="1"/>
    <col min="7" max="7" width="17.21875" style="1132" customWidth="1"/>
    <col min="8" max="8" width="12.21875" style="1132" customWidth="1"/>
    <col min="9" max="9" width="17.7773437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2077" t="s">
        <v>666</v>
      </c>
      <c r="C1" s="2078" t="s">
        <v>667</v>
      </c>
      <c r="D1" s="2079" t="s">
        <v>851</v>
      </c>
      <c r="E1" s="1734"/>
      <c r="F1" s="2117" t="s">
        <v>3517</v>
      </c>
      <c r="G1" s="1327" t="s">
        <v>668</v>
      </c>
      <c r="H1" s="457"/>
      <c r="I1" s="457"/>
      <c r="J1" s="457"/>
      <c r="K1" s="458"/>
      <c r="L1" s="2717"/>
      <c r="M1" s="2718"/>
      <c r="N1" s="2718"/>
      <c r="O1" s="2718"/>
      <c r="P1" s="455"/>
      <c r="Q1" s="455"/>
      <c r="R1" s="455"/>
      <c r="S1" s="455"/>
      <c r="T1" s="455"/>
      <c r="U1" s="455"/>
      <c r="V1" s="455"/>
      <c r="W1" s="455"/>
      <c r="X1" s="455"/>
      <c r="Y1" s="455"/>
      <c r="Z1" s="455"/>
      <c r="AA1" s="455"/>
      <c r="AB1" s="455"/>
      <c r="AC1" s="398"/>
    </row>
    <row r="2" spans="1:29" s="1156" customFormat="1" ht="28.5" customHeight="1">
      <c r="A2" s="393" t="s">
        <v>427</v>
      </c>
      <c r="B2" s="2076">
        <f>ROUND(B3*D3/10000,0)</f>
        <v>28558</v>
      </c>
      <c r="C2" s="1734"/>
      <c r="D2" s="1734"/>
      <c r="E2" s="1734"/>
      <c r="F2" s="1798"/>
      <c r="G2" s="1734"/>
      <c r="H2" s="1734"/>
      <c r="I2" s="1734"/>
      <c r="J2" s="1734"/>
      <c r="K2" s="1799"/>
      <c r="L2" s="1800"/>
      <c r="M2" s="1801"/>
      <c r="N2" s="1801"/>
      <c r="O2" s="1801"/>
      <c r="P2" s="1328"/>
      <c r="Q2" s="1328"/>
      <c r="R2" s="1328"/>
      <c r="S2" s="1328"/>
      <c r="T2" s="1328"/>
      <c r="U2" s="1328"/>
      <c r="V2" s="1328"/>
      <c r="W2" s="1328"/>
      <c r="X2" s="1328"/>
      <c r="Y2" s="1328"/>
      <c r="Z2" s="1328"/>
      <c r="AA2" s="1328"/>
      <c r="AB2" s="1328"/>
      <c r="AC2" s="1329"/>
    </row>
    <row r="3" spans="1:29" s="1156" customFormat="1" ht="28.5" customHeight="1" thickBot="1">
      <c r="A3" s="460" t="s">
        <v>468</v>
      </c>
      <c r="B3" s="785">
        <f>C49</f>
        <v>10616</v>
      </c>
      <c r="C3" s="786" t="s">
        <v>669</v>
      </c>
      <c r="D3" s="785">
        <f>SUMIF('数据-汇总表'!$C19:$C33,D1,'数据-汇总表'!$E19:$E33)</f>
        <v>26901.119999999999</v>
      </c>
      <c r="E3" s="1734"/>
      <c r="F3" s="1798"/>
      <c r="G3" s="1734"/>
      <c r="H3" s="1734"/>
      <c r="I3" s="1734"/>
      <c r="J3" s="1734"/>
      <c r="K3" s="1799"/>
      <c r="L3" s="1800"/>
      <c r="M3" s="1801"/>
      <c r="N3" s="1801"/>
      <c r="O3" s="1801"/>
      <c r="P3" s="1328"/>
      <c r="Q3" s="1328"/>
      <c r="R3" s="1328"/>
      <c r="S3" s="1328"/>
      <c r="T3" s="1328"/>
      <c r="U3" s="1328"/>
      <c r="V3" s="1328"/>
      <c r="W3" s="1328"/>
      <c r="X3" s="1328"/>
      <c r="Y3" s="1328"/>
      <c r="Z3" s="1328"/>
      <c r="AA3" s="1328"/>
      <c r="AB3" s="1328"/>
      <c r="AC3" s="1329"/>
    </row>
    <row r="4" spans="1:29" ht="14.4">
      <c r="A4" s="463" t="s">
        <v>470</v>
      </c>
      <c r="B4" s="464"/>
      <c r="C4" s="3635" t="s">
        <v>471</v>
      </c>
      <c r="D4" s="3636"/>
      <c r="E4" s="3657" t="s">
        <v>472</v>
      </c>
      <c r="F4" s="3658"/>
      <c r="G4" s="3635" t="s">
        <v>473</v>
      </c>
      <c r="H4" s="3636"/>
      <c r="I4" s="3635" t="s">
        <v>474</v>
      </c>
      <c r="J4" s="3636"/>
      <c r="K4" s="787" t="s">
        <v>475</v>
      </c>
      <c r="L4" s="1740"/>
      <c r="M4" s="1741"/>
      <c r="N4" s="1741"/>
      <c r="O4" s="1741"/>
      <c r="P4" s="3637" t="s">
        <v>476</v>
      </c>
      <c r="Q4" s="3638"/>
      <c r="R4" s="3621" t="s">
        <v>472</v>
      </c>
      <c r="S4" s="3622"/>
      <c r="T4" s="3621" t="s">
        <v>473</v>
      </c>
      <c r="U4" s="3622"/>
      <c r="V4" s="3643" t="s">
        <v>474</v>
      </c>
      <c r="W4" s="3643"/>
      <c r="X4" s="1301"/>
      <c r="Y4" s="3621" t="s">
        <v>476</v>
      </c>
      <c r="Z4" s="3622"/>
      <c r="AA4" s="3616" t="s">
        <v>472</v>
      </c>
      <c r="AB4" s="3616" t="s">
        <v>473</v>
      </c>
      <c r="AC4" s="3616" t="s">
        <v>474</v>
      </c>
    </row>
    <row r="5" spans="1:29" ht="13.8" customHeight="1">
      <c r="A5" s="466"/>
      <c r="B5" s="467"/>
      <c r="C5" s="3646" t="s">
        <v>2192</v>
      </c>
      <c r="D5" s="3647"/>
      <c r="E5" s="3738" t="s">
        <v>3518</v>
      </c>
      <c r="F5" s="3660"/>
      <c r="G5" s="3739" t="s">
        <v>3519</v>
      </c>
      <c r="H5" s="3647"/>
      <c r="I5" s="3739" t="s">
        <v>3520</v>
      </c>
      <c r="J5" s="3647"/>
      <c r="K5" s="788"/>
      <c r="L5" s="1740"/>
      <c r="M5" s="1741"/>
      <c r="N5" s="1741"/>
      <c r="O5" s="1741"/>
      <c r="P5" s="3639"/>
      <c r="Q5" s="3640"/>
      <c r="R5" s="3623"/>
      <c r="S5" s="3624"/>
      <c r="T5" s="3623"/>
      <c r="U5" s="3624"/>
      <c r="V5" s="3643"/>
      <c r="W5" s="3643"/>
      <c r="X5" s="1301"/>
      <c r="Y5" s="3623"/>
      <c r="Z5" s="3624"/>
      <c r="AA5" s="3617"/>
      <c r="AB5" s="3617"/>
      <c r="AC5" s="3617"/>
    </row>
    <row r="6" spans="1:29" ht="15" thickBot="1">
      <c r="A6" s="468"/>
      <c r="B6" s="469"/>
      <c r="C6" s="3644" t="s">
        <v>2196</v>
      </c>
      <c r="D6" s="3645"/>
      <c r="E6" s="3661" t="s">
        <v>2196</v>
      </c>
      <c r="F6" s="3662"/>
      <c r="G6" s="3644" t="s">
        <v>2196</v>
      </c>
      <c r="H6" s="3645"/>
      <c r="I6" s="3644" t="s">
        <v>2196</v>
      </c>
      <c r="J6" s="3645"/>
      <c r="K6" s="788" t="s">
        <v>477</v>
      </c>
      <c r="L6" s="1740"/>
      <c r="M6" s="1741"/>
      <c r="N6" s="1741"/>
      <c r="O6" s="1741"/>
      <c r="P6" s="3641"/>
      <c r="Q6" s="3642"/>
      <c r="R6" s="3623"/>
      <c r="S6" s="3624"/>
      <c r="T6" s="3625"/>
      <c r="U6" s="3626"/>
      <c r="V6" s="3643"/>
      <c r="W6" s="3643"/>
      <c r="X6" s="1301"/>
      <c r="Y6" s="3625"/>
      <c r="Z6" s="3626"/>
      <c r="AA6" s="3618"/>
      <c r="AB6" s="3618"/>
      <c r="AC6" s="3618"/>
    </row>
    <row r="7" spans="1:29" s="1060" customFormat="1" ht="15" thickBot="1">
      <c r="A7" s="2208"/>
      <c r="B7" s="2215" t="s">
        <v>478</v>
      </c>
      <c r="C7" s="470">
        <f>'数据-取费表'!B2</f>
        <v>45849</v>
      </c>
      <c r="D7" s="471">
        <v>100</v>
      </c>
      <c r="E7" s="472">
        <v>45597</v>
      </c>
      <c r="F7" s="473">
        <f>SUMIF(58:58,YEAR(E7)&amp;"-"&amp;MONTH(E7),59:59)</f>
        <v>100</v>
      </c>
      <c r="G7" s="474">
        <v>45597</v>
      </c>
      <c r="H7" s="471">
        <f>SUMIF(58:58,YEAR(G7)&amp;"-"&amp;MONTH(G7),59:59)</f>
        <v>100</v>
      </c>
      <c r="I7" s="474">
        <v>45547</v>
      </c>
      <c r="J7" s="471">
        <f>SUMIF(58:58,YEAR(I7)&amp;"-"&amp;MONTH(I7),59:59)</f>
        <v>100</v>
      </c>
      <c r="K7" s="789"/>
      <c r="L7" s="1742"/>
      <c r="M7" s="1639"/>
      <c r="N7" s="1639"/>
      <c r="O7" s="1639"/>
      <c r="P7" s="3619" t="s">
        <v>479</v>
      </c>
      <c r="Q7" s="3628"/>
      <c r="R7" s="1302" t="s">
        <v>10</v>
      </c>
      <c r="S7" s="1303">
        <f t="shared" ref="S7:S15" si="0">F7</f>
        <v>100</v>
      </c>
      <c r="T7" s="1302" t="s">
        <v>10</v>
      </c>
      <c r="U7" s="1303">
        <f t="shared" ref="U7:U15" si="1">H7</f>
        <v>100</v>
      </c>
      <c r="V7" s="1302" t="s">
        <v>10</v>
      </c>
      <c r="W7" s="1303">
        <f t="shared" ref="W7:W15" si="2">J7</f>
        <v>100</v>
      </c>
      <c r="X7" s="1304"/>
      <c r="Y7" s="3619" t="s">
        <v>479</v>
      </c>
      <c r="Z7" s="3620"/>
      <c r="AA7" s="997">
        <f>D7/F7</f>
        <v>1</v>
      </c>
      <c r="AB7" s="997">
        <f>D7/H7</f>
        <v>1</v>
      </c>
      <c r="AC7" s="997">
        <f>D7/J7</f>
        <v>1</v>
      </c>
    </row>
    <row r="8" spans="1:29" s="1060" customFormat="1" ht="15" thickBot="1">
      <c r="A8" s="2209"/>
      <c r="B8" s="2216" t="s">
        <v>480</v>
      </c>
      <c r="C8" s="475" t="s">
        <v>524</v>
      </c>
      <c r="D8" s="471">
        <v>100</v>
      </c>
      <c r="E8" s="790" t="s">
        <v>3478</v>
      </c>
      <c r="F8" s="473">
        <f>SUMIF(61:61,E8,62:62)-SUMIF(61:61,C8,62:62)+100</f>
        <v>100</v>
      </c>
      <c r="G8" s="790" t="s">
        <v>3478</v>
      </c>
      <c r="H8" s="471">
        <f>SUMIF(61:61,G8,62:62)-SUMIF(61:61,C8,62:62)+100</f>
        <v>100</v>
      </c>
      <c r="I8" s="790" t="s">
        <v>3478</v>
      </c>
      <c r="J8" s="471">
        <f>SUMIF(61:61,I8,62:62)-SUMIF(61:61,C8,62:62)+100</f>
        <v>100</v>
      </c>
      <c r="K8" s="789"/>
      <c r="L8" s="1742"/>
      <c r="M8" s="1639"/>
      <c r="N8" s="1639"/>
      <c r="O8" s="1639"/>
      <c r="P8" s="3619" t="s">
        <v>482</v>
      </c>
      <c r="Q8" s="3620"/>
      <c r="R8" s="1302" t="s">
        <v>10</v>
      </c>
      <c r="S8" s="1303">
        <f t="shared" si="0"/>
        <v>100</v>
      </c>
      <c r="T8" s="1302" t="s">
        <v>10</v>
      </c>
      <c r="U8" s="1303">
        <f t="shared" si="1"/>
        <v>100</v>
      </c>
      <c r="V8" s="1302" t="s">
        <v>10</v>
      </c>
      <c r="W8" s="1303">
        <f t="shared" si="2"/>
        <v>100</v>
      </c>
      <c r="X8" s="1304"/>
      <c r="Y8" s="3619" t="s">
        <v>482</v>
      </c>
      <c r="Z8" s="3620"/>
      <c r="AA8" s="997">
        <f t="shared" ref="AA8:AA46" si="3">D8/F8</f>
        <v>1</v>
      </c>
      <c r="AB8" s="997">
        <f t="shared" ref="AB8:AB46" si="4">D8/H8</f>
        <v>1</v>
      </c>
      <c r="AC8" s="997">
        <f t="shared" ref="AC8:AC46" si="5">D8/J8</f>
        <v>1</v>
      </c>
    </row>
    <row r="9" spans="1:29" s="1060" customFormat="1" ht="14.4">
      <c r="A9" s="2210"/>
      <c r="B9" s="2217" t="s">
        <v>2038</v>
      </c>
      <c r="C9" s="3427" t="s">
        <v>3521</v>
      </c>
      <c r="D9" s="154">
        <v>100</v>
      </c>
      <c r="E9" s="792" t="s">
        <v>851</v>
      </c>
      <c r="F9" s="156">
        <f>SUMIF(63:63,E9,64:64)-SUMIF(63:63,C9,64:64)+100</f>
        <v>100</v>
      </c>
      <c r="G9" s="792" t="s">
        <v>851</v>
      </c>
      <c r="H9" s="154">
        <f>SUMIF(63:63,G9,64:64)-SUMIF(63:63,C9,64:64)+100</f>
        <v>100</v>
      </c>
      <c r="I9" s="792" t="s">
        <v>851</v>
      </c>
      <c r="J9" s="154">
        <f>SUMIF(63:63,I9,64:64)-SUMIF(63:63,C9,64:64)+100</f>
        <v>100</v>
      </c>
      <c r="K9" s="789"/>
      <c r="L9" s="1742"/>
      <c r="M9" s="1639"/>
      <c r="N9" s="1639"/>
      <c r="O9" s="1743"/>
      <c r="P9" s="3627" t="s">
        <v>484</v>
      </c>
      <c r="Q9" s="818" t="str">
        <f t="shared" ref="Q9:Q15" si="6">B9</f>
        <v>用途</v>
      </c>
      <c r="R9" s="1302" t="s">
        <v>5</v>
      </c>
      <c r="S9" s="1303">
        <f t="shared" si="0"/>
        <v>100</v>
      </c>
      <c r="T9" s="1302" t="s">
        <v>5</v>
      </c>
      <c r="U9" s="1303">
        <f t="shared" si="1"/>
        <v>100</v>
      </c>
      <c r="V9" s="1302" t="s">
        <v>5</v>
      </c>
      <c r="W9" s="1303">
        <f t="shared" si="2"/>
        <v>100</v>
      </c>
      <c r="X9" s="1304"/>
      <c r="Y9" s="3575" t="s">
        <v>485</v>
      </c>
      <c r="Z9" s="997" t="str">
        <f t="shared" ref="Z9:Z15" si="7">Q9</f>
        <v>用途</v>
      </c>
      <c r="AA9" s="997">
        <f t="shared" si="3"/>
        <v>1</v>
      </c>
      <c r="AB9" s="997">
        <f t="shared" si="4"/>
        <v>1</v>
      </c>
      <c r="AC9" s="997">
        <f t="shared" si="5"/>
        <v>1</v>
      </c>
    </row>
    <row r="10" spans="1:29" s="1133" customFormat="1" ht="28.8">
      <c r="A10" s="2211"/>
      <c r="B10" s="2216" t="s">
        <v>2039</v>
      </c>
      <c r="C10" s="3385"/>
      <c r="D10" s="235">
        <v>100</v>
      </c>
      <c r="E10" s="3386"/>
      <c r="F10" s="477">
        <f>SUMIF(65:65,E10,66:66)-SUMIF(65:65,C10,66:66)+100</f>
        <v>100</v>
      </c>
      <c r="G10" s="3385"/>
      <c r="H10" s="235">
        <f>SUMIF(65:65,G10,66:66)-SUMIF(65:65,C10,66:66)+100</f>
        <v>100</v>
      </c>
      <c r="I10" s="3385"/>
      <c r="J10" s="235">
        <f>SUMIF(65:65,I10,66:66)-SUMIF(65:65,C10,66:66)+100</f>
        <v>100</v>
      </c>
      <c r="K10" s="789"/>
      <c r="L10" s="1744"/>
      <c r="M10" s="1777"/>
      <c r="N10" s="1777"/>
      <c r="O10" s="1745"/>
      <c r="P10" s="3627"/>
      <c r="Q10" s="818" t="str">
        <f t="shared" si="6"/>
        <v>土地使用年限（年）</v>
      </c>
      <c r="R10" s="1302" t="s">
        <v>5</v>
      </c>
      <c r="S10" s="1303">
        <f t="shared" si="0"/>
        <v>100</v>
      </c>
      <c r="T10" s="1302" t="s">
        <v>5</v>
      </c>
      <c r="U10" s="1303">
        <f t="shared" si="1"/>
        <v>100</v>
      </c>
      <c r="V10" s="1302" t="s">
        <v>5</v>
      </c>
      <c r="W10" s="1303">
        <f t="shared" si="2"/>
        <v>100</v>
      </c>
      <c r="X10" s="1304"/>
      <c r="Y10" s="3575"/>
      <c r="Z10" s="997" t="str">
        <f t="shared" si="7"/>
        <v>土地使用年限（年）</v>
      </c>
      <c r="AA10" s="997">
        <f t="shared" si="3"/>
        <v>1</v>
      </c>
      <c r="AB10" s="997">
        <f t="shared" si="4"/>
        <v>1</v>
      </c>
      <c r="AC10" s="997">
        <f t="shared" si="5"/>
        <v>1</v>
      </c>
    </row>
    <row r="11" spans="1:29" ht="15">
      <c r="A11" s="2212"/>
      <c r="B11" s="2216" t="s">
        <v>2040</v>
      </c>
      <c r="C11" s="3436">
        <v>1.3</v>
      </c>
      <c r="D11" s="235">
        <v>100</v>
      </c>
      <c r="E11" s="3437">
        <v>3</v>
      </c>
      <c r="F11" s="477">
        <f>LOOKUP(E11,68:68,69:69)-LOOKUP(C11,68:68,69:69)+100</f>
        <v>92</v>
      </c>
      <c r="G11" s="3436">
        <v>2.6</v>
      </c>
      <c r="H11" s="235">
        <f>LOOKUP(G11,68:68,69:69)-LOOKUP(C11,68:68,69:69)+100</f>
        <v>96</v>
      </c>
      <c r="I11" s="3436">
        <v>2.4</v>
      </c>
      <c r="J11" s="235">
        <f>LOOKUP(I11,68:68,69:69)-LOOKUP(C11,68:68,69:69)+100</f>
        <v>96</v>
      </c>
      <c r="K11" s="794">
        <v>4</v>
      </c>
      <c r="L11" s="1746"/>
      <c r="M11" s="1741"/>
      <c r="N11" s="1741"/>
      <c r="O11" s="1747"/>
      <c r="P11" s="3627"/>
      <c r="Q11" s="818" t="str">
        <f t="shared" si="6"/>
        <v>容积率</v>
      </c>
      <c r="R11" s="1302" t="s">
        <v>8</v>
      </c>
      <c r="S11" s="1303">
        <f t="shared" si="0"/>
        <v>92</v>
      </c>
      <c r="T11" s="1302" t="s">
        <v>8</v>
      </c>
      <c r="U11" s="1303">
        <f t="shared" si="1"/>
        <v>96</v>
      </c>
      <c r="V11" s="1302" t="s">
        <v>8</v>
      </c>
      <c r="W11" s="1303">
        <f t="shared" si="2"/>
        <v>96</v>
      </c>
      <c r="X11" s="1304"/>
      <c r="Y11" s="3575"/>
      <c r="Z11" s="997" t="str">
        <f t="shared" si="7"/>
        <v>容积率</v>
      </c>
      <c r="AA11" s="997">
        <f t="shared" si="3"/>
        <v>1.0869565217391304</v>
      </c>
      <c r="AB11" s="997">
        <f t="shared" si="4"/>
        <v>1.0416666666666667</v>
      </c>
      <c r="AC11" s="997">
        <f t="shared" si="5"/>
        <v>1.0416666666666667</v>
      </c>
    </row>
    <row r="12" spans="1:29" s="1060" customFormat="1" ht="15">
      <c r="A12" s="2213"/>
      <c r="B12" s="2219">
        <v>111</v>
      </c>
      <c r="C12" s="478"/>
      <c r="D12" s="488">
        <v>100</v>
      </c>
      <c r="E12" s="478"/>
      <c r="F12" s="477">
        <f>SUMIF(70:70,E12,71:71)-SUMIF(70:70,C12,71:71)+100</f>
        <v>100</v>
      </c>
      <c r="G12" s="478"/>
      <c r="H12" s="235">
        <f>SUMIF(70:70,G12,71:71)-SUMIF(70:70,C12,71:71)+100</f>
        <v>100</v>
      </c>
      <c r="I12" s="478"/>
      <c r="J12" s="235">
        <f>SUMIF(70:70,I12,71:71)-SUMIF(70:70,C12,71:71)+100</f>
        <v>100</v>
      </c>
      <c r="K12" s="795"/>
      <c r="L12" s="1742"/>
      <c r="M12" s="1639"/>
      <c r="N12" s="1639"/>
      <c r="O12" s="1743"/>
      <c r="P12" s="3627"/>
      <c r="Q12" s="818">
        <f t="shared" si="6"/>
        <v>111</v>
      </c>
      <c r="R12" s="1302" t="s">
        <v>8</v>
      </c>
      <c r="S12" s="1303">
        <f t="shared" si="0"/>
        <v>100</v>
      </c>
      <c r="T12" s="1302" t="s">
        <v>8</v>
      </c>
      <c r="U12" s="1303">
        <f t="shared" si="1"/>
        <v>100</v>
      </c>
      <c r="V12" s="1302" t="s">
        <v>8</v>
      </c>
      <c r="W12" s="1303">
        <f t="shared" si="2"/>
        <v>100</v>
      </c>
      <c r="X12" s="1304"/>
      <c r="Y12" s="3575"/>
      <c r="Z12" s="997">
        <f t="shared" si="7"/>
        <v>111</v>
      </c>
      <c r="AA12" s="997">
        <f>D12/F12</f>
        <v>1</v>
      </c>
      <c r="AB12" s="997">
        <f>D12/H12</f>
        <v>1</v>
      </c>
      <c r="AC12" s="997">
        <f>D12/J12</f>
        <v>1</v>
      </c>
    </row>
    <row r="13" spans="1:29" ht="15">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5"/>
      <c r="L13" s="1748"/>
      <c r="M13" s="1741"/>
      <c r="N13" s="1741"/>
      <c r="O13" s="1747"/>
      <c r="P13" s="3627"/>
      <c r="Q13" s="818">
        <f t="shared" si="6"/>
        <v>111</v>
      </c>
      <c r="R13" s="1302" t="s">
        <v>8</v>
      </c>
      <c r="S13" s="1303">
        <f t="shared" si="0"/>
        <v>100</v>
      </c>
      <c r="T13" s="1302" t="s">
        <v>8</v>
      </c>
      <c r="U13" s="1303">
        <f t="shared" si="1"/>
        <v>100</v>
      </c>
      <c r="V13" s="1302" t="s">
        <v>8</v>
      </c>
      <c r="W13" s="1303">
        <f t="shared" si="2"/>
        <v>100</v>
      </c>
      <c r="X13" s="1304"/>
      <c r="Y13" s="3575"/>
      <c r="Z13" s="997">
        <f t="shared" si="7"/>
        <v>111</v>
      </c>
      <c r="AA13" s="997">
        <f t="shared" si="3"/>
        <v>1</v>
      </c>
      <c r="AB13" s="997">
        <f t="shared" si="4"/>
        <v>1</v>
      </c>
      <c r="AC13" s="997">
        <f t="shared" si="5"/>
        <v>1</v>
      </c>
    </row>
    <row r="14" spans="1:29" ht="15.6" thickBot="1">
      <c r="A14" s="2214"/>
      <c r="B14" s="2220">
        <v>111</v>
      </c>
      <c r="C14" s="495"/>
      <c r="D14" s="496">
        <v>100</v>
      </c>
      <c r="E14" s="495"/>
      <c r="F14" s="796">
        <f>SUMIF(74:74,E14,75:75)-SUMIF(74:74,C14,75:75)+100</f>
        <v>100</v>
      </c>
      <c r="G14" s="495"/>
      <c r="H14" s="496">
        <f>SUMIF(74:74,G14,75:75)-SUMIF(74:74,C14,75:75)+100</f>
        <v>100</v>
      </c>
      <c r="I14" s="495"/>
      <c r="J14" s="496">
        <f>SUMIF(74:74,I14,75:75)-SUMIF(74:74,C14,75:75)+100</f>
        <v>100</v>
      </c>
      <c r="K14" s="795"/>
      <c r="L14" s="1748"/>
      <c r="M14" s="1741"/>
      <c r="N14" s="1741"/>
      <c r="O14" s="1747"/>
      <c r="P14" s="3627"/>
      <c r="Q14" s="818">
        <f t="shared" si="6"/>
        <v>111</v>
      </c>
      <c r="R14" s="1302" t="s">
        <v>8</v>
      </c>
      <c r="S14" s="1303">
        <f t="shared" si="0"/>
        <v>100</v>
      </c>
      <c r="T14" s="1302" t="s">
        <v>8</v>
      </c>
      <c r="U14" s="1303">
        <f t="shared" si="1"/>
        <v>100</v>
      </c>
      <c r="V14" s="1302" t="s">
        <v>8</v>
      </c>
      <c r="W14" s="1303">
        <f t="shared" si="2"/>
        <v>100</v>
      </c>
      <c r="X14" s="1304"/>
      <c r="Y14" s="3575"/>
      <c r="Z14" s="997">
        <f t="shared" si="7"/>
        <v>111</v>
      </c>
      <c r="AA14" s="997">
        <f t="shared" si="3"/>
        <v>1</v>
      </c>
      <c r="AB14" s="997">
        <f t="shared" si="4"/>
        <v>1</v>
      </c>
      <c r="AC14" s="997">
        <f t="shared" si="5"/>
        <v>1</v>
      </c>
    </row>
    <row r="15" spans="1:29" ht="82.8">
      <c r="A15" s="2206" t="s">
        <v>2036</v>
      </c>
      <c r="B15" s="150" t="s">
        <v>261</v>
      </c>
      <c r="C15" s="797" t="str">
        <f>估价对象房地状况!C3</f>
        <v>估价对象周边居住用地比例、居住小区规模和社区发展完善程度，综合评价居住社区成熟度一般</v>
      </c>
      <c r="D15" s="499">
        <v>100</v>
      </c>
      <c r="E15" s="500"/>
      <c r="F15" s="501">
        <f>SUMIF(76:76,E16,77:77)-SUMIF(76:76,C16,77:77)+100</f>
        <v>102</v>
      </c>
      <c r="G15" s="502"/>
      <c r="H15" s="499">
        <f>SUMIF(76:76,G16,77:77)-SUMIF(76:76,C16,77:77)+100</f>
        <v>102</v>
      </c>
      <c r="I15" s="500"/>
      <c r="J15" s="499">
        <f>SUMIF(76:76,I16,77:77)-SUMIF(76:76,C16,77:77)+100</f>
        <v>102</v>
      </c>
      <c r="K15" s="798">
        <v>2</v>
      </c>
      <c r="L15" s="1748"/>
      <c r="M15" s="1741"/>
      <c r="N15" s="1741"/>
      <c r="O15" s="1747"/>
      <c r="P15" s="3629" t="s">
        <v>489</v>
      </c>
      <c r="Q15" s="1305" t="str">
        <f t="shared" si="6"/>
        <v>居住社区成熟度</v>
      </c>
      <c r="R15" s="1306" t="s">
        <v>8</v>
      </c>
      <c r="S15" s="1307">
        <f t="shared" si="0"/>
        <v>102</v>
      </c>
      <c r="T15" s="1306" t="s">
        <v>8</v>
      </c>
      <c r="U15" s="1307">
        <f t="shared" si="1"/>
        <v>102</v>
      </c>
      <c r="V15" s="1306" t="s">
        <v>8</v>
      </c>
      <c r="W15" s="1307">
        <f t="shared" si="2"/>
        <v>102</v>
      </c>
      <c r="X15" s="1301"/>
      <c r="Y15" s="3629" t="s">
        <v>489</v>
      </c>
      <c r="Z15" s="1308" t="str">
        <f t="shared" si="7"/>
        <v>居住社区成熟度</v>
      </c>
      <c r="AA15" s="1308">
        <f t="shared" si="3"/>
        <v>0.98039215686274506</v>
      </c>
      <c r="AB15" s="1308">
        <f t="shared" si="4"/>
        <v>0.98039215686274506</v>
      </c>
      <c r="AC15" s="1308">
        <f t="shared" si="5"/>
        <v>0.98039215686274506</v>
      </c>
    </row>
    <row r="16" spans="1:29" ht="15">
      <c r="A16" s="482"/>
      <c r="B16" s="799"/>
      <c r="C16" s="526" t="s">
        <v>3482</v>
      </c>
      <c r="D16" s="505"/>
      <c r="E16" s="506" t="s">
        <v>3484</v>
      </c>
      <c r="F16" s="507"/>
      <c r="G16" s="506" t="s">
        <v>3484</v>
      </c>
      <c r="H16" s="509"/>
      <c r="I16" s="506" t="s">
        <v>3484</v>
      </c>
      <c r="J16" s="505"/>
      <c r="K16" s="800"/>
      <c r="L16" s="1748"/>
      <c r="M16" s="1741"/>
      <c r="N16" s="1741"/>
      <c r="O16" s="1747"/>
      <c r="P16" s="3630"/>
      <c r="Q16" s="1305"/>
      <c r="R16" s="1306"/>
      <c r="S16" s="1307"/>
      <c r="T16" s="1306"/>
      <c r="U16" s="1307"/>
      <c r="V16" s="1306"/>
      <c r="W16" s="1307"/>
      <c r="X16" s="1301"/>
      <c r="Y16" s="3630"/>
      <c r="Z16" s="1308"/>
      <c r="AA16" s="1308">
        <v>1</v>
      </c>
      <c r="AB16" s="1308">
        <v>1</v>
      </c>
      <c r="AC16" s="1308">
        <v>1</v>
      </c>
    </row>
    <row r="17" spans="1:29" ht="69">
      <c r="A17" s="482"/>
      <c r="B17" s="677" t="s">
        <v>262</v>
      </c>
      <c r="C17" s="801" t="str">
        <f>估价对象房地状况!C6</f>
        <v>估价对象周边道路状况、公共交通通达情况、停车便捷程度，综合评价交通便捷度较好</v>
      </c>
      <c r="D17" s="509">
        <v>100</v>
      </c>
      <c r="E17" s="512"/>
      <c r="F17" s="513">
        <f>SUMIF(78:78,E18,79:79)-SUMIF(78:78,C18,79:79)+100</f>
        <v>101</v>
      </c>
      <c r="G17" s="514"/>
      <c r="H17" s="515">
        <f>SUMIF(78:78,G18,79:79)-SUMIF(78:78,C18,79:79)+100</f>
        <v>101</v>
      </c>
      <c r="I17" s="512"/>
      <c r="J17" s="515">
        <f>SUMIF(78:78,I18,79:79)-SUMIF(78:78,C18,79:79)+100</f>
        <v>101</v>
      </c>
      <c r="K17" s="798">
        <v>1</v>
      </c>
      <c r="L17" s="1748"/>
      <c r="M17" s="1741"/>
      <c r="N17" s="1741"/>
      <c r="O17" s="1747"/>
      <c r="P17" s="3630"/>
      <c r="Q17" s="1305" t="str">
        <f>B17</f>
        <v>交通便捷度</v>
      </c>
      <c r="R17" s="1306" t="s">
        <v>8</v>
      </c>
      <c r="S17" s="1307">
        <f>F17</f>
        <v>101</v>
      </c>
      <c r="T17" s="1306" t="s">
        <v>8</v>
      </c>
      <c r="U17" s="1307">
        <f>H17</f>
        <v>101</v>
      </c>
      <c r="V17" s="1306" t="s">
        <v>8</v>
      </c>
      <c r="W17" s="1307">
        <f>J17</f>
        <v>101</v>
      </c>
      <c r="X17" s="1301"/>
      <c r="Y17" s="3630"/>
      <c r="Z17" s="1308" t="str">
        <f>Q17</f>
        <v>交通便捷度</v>
      </c>
      <c r="AA17" s="1308">
        <f t="shared" si="3"/>
        <v>0.99009900990099009</v>
      </c>
      <c r="AB17" s="1308">
        <f t="shared" si="4"/>
        <v>0.99009900990099009</v>
      </c>
      <c r="AC17" s="1308">
        <f t="shared" si="5"/>
        <v>0.99009900990099009</v>
      </c>
    </row>
    <row r="18" spans="1:29" ht="15">
      <c r="A18" s="482"/>
      <c r="B18" s="544"/>
      <c r="C18" s="526" t="s">
        <v>3482</v>
      </c>
      <c r="D18" s="509"/>
      <c r="E18" s="506" t="s">
        <v>3484</v>
      </c>
      <c r="F18" s="513"/>
      <c r="G18" s="506" t="s">
        <v>3484</v>
      </c>
      <c r="H18" s="505"/>
      <c r="I18" s="506" t="s">
        <v>3484</v>
      </c>
      <c r="J18" s="505"/>
      <c r="K18" s="800"/>
      <c r="L18" s="1748"/>
      <c r="M18" s="1741"/>
      <c r="N18" s="1741"/>
      <c r="O18" s="1747"/>
      <c r="P18" s="3630"/>
      <c r="Q18" s="1305"/>
      <c r="R18" s="1306"/>
      <c r="S18" s="1307"/>
      <c r="T18" s="1306"/>
      <c r="U18" s="1307"/>
      <c r="V18" s="1306"/>
      <c r="W18" s="1307"/>
      <c r="X18" s="1301"/>
      <c r="Y18" s="3630"/>
      <c r="Z18" s="1308"/>
      <c r="AA18" s="1308">
        <v>1</v>
      </c>
      <c r="AB18" s="1308">
        <v>1</v>
      </c>
      <c r="AC18" s="1308">
        <v>1</v>
      </c>
    </row>
    <row r="19" spans="1:29" ht="41.4">
      <c r="A19" s="482"/>
      <c r="B19" s="2058" t="s">
        <v>1829</v>
      </c>
      <c r="C19" s="801" t="str">
        <f>估价对象房地状况!C7</f>
        <v>估价对象所在区域公共配套设施齐备情况</v>
      </c>
      <c r="D19" s="515">
        <v>100</v>
      </c>
      <c r="E19" s="520"/>
      <c r="F19" s="521">
        <f>SUMIF(80:80,E20,81:81)-SUMIF(80:80,C20,81:81)+100</f>
        <v>101</v>
      </c>
      <c r="G19" s="522"/>
      <c r="H19" s="509">
        <f>SUMIF(80:80,G20,81:81)-SUMIF(80:80,C20,81:81)+100</f>
        <v>101</v>
      </c>
      <c r="I19" s="520"/>
      <c r="J19" s="509">
        <f>SUMIF(80:80,I20,81:81)-SUMIF(80:80,C20,81:81)+100</f>
        <v>101</v>
      </c>
      <c r="K19" s="798">
        <v>1</v>
      </c>
      <c r="L19" s="1748"/>
      <c r="M19" s="1741"/>
      <c r="N19" s="1741"/>
      <c r="O19" s="1747"/>
      <c r="P19" s="3630"/>
      <c r="Q19" s="1305" t="str">
        <f>B19</f>
        <v>公共配套设施</v>
      </c>
      <c r="R19" s="1306" t="s">
        <v>8</v>
      </c>
      <c r="S19" s="1307">
        <f>F19</f>
        <v>101</v>
      </c>
      <c r="T19" s="1306" t="s">
        <v>8</v>
      </c>
      <c r="U19" s="1307">
        <f>H19</f>
        <v>101</v>
      </c>
      <c r="V19" s="1306" t="s">
        <v>8</v>
      </c>
      <c r="W19" s="1307">
        <f>J19</f>
        <v>101</v>
      </c>
      <c r="X19" s="1301"/>
      <c r="Y19" s="3630"/>
      <c r="Z19" s="1308" t="str">
        <f>Q19</f>
        <v>公共配套设施</v>
      </c>
      <c r="AA19" s="1308">
        <f t="shared" si="3"/>
        <v>0.99009900990099009</v>
      </c>
      <c r="AB19" s="1308">
        <f t="shared" si="4"/>
        <v>0.99009900990099009</v>
      </c>
      <c r="AC19" s="1308">
        <f t="shared" si="5"/>
        <v>0.99009900990099009</v>
      </c>
    </row>
    <row r="20" spans="1:29" ht="15">
      <c r="A20" s="482"/>
      <c r="B20" s="544"/>
      <c r="C20" s="526" t="s">
        <v>3482</v>
      </c>
      <c r="D20" s="505"/>
      <c r="E20" s="506" t="s">
        <v>3484</v>
      </c>
      <c r="F20" s="507"/>
      <c r="G20" s="506" t="s">
        <v>3484</v>
      </c>
      <c r="H20" s="505"/>
      <c r="I20" s="506" t="s">
        <v>3484</v>
      </c>
      <c r="J20" s="505"/>
      <c r="K20" s="800"/>
      <c r="L20" s="1748"/>
      <c r="M20" s="1741"/>
      <c r="N20" s="1741"/>
      <c r="O20" s="1747"/>
      <c r="P20" s="3630"/>
      <c r="Q20" s="1305"/>
      <c r="R20" s="1306"/>
      <c r="S20" s="1307"/>
      <c r="T20" s="1306"/>
      <c r="U20" s="1307"/>
      <c r="V20" s="1306"/>
      <c r="W20" s="1307"/>
      <c r="X20" s="1301"/>
      <c r="Y20" s="3630"/>
      <c r="Z20" s="1308"/>
      <c r="AA20" s="1308">
        <v>1</v>
      </c>
      <c r="AB20" s="1308">
        <v>1</v>
      </c>
      <c r="AC20" s="1308">
        <v>1</v>
      </c>
    </row>
    <row r="21" spans="1:29" ht="27.6">
      <c r="A21" s="482"/>
      <c r="B21" s="2051"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8">
        <v>1</v>
      </c>
      <c r="L21" s="1748"/>
      <c r="M21" s="1741"/>
      <c r="N21" s="1741"/>
      <c r="O21" s="1747"/>
      <c r="P21" s="3630"/>
      <c r="Q21" s="1305" t="str">
        <f>B21</f>
        <v>基础设施水平</v>
      </c>
      <c r="R21" s="1306" t="s">
        <v>8</v>
      </c>
      <c r="S21" s="1307">
        <f>F21</f>
        <v>100</v>
      </c>
      <c r="T21" s="1306" t="s">
        <v>8</v>
      </c>
      <c r="U21" s="1307">
        <f>H21</f>
        <v>100</v>
      </c>
      <c r="V21" s="1306" t="s">
        <v>8</v>
      </c>
      <c r="W21" s="1307">
        <f>J21</f>
        <v>100</v>
      </c>
      <c r="X21" s="1301"/>
      <c r="Y21" s="3630"/>
      <c r="Z21" s="1308" t="str">
        <f>Q21</f>
        <v>基础设施水平</v>
      </c>
      <c r="AA21" s="1308">
        <f>D21/F21</f>
        <v>1</v>
      </c>
      <c r="AB21" s="1308">
        <f>D21/H21</f>
        <v>1</v>
      </c>
      <c r="AC21" s="1308">
        <f>D21/J21</f>
        <v>1</v>
      </c>
    </row>
    <row r="22" spans="1:29" ht="15">
      <c r="A22" s="482"/>
      <c r="B22" s="844"/>
      <c r="C22" s="802"/>
      <c r="D22" s="505"/>
      <c r="E22" s="526"/>
      <c r="F22" s="507"/>
      <c r="G22" s="526"/>
      <c r="H22" s="505"/>
      <c r="I22" s="526"/>
      <c r="J22" s="505"/>
      <c r="K22" s="2057"/>
      <c r="L22" s="1748"/>
      <c r="M22" s="1741"/>
      <c r="N22" s="1741"/>
      <c r="O22" s="1747"/>
      <c r="P22" s="3630"/>
      <c r="Q22" s="1305"/>
      <c r="R22" s="1306"/>
      <c r="S22" s="1307"/>
      <c r="T22" s="1306"/>
      <c r="U22" s="1307"/>
      <c r="V22" s="1306"/>
      <c r="W22" s="1307"/>
      <c r="X22" s="1301"/>
      <c r="Y22" s="3630"/>
      <c r="Z22" s="1308"/>
      <c r="AA22" s="1308">
        <v>1</v>
      </c>
      <c r="AB22" s="1308">
        <v>1</v>
      </c>
      <c r="AC22" s="1308">
        <v>1</v>
      </c>
    </row>
    <row r="23" spans="1:29" ht="41.4">
      <c r="A23" s="482"/>
      <c r="B23" s="677" t="s">
        <v>263</v>
      </c>
      <c r="C23" s="801" t="str">
        <f>估价对象房地状况!C9</f>
        <v>区域自然环境：；人文环境；综合评价环境状况一般</v>
      </c>
      <c r="D23" s="509">
        <v>100</v>
      </c>
      <c r="E23" s="512"/>
      <c r="F23" s="513">
        <f>SUMIF(84:84,E24,85:85)-SUMIF(84:84,C24,85:85)+100</f>
        <v>101</v>
      </c>
      <c r="G23" s="514"/>
      <c r="H23" s="509">
        <f>SUMIF(84:84,G24,85:85)-SUMIF(84:84,C24,85:85)+100</f>
        <v>101</v>
      </c>
      <c r="I23" s="512"/>
      <c r="J23" s="509">
        <f>SUMIF(84:84,I24,85:85)-SUMIF(84:84,C24,85:85)+100</f>
        <v>101</v>
      </c>
      <c r="K23" s="798">
        <v>1</v>
      </c>
      <c r="L23" s="1748"/>
      <c r="M23" s="1741"/>
      <c r="N23" s="1741"/>
      <c r="O23" s="1747"/>
      <c r="P23" s="3630"/>
      <c r="Q23" s="1305" t="str">
        <f>B23</f>
        <v>自然及人文环境</v>
      </c>
      <c r="R23" s="1306" t="s">
        <v>8</v>
      </c>
      <c r="S23" s="1307">
        <f>F23</f>
        <v>101</v>
      </c>
      <c r="T23" s="1306" t="s">
        <v>8</v>
      </c>
      <c r="U23" s="1307">
        <f>H23</f>
        <v>101</v>
      </c>
      <c r="V23" s="1306" t="s">
        <v>8</v>
      </c>
      <c r="W23" s="1307">
        <f>J23</f>
        <v>101</v>
      </c>
      <c r="X23" s="1301"/>
      <c r="Y23" s="3630"/>
      <c r="Z23" s="1308" t="str">
        <f>Q23</f>
        <v>自然及人文环境</v>
      </c>
      <c r="AA23" s="1308">
        <f t="shared" si="3"/>
        <v>0.99009900990099009</v>
      </c>
      <c r="AB23" s="1308">
        <f t="shared" si="4"/>
        <v>0.99009900990099009</v>
      </c>
      <c r="AC23" s="1308">
        <f t="shared" si="5"/>
        <v>0.99009900990099009</v>
      </c>
    </row>
    <row r="24" spans="1:29" ht="15">
      <c r="A24" s="482"/>
      <c r="B24" s="544"/>
      <c r="C24" s="526" t="s">
        <v>3482</v>
      </c>
      <c r="D24" s="505"/>
      <c r="E24" s="506" t="s">
        <v>3484</v>
      </c>
      <c r="F24" s="507"/>
      <c r="G24" s="506" t="s">
        <v>3484</v>
      </c>
      <c r="H24" s="505"/>
      <c r="I24" s="506" t="s">
        <v>3484</v>
      </c>
      <c r="J24" s="505"/>
      <c r="K24" s="800"/>
      <c r="L24" s="1748"/>
      <c r="M24" s="1741"/>
      <c r="N24" s="1741"/>
      <c r="O24" s="1747"/>
      <c r="P24" s="3630"/>
      <c r="Q24" s="1305"/>
      <c r="R24" s="1306"/>
      <c r="S24" s="1307"/>
      <c r="T24" s="1306"/>
      <c r="U24" s="1307"/>
      <c r="V24" s="1306"/>
      <c r="W24" s="1307"/>
      <c r="X24" s="1301"/>
      <c r="Y24" s="3630"/>
      <c r="Z24" s="1308"/>
      <c r="AA24" s="1308">
        <v>1</v>
      </c>
      <c r="AB24" s="1308">
        <v>1</v>
      </c>
      <c r="AC24" s="1308">
        <v>1</v>
      </c>
    </row>
    <row r="25" spans="1:29" ht="15">
      <c r="A25" s="482"/>
      <c r="B25" s="1553" t="s">
        <v>1615</v>
      </c>
      <c r="C25" s="524"/>
      <c r="D25" s="490">
        <v>100</v>
      </c>
      <c r="E25" s="803"/>
      <c r="F25" s="525">
        <f>SUMIF(86:86,E25,87:87)-SUMIF(86:86,C25,87:87)+100</f>
        <v>100</v>
      </c>
      <c r="G25" s="548"/>
      <c r="H25" s="490">
        <f>SUMIF(86:86,G25,87:87)-SUMIF(86:86,C25,87:87)+100</f>
        <v>100</v>
      </c>
      <c r="I25" s="803"/>
      <c r="J25" s="490">
        <f>SUMIF(86:86,I25,87:87)-SUMIF(86:86,C25,87:87)+100</f>
        <v>100</v>
      </c>
      <c r="K25" s="794"/>
      <c r="L25" s="1748"/>
      <c r="M25" s="1741"/>
      <c r="N25" s="1741"/>
      <c r="O25" s="1747"/>
      <c r="P25" s="3630"/>
      <c r="Q25" s="1305" t="str">
        <f t="shared" ref="Q25:Q46" si="8">B25</f>
        <v>楼层-1</v>
      </c>
      <c r="R25" s="1306" t="s">
        <v>8</v>
      </c>
      <c r="S25" s="1307">
        <f>F25</f>
        <v>100</v>
      </c>
      <c r="T25" s="1306" t="s">
        <v>8</v>
      </c>
      <c r="U25" s="1307">
        <f>H25</f>
        <v>100</v>
      </c>
      <c r="V25" s="1306" t="s">
        <v>8</v>
      </c>
      <c r="W25" s="1307">
        <f>J25</f>
        <v>100</v>
      </c>
      <c r="X25" s="1301"/>
      <c r="Y25" s="3630"/>
      <c r="Z25" s="1308" t="str">
        <f>Q25</f>
        <v>楼层-1</v>
      </c>
      <c r="AA25" s="1308">
        <f t="shared" si="3"/>
        <v>1</v>
      </c>
      <c r="AB25" s="1308">
        <f t="shared" si="4"/>
        <v>1</v>
      </c>
      <c r="AC25" s="1308">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8"/>
      <c r="M26" s="1741"/>
      <c r="N26" s="1741"/>
      <c r="O26" s="1747"/>
      <c r="P26" s="3630"/>
      <c r="Q26" s="1305" t="str">
        <f t="shared" si="8"/>
        <v>朝向</v>
      </c>
      <c r="R26" s="1306" t="s">
        <v>8</v>
      </c>
      <c r="S26" s="1307">
        <f>F26</f>
        <v>100</v>
      </c>
      <c r="T26" s="1306" t="s">
        <v>8</v>
      </c>
      <c r="U26" s="1307">
        <f>H26</f>
        <v>100</v>
      </c>
      <c r="V26" s="1306" t="s">
        <v>8</v>
      </c>
      <c r="W26" s="1307">
        <f>J26</f>
        <v>100</v>
      </c>
      <c r="X26" s="1301"/>
      <c r="Y26" s="3630"/>
      <c r="Z26" s="1308" t="str">
        <f>Q26</f>
        <v>朝向</v>
      </c>
      <c r="AA26" s="1308">
        <f t="shared" si="3"/>
        <v>1</v>
      </c>
      <c r="AB26" s="1308">
        <f t="shared" si="4"/>
        <v>1</v>
      </c>
      <c r="AC26" s="1308">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2"/>
      <c r="M27" s="1639"/>
      <c r="N27" s="1639"/>
      <c r="O27" s="1743"/>
      <c r="P27" s="3630"/>
      <c r="Q27" s="818" t="str">
        <f t="shared" si="8"/>
        <v>道路级别</v>
      </c>
      <c r="R27" s="1302" t="s">
        <v>8</v>
      </c>
      <c r="S27" s="1303">
        <f>F27</f>
        <v>100</v>
      </c>
      <c r="T27" s="1302" t="s">
        <v>8</v>
      </c>
      <c r="U27" s="1303">
        <f>H27</f>
        <v>100</v>
      </c>
      <c r="V27" s="1302" t="s">
        <v>8</v>
      </c>
      <c r="W27" s="1303">
        <f>J27</f>
        <v>100</v>
      </c>
      <c r="X27" s="1304"/>
      <c r="Y27" s="3630"/>
      <c r="Z27" s="997" t="str">
        <f>Q27</f>
        <v>道路级别</v>
      </c>
      <c r="AA27" s="1308">
        <f>D27/F27</f>
        <v>1</v>
      </c>
      <c r="AB27" s="1308">
        <f>D27/H27</f>
        <v>1</v>
      </c>
      <c r="AC27" s="1308">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8"/>
      <c r="M28" s="1741"/>
      <c r="N28" s="1741"/>
      <c r="O28" s="1747"/>
      <c r="P28" s="3630"/>
      <c r="Q28" s="1305">
        <f t="shared" si="8"/>
        <v>111</v>
      </c>
      <c r="R28" s="1306" t="s">
        <v>8</v>
      </c>
      <c r="S28" s="1307">
        <f t="shared" ref="S28:S46" si="9">F28</f>
        <v>100</v>
      </c>
      <c r="T28" s="1306" t="s">
        <v>8</v>
      </c>
      <c r="U28" s="1307">
        <f t="shared" ref="U28:U46" si="10">H28</f>
        <v>100</v>
      </c>
      <c r="V28" s="1306" t="s">
        <v>8</v>
      </c>
      <c r="W28" s="1307">
        <f t="shared" ref="W28:W46" si="11">J28</f>
        <v>100</v>
      </c>
      <c r="X28" s="1301"/>
      <c r="Y28" s="3630"/>
      <c r="Z28" s="1308">
        <f t="shared" ref="Z28:Z46" si="12">Q28</f>
        <v>111</v>
      </c>
      <c r="AA28" s="1308">
        <f t="shared" si="3"/>
        <v>1</v>
      </c>
      <c r="AB28" s="1308">
        <f t="shared" si="4"/>
        <v>1</v>
      </c>
      <c r="AC28" s="1308">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8"/>
      <c r="M29" s="1741"/>
      <c r="N29" s="1741"/>
      <c r="O29" s="1747"/>
      <c r="P29" s="3630"/>
      <c r="Q29" s="1305">
        <f t="shared" si="8"/>
        <v>111</v>
      </c>
      <c r="R29" s="1306" t="s">
        <v>8</v>
      </c>
      <c r="S29" s="1307">
        <f t="shared" si="9"/>
        <v>100</v>
      </c>
      <c r="T29" s="1306" t="s">
        <v>8</v>
      </c>
      <c r="U29" s="1307">
        <f t="shared" si="10"/>
        <v>100</v>
      </c>
      <c r="V29" s="1306" t="s">
        <v>8</v>
      </c>
      <c r="W29" s="1307">
        <f t="shared" si="11"/>
        <v>100</v>
      </c>
      <c r="X29" s="1301"/>
      <c r="Y29" s="3630"/>
      <c r="Z29" s="1308">
        <f t="shared" si="12"/>
        <v>111</v>
      </c>
      <c r="AA29" s="1308">
        <f t="shared" si="3"/>
        <v>1</v>
      </c>
      <c r="AB29" s="1308">
        <f t="shared" si="4"/>
        <v>1</v>
      </c>
      <c r="AC29" s="1308">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8"/>
      <c r="M30" s="1741"/>
      <c r="N30" s="1741"/>
      <c r="O30" s="1747"/>
      <c r="P30" s="3630"/>
      <c r="Q30" s="1305">
        <f t="shared" si="8"/>
        <v>111</v>
      </c>
      <c r="R30" s="1306" t="s">
        <v>8</v>
      </c>
      <c r="S30" s="1307">
        <f t="shared" si="9"/>
        <v>100</v>
      </c>
      <c r="T30" s="1306" t="s">
        <v>8</v>
      </c>
      <c r="U30" s="1307">
        <f t="shared" si="10"/>
        <v>100</v>
      </c>
      <c r="V30" s="1306" t="s">
        <v>8</v>
      </c>
      <c r="W30" s="1307">
        <f t="shared" si="11"/>
        <v>100</v>
      </c>
      <c r="X30" s="1301"/>
      <c r="Y30" s="3630"/>
      <c r="Z30" s="1308">
        <f t="shared" si="12"/>
        <v>111</v>
      </c>
      <c r="AA30" s="1308">
        <f t="shared" si="3"/>
        <v>1</v>
      </c>
      <c r="AB30" s="1308">
        <f t="shared" si="4"/>
        <v>1</v>
      </c>
      <c r="AC30" s="1308">
        <f t="shared" si="5"/>
        <v>1</v>
      </c>
    </row>
    <row r="31" spans="1:29" ht="15.6"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8"/>
      <c r="M31" s="1741"/>
      <c r="N31" s="1741"/>
      <c r="O31" s="1747"/>
      <c r="P31" s="3630"/>
      <c r="Q31" s="1305">
        <f t="shared" si="8"/>
        <v>111</v>
      </c>
      <c r="R31" s="1306" t="s">
        <v>8</v>
      </c>
      <c r="S31" s="1307">
        <f t="shared" si="9"/>
        <v>100</v>
      </c>
      <c r="T31" s="1306" t="s">
        <v>8</v>
      </c>
      <c r="U31" s="1307">
        <f t="shared" si="10"/>
        <v>100</v>
      </c>
      <c r="V31" s="1306" t="s">
        <v>8</v>
      </c>
      <c r="W31" s="1307">
        <f t="shared" si="11"/>
        <v>100</v>
      </c>
      <c r="X31" s="1301"/>
      <c r="Y31" s="3630"/>
      <c r="Z31" s="1308">
        <f t="shared" si="12"/>
        <v>111</v>
      </c>
      <c r="AA31" s="1308">
        <f t="shared" si="3"/>
        <v>1</v>
      </c>
      <c r="AB31" s="1308">
        <f t="shared" si="4"/>
        <v>1</v>
      </c>
      <c r="AC31" s="1308">
        <f t="shared" si="5"/>
        <v>1</v>
      </c>
    </row>
    <row r="32" spans="1:29" ht="15">
      <c r="A32" s="2203" t="s">
        <v>2037</v>
      </c>
      <c r="B32" s="156" t="s">
        <v>672</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48"/>
      <c r="M32" s="1741"/>
      <c r="N32" s="1741"/>
      <c r="O32" s="1747"/>
      <c r="P32" s="3631" t="s">
        <v>499</v>
      </c>
      <c r="Q32" s="1305" t="str">
        <f t="shared" si="8"/>
        <v>建筑类型</v>
      </c>
      <c r="R32" s="1306" t="s">
        <v>8</v>
      </c>
      <c r="S32" s="1307">
        <f t="shared" si="9"/>
        <v>100</v>
      </c>
      <c r="T32" s="1306" t="s">
        <v>8</v>
      </c>
      <c r="U32" s="1307">
        <f t="shared" si="10"/>
        <v>100</v>
      </c>
      <c r="V32" s="1306" t="s">
        <v>8</v>
      </c>
      <c r="W32" s="1307">
        <f t="shared" si="11"/>
        <v>100</v>
      </c>
      <c r="X32" s="1301"/>
      <c r="Y32" s="3632" t="s">
        <v>499</v>
      </c>
      <c r="Z32" s="1308" t="str">
        <f t="shared" si="12"/>
        <v>建筑类型</v>
      </c>
      <c r="AA32" s="1308">
        <f t="shared" si="3"/>
        <v>1</v>
      </c>
      <c r="AB32" s="1308">
        <f t="shared" si="4"/>
        <v>1</v>
      </c>
      <c r="AC32" s="1308">
        <f t="shared" si="5"/>
        <v>1</v>
      </c>
    </row>
    <row r="33" spans="1:29" s="1134" customFormat="1" ht="15">
      <c r="A33" s="552"/>
      <c r="B33" s="477" t="s">
        <v>673</v>
      </c>
      <c r="C33" s="806"/>
      <c r="D33" s="235">
        <v>100</v>
      </c>
      <c r="E33" s="484"/>
      <c r="F33" s="477">
        <f>LOOKUP(E33,103:103,104:104)-LOOKUP(C33,103:103,104:104)+100</f>
        <v>100</v>
      </c>
      <c r="G33" s="483"/>
      <c r="H33" s="235">
        <f>LOOKUP(G33,103:103,104:104)-LOOKUP(C33,103:103,104:104)+100</f>
        <v>100</v>
      </c>
      <c r="I33" s="484"/>
      <c r="J33" s="235">
        <f>LOOKUP(I33,103:103,104:104)-LOOKUP(C33,103:103,104:104)+100</f>
        <v>100</v>
      </c>
      <c r="K33" s="795"/>
      <c r="L33" s="1746"/>
      <c r="M33" s="1770"/>
      <c r="N33" s="1770"/>
      <c r="O33" s="1749"/>
      <c r="P33" s="3632"/>
      <c r="Q33" s="819" t="str">
        <f t="shared" si="8"/>
        <v>项目建筑规模</v>
      </c>
      <c r="R33" s="1309" t="s">
        <v>8</v>
      </c>
      <c r="S33" s="1310">
        <f t="shared" si="9"/>
        <v>100</v>
      </c>
      <c r="T33" s="1309" t="s">
        <v>8</v>
      </c>
      <c r="U33" s="1310">
        <f t="shared" si="10"/>
        <v>100</v>
      </c>
      <c r="V33" s="1309" t="s">
        <v>8</v>
      </c>
      <c r="W33" s="1310">
        <f t="shared" si="11"/>
        <v>100</v>
      </c>
      <c r="X33" s="1311"/>
      <c r="Y33" s="3632"/>
      <c r="Z33" s="1312" t="str">
        <f t="shared" si="12"/>
        <v>项目建筑规模</v>
      </c>
      <c r="AA33" s="1308">
        <f t="shared" si="3"/>
        <v>1</v>
      </c>
      <c r="AB33" s="1308">
        <f t="shared" si="4"/>
        <v>1</v>
      </c>
      <c r="AC33" s="1308">
        <f t="shared" si="5"/>
        <v>1</v>
      </c>
    </row>
    <row r="34" spans="1:29" ht="15">
      <c r="A34" s="543"/>
      <c r="B34" s="477" t="s">
        <v>674</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48"/>
      <c r="M34" s="1741"/>
      <c r="N34" s="1741"/>
      <c r="O34" s="1747"/>
      <c r="P34" s="3632"/>
      <c r="Q34" s="1305" t="str">
        <f t="shared" si="8"/>
        <v>建筑结构</v>
      </c>
      <c r="R34" s="1306" t="s">
        <v>8</v>
      </c>
      <c r="S34" s="1307">
        <f t="shared" si="9"/>
        <v>100</v>
      </c>
      <c r="T34" s="1306" t="s">
        <v>8</v>
      </c>
      <c r="U34" s="1307">
        <f t="shared" si="10"/>
        <v>100</v>
      </c>
      <c r="V34" s="1306" t="s">
        <v>8</v>
      </c>
      <c r="W34" s="1307">
        <f t="shared" si="11"/>
        <v>100</v>
      </c>
      <c r="X34" s="1301"/>
      <c r="Y34" s="3632"/>
      <c r="Z34" s="1308" t="str">
        <f t="shared" si="12"/>
        <v>建筑结构</v>
      </c>
      <c r="AA34" s="1308">
        <f t="shared" si="3"/>
        <v>1</v>
      </c>
      <c r="AB34" s="1308">
        <f t="shared" si="4"/>
        <v>1</v>
      </c>
      <c r="AC34" s="1308">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48"/>
      <c r="M35" s="1741"/>
      <c r="N35" s="1741"/>
      <c r="O35" s="1747"/>
      <c r="P35" s="3632"/>
      <c r="Q35" s="1305" t="str">
        <f t="shared" si="8"/>
        <v>建筑品质</v>
      </c>
      <c r="R35" s="1306" t="s">
        <v>8</v>
      </c>
      <c r="S35" s="1307">
        <f t="shared" si="9"/>
        <v>100</v>
      </c>
      <c r="T35" s="1306" t="s">
        <v>8</v>
      </c>
      <c r="U35" s="1307">
        <f t="shared" si="10"/>
        <v>100</v>
      </c>
      <c r="V35" s="1306" t="s">
        <v>8</v>
      </c>
      <c r="W35" s="1307">
        <f t="shared" si="11"/>
        <v>100</v>
      </c>
      <c r="X35" s="1301"/>
      <c r="Y35" s="3632"/>
      <c r="Z35" s="1308" t="str">
        <f t="shared" si="12"/>
        <v>建筑品质</v>
      </c>
      <c r="AA35" s="1308">
        <f t="shared" si="3"/>
        <v>1</v>
      </c>
      <c r="AB35" s="1308">
        <f t="shared" si="4"/>
        <v>1</v>
      </c>
      <c r="AC35" s="1308">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48"/>
      <c r="M36" s="1741"/>
      <c r="N36" s="1741"/>
      <c r="O36" s="1747"/>
      <c r="P36" s="3632"/>
      <c r="Q36" s="1305" t="str">
        <f t="shared" si="8"/>
        <v>公共部分装修</v>
      </c>
      <c r="R36" s="1306" t="s">
        <v>8</v>
      </c>
      <c r="S36" s="1307">
        <f t="shared" si="9"/>
        <v>100</v>
      </c>
      <c r="T36" s="1306" t="s">
        <v>8</v>
      </c>
      <c r="U36" s="1307">
        <f t="shared" si="10"/>
        <v>100</v>
      </c>
      <c r="V36" s="1306" t="s">
        <v>8</v>
      </c>
      <c r="W36" s="1307">
        <f t="shared" si="11"/>
        <v>100</v>
      </c>
      <c r="X36" s="1301"/>
      <c r="Y36" s="3632"/>
      <c r="Z36" s="1308" t="str">
        <f t="shared" si="12"/>
        <v>公共部分装修</v>
      </c>
      <c r="AA36" s="1308">
        <f t="shared" si="3"/>
        <v>1</v>
      </c>
      <c r="AB36" s="1308">
        <f t="shared" si="4"/>
        <v>1</v>
      </c>
      <c r="AC36" s="1308">
        <f t="shared" si="5"/>
        <v>1</v>
      </c>
    </row>
    <row r="37" spans="1:29" s="1060" customFormat="1" ht="15">
      <c r="A37" s="549"/>
      <c r="B37" s="477" t="s">
        <v>677</v>
      </c>
      <c r="C37" s="808">
        <v>1</v>
      </c>
      <c r="D37" s="235">
        <v>100</v>
      </c>
      <c r="E37" s="809">
        <v>0.98</v>
      </c>
      <c r="F37" s="477">
        <f>LOOKUP(E37,112:112,113:113)-LOOKUP(C37,112:112,113:113)+100</f>
        <v>100</v>
      </c>
      <c r="G37" s="809">
        <v>0.98</v>
      </c>
      <c r="H37" s="235">
        <f>LOOKUP(G37,112:112,113:113)-LOOKUP(C37,112:112,113:113)+100</f>
        <v>100</v>
      </c>
      <c r="I37" s="809">
        <v>0.98</v>
      </c>
      <c r="J37" s="235">
        <f>LOOKUP(I37,112:112,113:113)-LOOKUP(C37,112:112,113:113)+100</f>
        <v>100</v>
      </c>
      <c r="K37" s="794">
        <v>1</v>
      </c>
      <c r="L37" s="1742"/>
      <c r="M37" s="1639"/>
      <c r="N37" s="1639"/>
      <c r="O37" s="1743"/>
      <c r="P37" s="3632"/>
      <c r="Q37" s="818" t="str">
        <f t="shared" si="8"/>
        <v>成新度</v>
      </c>
      <c r="R37" s="1302" t="s">
        <v>8</v>
      </c>
      <c r="S37" s="1303">
        <f t="shared" si="9"/>
        <v>100</v>
      </c>
      <c r="T37" s="1302" t="s">
        <v>8</v>
      </c>
      <c r="U37" s="1303">
        <f t="shared" si="10"/>
        <v>100</v>
      </c>
      <c r="V37" s="1302" t="s">
        <v>8</v>
      </c>
      <c r="W37" s="1303">
        <f t="shared" si="11"/>
        <v>100</v>
      </c>
      <c r="X37" s="1304"/>
      <c r="Y37" s="3632"/>
      <c r="Z37" s="997" t="str">
        <f t="shared" si="12"/>
        <v>成新度</v>
      </c>
      <c r="AA37" s="997">
        <f t="shared" si="3"/>
        <v>1</v>
      </c>
      <c r="AB37" s="997">
        <f t="shared" si="4"/>
        <v>1</v>
      </c>
      <c r="AC37" s="997">
        <f t="shared" si="5"/>
        <v>1</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48"/>
      <c r="M38" s="1741"/>
      <c r="N38" s="1741"/>
      <c r="O38" s="1747"/>
      <c r="P38" s="3632" t="s">
        <v>499</v>
      </c>
      <c r="Q38" s="1305" t="str">
        <f t="shared" si="8"/>
        <v>物业管理</v>
      </c>
      <c r="R38" s="1306" t="s">
        <v>8</v>
      </c>
      <c r="S38" s="1307">
        <f t="shared" si="9"/>
        <v>100</v>
      </c>
      <c r="T38" s="1306" t="s">
        <v>8</v>
      </c>
      <c r="U38" s="1307">
        <f t="shared" si="10"/>
        <v>100</v>
      </c>
      <c r="V38" s="1306" t="s">
        <v>8</v>
      </c>
      <c r="W38" s="1307">
        <f t="shared" si="11"/>
        <v>100</v>
      </c>
      <c r="X38" s="1301"/>
      <c r="Y38" s="3632" t="s">
        <v>499</v>
      </c>
      <c r="Z38" s="1308" t="str">
        <f t="shared" si="12"/>
        <v>物业管理</v>
      </c>
      <c r="AA38" s="1308">
        <f t="shared" si="3"/>
        <v>1</v>
      </c>
      <c r="AB38" s="1308">
        <f t="shared" si="4"/>
        <v>1</v>
      </c>
      <c r="AC38" s="1308">
        <f t="shared" si="5"/>
        <v>1</v>
      </c>
    </row>
    <row r="39" spans="1:29" ht="15">
      <c r="A39" s="543"/>
      <c r="B39" s="1553" t="s">
        <v>1847</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48"/>
      <c r="M39" s="1741"/>
      <c r="N39" s="1741"/>
      <c r="O39" s="1747"/>
      <c r="P39" s="3632"/>
      <c r="Q39" s="1305" t="str">
        <f t="shared" si="8"/>
        <v>市政基础设施</v>
      </c>
      <c r="R39" s="1306" t="s">
        <v>8</v>
      </c>
      <c r="S39" s="1307">
        <f t="shared" si="9"/>
        <v>100</v>
      </c>
      <c r="T39" s="1306" t="s">
        <v>8</v>
      </c>
      <c r="U39" s="1307">
        <f t="shared" si="10"/>
        <v>100</v>
      </c>
      <c r="V39" s="1306" t="s">
        <v>8</v>
      </c>
      <c r="W39" s="1307">
        <f t="shared" si="11"/>
        <v>100</v>
      </c>
      <c r="X39" s="1301"/>
      <c r="Y39" s="3632"/>
      <c r="Z39" s="1308" t="str">
        <f t="shared" si="12"/>
        <v>市政基础设施</v>
      </c>
      <c r="AA39" s="1308">
        <f t="shared" si="3"/>
        <v>1</v>
      </c>
      <c r="AB39" s="1308">
        <f t="shared" si="4"/>
        <v>1</v>
      </c>
      <c r="AC39" s="1308">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8"/>
      <c r="M40" s="1741"/>
      <c r="N40" s="1741"/>
      <c r="O40" s="1747"/>
      <c r="P40" s="3632"/>
      <c r="Q40" s="1305" t="str">
        <f t="shared" si="8"/>
        <v>房型</v>
      </c>
      <c r="R40" s="1306" t="s">
        <v>8</v>
      </c>
      <c r="S40" s="1307">
        <f t="shared" si="9"/>
        <v>100</v>
      </c>
      <c r="T40" s="1306" t="s">
        <v>8</v>
      </c>
      <c r="U40" s="1307">
        <f t="shared" si="10"/>
        <v>100</v>
      </c>
      <c r="V40" s="1306" t="s">
        <v>8</v>
      </c>
      <c r="W40" s="1307">
        <f t="shared" si="11"/>
        <v>100</v>
      </c>
      <c r="X40" s="1301"/>
      <c r="Y40" s="3632"/>
      <c r="Z40" s="1308" t="str">
        <f t="shared" si="12"/>
        <v>房型</v>
      </c>
      <c r="AA40" s="1308">
        <f t="shared" si="3"/>
        <v>1</v>
      </c>
      <c r="AB40" s="1308">
        <f t="shared" si="4"/>
        <v>1</v>
      </c>
      <c r="AC40" s="1308">
        <f t="shared" si="5"/>
        <v>1</v>
      </c>
    </row>
    <row r="41" spans="1:29" s="1134" customFormat="1" ht="28.8">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6"/>
      <c r="M41" s="1770"/>
      <c r="N41" s="1770"/>
      <c r="O41" s="1749"/>
      <c r="P41" s="3632"/>
      <c r="Q41" s="819" t="str">
        <f t="shared" si="8"/>
        <v>单套/主力户型建筑面积</v>
      </c>
      <c r="R41" s="1309" t="s">
        <v>8</v>
      </c>
      <c r="S41" s="1310">
        <f t="shared" si="9"/>
        <v>100</v>
      </c>
      <c r="T41" s="1309" t="s">
        <v>8</v>
      </c>
      <c r="U41" s="1310">
        <f t="shared" si="10"/>
        <v>100</v>
      </c>
      <c r="V41" s="1309" t="s">
        <v>8</v>
      </c>
      <c r="W41" s="1310">
        <f t="shared" si="11"/>
        <v>100</v>
      </c>
      <c r="X41" s="1311"/>
      <c r="Y41" s="3632"/>
      <c r="Z41" s="1312" t="str">
        <f t="shared" si="12"/>
        <v>单套/主力户型建筑面积</v>
      </c>
      <c r="AA41" s="1308">
        <f t="shared" si="3"/>
        <v>1</v>
      </c>
      <c r="AB41" s="1308">
        <f t="shared" si="4"/>
        <v>1</v>
      </c>
      <c r="AC41" s="1308">
        <f t="shared" si="5"/>
        <v>1</v>
      </c>
    </row>
    <row r="42" spans="1:29" ht="15">
      <c r="A42" s="543"/>
      <c r="B42" s="477" t="s">
        <v>681</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48"/>
      <c r="M42" s="1741"/>
      <c r="N42" s="1741"/>
      <c r="O42" s="1747"/>
      <c r="P42" s="3632"/>
      <c r="Q42" s="1305" t="str">
        <f t="shared" si="8"/>
        <v>内部装修</v>
      </c>
      <c r="R42" s="1306" t="s">
        <v>8</v>
      </c>
      <c r="S42" s="1307">
        <f t="shared" si="9"/>
        <v>100</v>
      </c>
      <c r="T42" s="1306" t="s">
        <v>8</v>
      </c>
      <c r="U42" s="1307">
        <f t="shared" si="10"/>
        <v>100</v>
      </c>
      <c r="V42" s="1306" t="s">
        <v>8</v>
      </c>
      <c r="W42" s="1307">
        <f t="shared" si="11"/>
        <v>100</v>
      </c>
      <c r="X42" s="1301"/>
      <c r="Y42" s="3632"/>
      <c r="Z42" s="1308" t="str">
        <f t="shared" si="12"/>
        <v>内部装修</v>
      </c>
      <c r="AA42" s="1308">
        <f t="shared" si="3"/>
        <v>1</v>
      </c>
      <c r="AB42" s="1308">
        <f t="shared" si="4"/>
        <v>1</v>
      </c>
      <c r="AC42" s="1308">
        <f t="shared" si="5"/>
        <v>1</v>
      </c>
    </row>
    <row r="43" spans="1:29" ht="28.8">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48"/>
      <c r="M43" s="1741"/>
      <c r="N43" s="1741"/>
      <c r="O43" s="1747"/>
      <c r="P43" s="3632"/>
      <c r="Q43" s="1305" t="str">
        <f t="shared" si="8"/>
        <v>内部装修维护情况</v>
      </c>
      <c r="R43" s="1306" t="s">
        <v>8</v>
      </c>
      <c r="S43" s="1307">
        <f t="shared" si="9"/>
        <v>100</v>
      </c>
      <c r="T43" s="1306" t="s">
        <v>8</v>
      </c>
      <c r="U43" s="1307">
        <f t="shared" si="10"/>
        <v>100</v>
      </c>
      <c r="V43" s="1306" t="s">
        <v>8</v>
      </c>
      <c r="W43" s="1307">
        <f t="shared" si="11"/>
        <v>100</v>
      </c>
      <c r="X43" s="1301"/>
      <c r="Y43" s="3632"/>
      <c r="Z43" s="1308" t="str">
        <f t="shared" si="12"/>
        <v>内部装修维护情况</v>
      </c>
      <c r="AA43" s="1308">
        <f t="shared" si="3"/>
        <v>1</v>
      </c>
      <c r="AB43" s="1308">
        <f t="shared" si="4"/>
        <v>1</v>
      </c>
      <c r="AC43" s="1308">
        <f t="shared" si="5"/>
        <v>1</v>
      </c>
    </row>
    <row r="44" spans="1:29" s="1060" customFormat="1" ht="15">
      <c r="A44" s="549"/>
      <c r="B44" s="3432" t="s">
        <v>3531</v>
      </c>
      <c r="C44" s="3433" t="s">
        <v>3533</v>
      </c>
      <c r="D44" s="3434">
        <v>100</v>
      </c>
      <c r="E44" s="3433" t="s">
        <v>3532</v>
      </c>
      <c r="F44" s="3435">
        <f>SUMIF(126:126,E44,127:127)-SUMIF(126:126,C44,127:127)+100</f>
        <v>90</v>
      </c>
      <c r="G44" s="3433" t="s">
        <v>3532</v>
      </c>
      <c r="H44" s="3434">
        <f>SUMIF(126:126,G44,127:127)-SUMIF(126:126,C44,127:127)+100</f>
        <v>90</v>
      </c>
      <c r="I44" s="3433" t="s">
        <v>3532</v>
      </c>
      <c r="J44" s="235">
        <f>SUMIF(126:126,I44,127:127)-SUMIF(126:126,C44,127:127)+100</f>
        <v>90</v>
      </c>
      <c r="K44" s="795"/>
      <c r="L44" s="1742"/>
      <c r="M44" s="1639"/>
      <c r="N44" s="1639"/>
      <c r="O44" s="1743"/>
      <c r="P44" s="3632"/>
      <c r="Q44" s="818" t="str">
        <f t="shared" si="8"/>
        <v>建筑类型</v>
      </c>
      <c r="R44" s="1302" t="s">
        <v>8</v>
      </c>
      <c r="S44" s="1303">
        <f t="shared" si="9"/>
        <v>90</v>
      </c>
      <c r="T44" s="1302" t="s">
        <v>8</v>
      </c>
      <c r="U44" s="1303">
        <f t="shared" si="10"/>
        <v>90</v>
      </c>
      <c r="V44" s="1302" t="s">
        <v>8</v>
      </c>
      <c r="W44" s="1303">
        <f t="shared" si="11"/>
        <v>90</v>
      </c>
      <c r="X44" s="1304"/>
      <c r="Y44" s="3632"/>
      <c r="Z44" s="997" t="str">
        <f t="shared" si="12"/>
        <v>建筑类型</v>
      </c>
      <c r="AA44" s="997">
        <f t="shared" si="3"/>
        <v>1.1111111111111112</v>
      </c>
      <c r="AB44" s="997">
        <f t="shared" si="4"/>
        <v>1.1111111111111112</v>
      </c>
      <c r="AC44" s="997">
        <f t="shared" si="5"/>
        <v>1.1111111111111112</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8"/>
      <c r="M45" s="1741"/>
      <c r="N45" s="1741"/>
      <c r="O45" s="1747"/>
      <c r="P45" s="3632"/>
      <c r="Q45" s="1305">
        <f t="shared" si="8"/>
        <v>111</v>
      </c>
      <c r="R45" s="1306" t="s">
        <v>8</v>
      </c>
      <c r="S45" s="1307">
        <f t="shared" si="9"/>
        <v>100</v>
      </c>
      <c r="T45" s="1306" t="s">
        <v>8</v>
      </c>
      <c r="U45" s="1307">
        <f t="shared" si="10"/>
        <v>100</v>
      </c>
      <c r="V45" s="1306" t="s">
        <v>8</v>
      </c>
      <c r="W45" s="1307">
        <f t="shared" si="11"/>
        <v>100</v>
      </c>
      <c r="X45" s="1301"/>
      <c r="Y45" s="3632"/>
      <c r="Z45" s="1308">
        <f t="shared" si="12"/>
        <v>111</v>
      </c>
      <c r="AA45" s="1308">
        <f t="shared" si="3"/>
        <v>1</v>
      </c>
      <c r="AB45" s="1308">
        <f t="shared" si="4"/>
        <v>1</v>
      </c>
      <c r="AC45" s="1308">
        <f t="shared" si="5"/>
        <v>1</v>
      </c>
    </row>
    <row r="46" spans="1:29" ht="15.6" thickBot="1">
      <c r="A46" s="811"/>
      <c r="B46" s="494">
        <v>111</v>
      </c>
      <c r="C46" s="495"/>
      <c r="D46" s="496">
        <v>100</v>
      </c>
      <c r="E46" s="495">
        <v>2024</v>
      </c>
      <c r="F46" s="796">
        <f>SUMIF(130:130,E46,131:131)-SUMIF(130:130,C46,131:131)+100</f>
        <v>100</v>
      </c>
      <c r="G46" s="495">
        <v>2024</v>
      </c>
      <c r="H46" s="496">
        <f>SUMIF(130:130,G46,131:131)-SUMIF(130:130,C46,131:131)+100</f>
        <v>100</v>
      </c>
      <c r="I46" s="495">
        <v>2024</v>
      </c>
      <c r="J46" s="496">
        <f>SUMIF(130:130,I46,131:131)-SUMIF(130:130,C46,131:131)+100</f>
        <v>100</v>
      </c>
      <c r="K46" s="795"/>
      <c r="L46" s="1748"/>
      <c r="M46" s="1741"/>
      <c r="N46" s="1741"/>
      <c r="O46" s="1747"/>
      <c r="P46" s="3741"/>
      <c r="Q46" s="1305">
        <f t="shared" si="8"/>
        <v>111</v>
      </c>
      <c r="R46" s="1306" t="s">
        <v>7</v>
      </c>
      <c r="S46" s="1307">
        <f t="shared" si="9"/>
        <v>100</v>
      </c>
      <c r="T46" s="1306" t="s">
        <v>7</v>
      </c>
      <c r="U46" s="1307">
        <f t="shared" si="10"/>
        <v>100</v>
      </c>
      <c r="V46" s="1306" t="s">
        <v>7</v>
      </c>
      <c r="W46" s="1307">
        <f t="shared" si="11"/>
        <v>100</v>
      </c>
      <c r="X46" s="1301"/>
      <c r="Y46" s="3741"/>
      <c r="Z46" s="1308">
        <f t="shared" si="12"/>
        <v>111</v>
      </c>
      <c r="AA46" s="1308">
        <f t="shared" si="3"/>
        <v>1</v>
      </c>
      <c r="AB46" s="1308">
        <f t="shared" si="4"/>
        <v>1</v>
      </c>
      <c r="AC46" s="1308">
        <f t="shared" si="5"/>
        <v>1</v>
      </c>
    </row>
    <row r="47" spans="1:29" ht="14.4">
      <c r="A47" s="556" t="s">
        <v>683</v>
      </c>
      <c r="B47" s="812"/>
      <c r="C47" s="2080" t="s">
        <v>6</v>
      </c>
      <c r="D47" s="559"/>
      <c r="E47" s="560">
        <v>9504</v>
      </c>
      <c r="F47" s="561"/>
      <c r="G47" s="562">
        <v>9782</v>
      </c>
      <c r="H47" s="563"/>
      <c r="I47" s="560">
        <v>9218</v>
      </c>
      <c r="J47" s="563"/>
      <c r="K47" s="1330"/>
      <c r="L47" s="1750"/>
      <c r="M47" s="1741"/>
      <c r="N47" s="1741"/>
      <c r="O47" s="1741"/>
      <c r="P47" s="3627" t="str">
        <f>A47</f>
        <v>成交单价（元/平方米）</v>
      </c>
      <c r="Q47" s="3627"/>
      <c r="R47" s="3643">
        <f>E47</f>
        <v>9504</v>
      </c>
      <c r="S47" s="3643"/>
      <c r="T47" s="3643">
        <f>G47</f>
        <v>9782</v>
      </c>
      <c r="U47" s="3643"/>
      <c r="V47" s="3643">
        <f>I47</f>
        <v>9218</v>
      </c>
      <c r="W47" s="3643"/>
      <c r="X47" s="799"/>
      <c r="Y47" s="1313"/>
      <c r="Z47" s="799"/>
      <c r="AA47" s="799"/>
      <c r="AB47" s="799"/>
      <c r="AC47" s="799"/>
    </row>
    <row r="48" spans="1:29" ht="15" thickBot="1">
      <c r="A48" s="564" t="s">
        <v>2042</v>
      </c>
      <c r="B48" s="813"/>
      <c r="C48" s="2081">
        <f>R49</f>
        <v>10616</v>
      </c>
      <c r="D48" s="2549" t="s">
        <v>2261</v>
      </c>
      <c r="E48" s="2082">
        <f>R48</f>
        <v>10922</v>
      </c>
      <c r="F48" s="2550"/>
      <c r="G48" s="2081">
        <f>T48</f>
        <v>10773</v>
      </c>
      <c r="H48" s="2550"/>
      <c r="I48" s="2082">
        <f>V48</f>
        <v>10152</v>
      </c>
      <c r="J48" s="2550"/>
      <c r="K48" s="2557">
        <f>F48+H48+J48</f>
        <v>0</v>
      </c>
      <c r="L48" s="1750"/>
      <c r="M48" s="1741"/>
      <c r="N48" s="1741"/>
      <c r="O48" s="1741"/>
      <c r="P48" s="3627" t="str">
        <f>A48</f>
        <v>比较价格（元/平方米）</v>
      </c>
      <c r="Q48" s="3627"/>
      <c r="R48" s="3643">
        <f>IF(F1="售价",ROUND(PRODUCT(R47,AA7:AA46),0),ROUND(PRODUCT(R47,AA7:AA46),1))</f>
        <v>10922</v>
      </c>
      <c r="S48" s="3643"/>
      <c r="T48" s="3643">
        <f>IF(F1="售价",ROUND(PRODUCT(T47,AB7:AB46),0),ROUND(PRODUCT(T47,AB7:AB46),1))</f>
        <v>10773</v>
      </c>
      <c r="U48" s="3643"/>
      <c r="V48" s="3643">
        <f>IF(F1="售价",ROUND(PRODUCT(V47,AC7:AC46),0),ROUND(PRODUCT(V47,AC7:AC46),1))</f>
        <v>10152</v>
      </c>
      <c r="W48" s="3643"/>
      <c r="X48" s="799"/>
      <c r="Y48" s="799"/>
      <c r="Z48" s="799"/>
      <c r="AA48" s="799"/>
      <c r="AB48" s="799"/>
      <c r="AC48" s="799"/>
    </row>
    <row r="49" spans="1:29" ht="15" thickBot="1">
      <c r="A49" s="568" t="s">
        <v>2198</v>
      </c>
      <c r="B49" s="569"/>
      <c r="C49" s="469">
        <f>R49</f>
        <v>10616</v>
      </c>
      <c r="D49" s="469"/>
      <c r="E49" s="469"/>
      <c r="F49" s="469"/>
      <c r="G49" s="469"/>
      <c r="H49" s="469"/>
      <c r="I49" s="469"/>
      <c r="J49" s="469"/>
      <c r="K49" s="1331"/>
      <c r="L49" s="1750"/>
      <c r="M49" s="1741"/>
      <c r="N49" s="1741"/>
      <c r="O49" s="1741"/>
      <c r="P49" s="3633" t="str">
        <f>A49</f>
        <v>估价对象XX用房的比较价格（楼面单价，元/平方米）</v>
      </c>
      <c r="Q49" s="3634"/>
      <c r="R49" s="3740">
        <f>IF(F1="售价",ROUND(IF(D48="简单平均",AVERAGE(R48:V48),R48*F48+T48*H48+V48*J48),0),ROUND(IF(D48="简单平均",AVERAGE(R48:V48),R48*F48+T48*H48+V48*J48),1))</f>
        <v>10616</v>
      </c>
      <c r="S49" s="3740"/>
      <c r="T49" s="3740"/>
      <c r="U49" s="3740"/>
      <c r="V49" s="3740"/>
      <c r="W49" s="3740"/>
      <c r="X49" s="799"/>
      <c r="Y49" s="799"/>
      <c r="Z49" s="799"/>
      <c r="AA49" s="799"/>
      <c r="AB49" s="799"/>
      <c r="AC49" s="799"/>
    </row>
    <row r="50" spans="1:29">
      <c r="A50" s="2720"/>
      <c r="B50" s="2720"/>
      <c r="C50" s="2720"/>
      <c r="D50" s="2720"/>
      <c r="E50" s="2720"/>
      <c r="F50" s="2720"/>
      <c r="G50" s="2722"/>
      <c r="H50" s="2720"/>
      <c r="I50" s="2720"/>
      <c r="J50" s="2720"/>
      <c r="K50" s="2723"/>
      <c r="L50" s="1754"/>
      <c r="M50" s="1741"/>
      <c r="N50" s="1741"/>
      <c r="O50" s="1741"/>
      <c r="P50" s="1741"/>
      <c r="Q50" s="1741"/>
      <c r="R50" s="1741"/>
      <c r="S50" s="1741"/>
      <c r="T50" s="1741"/>
      <c r="U50" s="1741"/>
      <c r="V50" s="1741"/>
      <c r="W50" s="1741"/>
      <c r="X50" s="1741"/>
      <c r="Y50" s="1741"/>
      <c r="Z50" s="1741"/>
      <c r="AA50" s="1741"/>
      <c r="AB50" s="1741"/>
      <c r="AC50" s="1741"/>
    </row>
    <row r="51" spans="1:29">
      <c r="A51" s="2720"/>
      <c r="B51" s="2720"/>
      <c r="C51" s="2720"/>
      <c r="D51" s="2720"/>
      <c r="E51" s="2720"/>
      <c r="F51" s="2720"/>
      <c r="G51" s="2720"/>
      <c r="H51" s="2720"/>
      <c r="I51" s="2720"/>
      <c r="J51" s="2720"/>
      <c r="K51" s="2723"/>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20"/>
      <c r="B52" s="2720"/>
      <c r="C52" s="571" t="s">
        <v>506</v>
      </c>
      <c r="D52" s="572"/>
      <c r="E52" s="573">
        <f>IF(E47&lt;E48,E48/E47-1,E47/E48-1)</f>
        <v>0.14920033670033672</v>
      </c>
      <c r="F52" s="574" t="str">
        <f>IF(OR(E52&gt;=0.3,E52&lt;=-0.3),"超过30%","")</f>
        <v/>
      </c>
      <c r="G52" s="573">
        <f>IF(G47&lt;G48,G48/G47-1,G47/G48-1)</f>
        <v>0.10130852586383154</v>
      </c>
      <c r="H52" s="574" t="str">
        <f>IF(OR(G52&gt;=0.3,G52&lt;=-0.3),"超过30%","")</f>
        <v/>
      </c>
      <c r="I52" s="573">
        <f>IF(I47&lt;I48,I48/I47-1,I47/I48-1)</f>
        <v>0.10132349750488179</v>
      </c>
      <c r="J52" s="574" t="str">
        <f>IF(OR(I52&gt;=0.3,I52&lt;=-0.3),"超过30%","")</f>
        <v/>
      </c>
      <c r="K52" s="2723"/>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507</v>
      </c>
      <c r="D53" s="575"/>
      <c r="E53" s="573">
        <f>IF(E48&lt;G48,G48/E48-1,E48/G48-1)</f>
        <v>1.3830873479996342E-2</v>
      </c>
      <c r="F53" s="574" t="str">
        <f>IF(OR(E53&gt;=0.2,E53&lt;=-0.2),"超过20%","")</f>
        <v/>
      </c>
      <c r="G53" s="573">
        <f>IF(G48&lt;I48,I48/G48-1,G48/I48-1)</f>
        <v>6.1170212765957466E-2</v>
      </c>
      <c r="H53" s="574" t="str">
        <f>IF(OR(G53&gt;=0.2,G53&lt;=-0.2),"超过20%","")</f>
        <v/>
      </c>
      <c r="I53" s="573">
        <f>IF(I48&lt;E48,E48/I48-1,I48/E48-1)</f>
        <v>7.5847123719464227E-2</v>
      </c>
      <c r="J53" s="574" t="str">
        <f>IF(OR(I53&gt;=0.2,I53&lt;=-0.2),"超过20%","")</f>
        <v/>
      </c>
      <c r="K53" s="2723"/>
      <c r="L53" s="1754"/>
      <c r="M53" s="1741"/>
      <c r="N53" s="1741"/>
      <c r="O53" s="1741"/>
      <c r="P53" s="1741"/>
      <c r="Q53" s="1741"/>
      <c r="R53" s="1741"/>
      <c r="S53" s="1741"/>
      <c r="T53" s="1741"/>
      <c r="U53" s="1741"/>
      <c r="V53" s="1741"/>
      <c r="W53" s="1741"/>
      <c r="X53" s="1741"/>
      <c r="Y53" s="1741"/>
      <c r="Z53" s="1741"/>
      <c r="AA53" s="1741"/>
      <c r="AB53" s="1741"/>
      <c r="AC53" s="1741"/>
    </row>
    <row r="54" spans="1:29" s="1139" customFormat="1" ht="13.5" customHeight="1">
      <c r="A54" s="2721"/>
      <c r="B54" s="2721"/>
      <c r="C54" s="571" t="s">
        <v>508</v>
      </c>
      <c r="D54" s="575"/>
      <c r="E54" s="573">
        <f>IF(E47&lt;G47,G47/E47-1,E47/G47-1)</f>
        <v>2.9250841750841694E-2</v>
      </c>
      <c r="F54" s="574" t="str">
        <f>IF(OR(E54&gt;=0.3,E54&lt;=-0.3),"超过30%","")</f>
        <v/>
      </c>
      <c r="G54" s="573">
        <f>IF(G47&lt;I47,I47/G47-1,G47/I47-1)</f>
        <v>6.1184638750271247E-2</v>
      </c>
      <c r="H54" s="574" t="str">
        <f>IF(OR(G54&gt;=0.3,G54&lt;=-0.3),"超过30%","")</f>
        <v/>
      </c>
      <c r="I54" s="573">
        <f>IF(I47&lt;E47,E47/I47-1,I47/E47-1)</f>
        <v>3.1026252983293645E-2</v>
      </c>
      <c r="J54" s="574" t="str">
        <f>IF(OR(I54&gt;=0.3,I54&lt;=-0.3),"超过30%","")</f>
        <v/>
      </c>
      <c r="K54" s="2724"/>
      <c r="L54" s="1757"/>
      <c r="M54" s="1751"/>
      <c r="N54" s="1751"/>
      <c r="O54" s="1751"/>
      <c r="P54" s="1751"/>
      <c r="Q54" s="1751"/>
      <c r="R54" s="1751"/>
      <c r="S54" s="1751"/>
      <c r="T54" s="1751"/>
      <c r="U54" s="1751"/>
      <c r="V54" s="1751"/>
      <c r="W54" s="1751"/>
      <c r="X54" s="1751"/>
      <c r="Y54" s="1751"/>
      <c r="Z54" s="1751"/>
      <c r="AA54" s="1751"/>
      <c r="AB54" s="1751"/>
      <c r="AC54" s="1751"/>
    </row>
    <row r="55" spans="1:29" s="1139"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2.2" thickBot="1">
      <c r="A57" s="1316" t="s">
        <v>522</v>
      </c>
      <c r="B57" s="799"/>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41" customFormat="1" ht="14.4">
      <c r="A58" s="592" t="s">
        <v>478</v>
      </c>
      <c r="B58" s="593"/>
      <c r="C58" s="2114" t="str">
        <f>YEAR(C7)&amp;"-"&amp;MONTH(C7)</f>
        <v>2025-7</v>
      </c>
      <c r="D58" s="2114">
        <f>EDATE(C58,-1)</f>
        <v>45809</v>
      </c>
      <c r="E58" s="2114">
        <f t="shared" ref="E58:O58" si="13">EDATE(D58,-1)</f>
        <v>45778</v>
      </c>
      <c r="F58" s="2114">
        <f t="shared" si="13"/>
        <v>45748</v>
      </c>
      <c r="G58" s="2114">
        <f t="shared" si="13"/>
        <v>45717</v>
      </c>
      <c r="H58" s="2114">
        <f t="shared" si="13"/>
        <v>45689</v>
      </c>
      <c r="I58" s="2114">
        <f t="shared" si="13"/>
        <v>45658</v>
      </c>
      <c r="J58" s="2114">
        <f t="shared" si="13"/>
        <v>45627</v>
      </c>
      <c r="K58" s="2114">
        <f t="shared" si="13"/>
        <v>45597</v>
      </c>
      <c r="L58" s="2114">
        <f t="shared" si="13"/>
        <v>45566</v>
      </c>
      <c r="M58" s="2114">
        <f t="shared" si="13"/>
        <v>45536</v>
      </c>
      <c r="N58" s="2114">
        <f t="shared" si="13"/>
        <v>45505</v>
      </c>
      <c r="O58" s="2114">
        <f t="shared" si="13"/>
        <v>45474</v>
      </c>
      <c r="P58" s="1764"/>
      <c r="Q58" s="1764"/>
      <c r="R58" s="1764"/>
      <c r="S58" s="1764"/>
      <c r="T58" s="1764"/>
      <c r="U58" s="1764"/>
      <c r="V58" s="1764"/>
      <c r="W58" s="1764"/>
      <c r="X58" s="1764"/>
      <c r="Y58" s="1764"/>
      <c r="Z58" s="1764"/>
      <c r="AA58" s="1764"/>
      <c r="AB58" s="1764"/>
      <c r="AC58" s="1764"/>
    </row>
    <row r="59" spans="1:29" s="1060" customFormat="1">
      <c r="A59" s="527"/>
      <c r="B59" s="594"/>
      <c r="C59" s="595">
        <v>100</v>
      </c>
      <c r="D59" s="596">
        <v>100</v>
      </c>
      <c r="E59" s="596">
        <v>100</v>
      </c>
      <c r="F59" s="596">
        <v>100</v>
      </c>
      <c r="G59" s="596">
        <v>100</v>
      </c>
      <c r="H59" s="596">
        <v>100</v>
      </c>
      <c r="I59" s="596">
        <v>100</v>
      </c>
      <c r="J59" s="596">
        <v>100</v>
      </c>
      <c r="K59" s="596">
        <v>100</v>
      </c>
      <c r="L59" s="596">
        <v>100</v>
      </c>
      <c r="M59" s="596">
        <v>100</v>
      </c>
      <c r="N59" s="596">
        <v>100</v>
      </c>
      <c r="O59" s="596"/>
      <c r="P59" s="1762"/>
      <c r="Q59" s="1639"/>
      <c r="R59" s="1639"/>
      <c r="S59" s="1639"/>
      <c r="T59" s="1639"/>
      <c r="U59" s="1639"/>
      <c r="V59" s="1639"/>
      <c r="W59" s="1639"/>
      <c r="X59" s="1639"/>
      <c r="Y59" s="1639"/>
      <c r="Z59" s="1639"/>
      <c r="AA59" s="1639"/>
      <c r="AB59" s="1639"/>
      <c r="AC59" s="1639"/>
    </row>
    <row r="60" spans="1:29" s="1060" customFormat="1" ht="1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60" customFormat="1" ht="14.4">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60" customFormat="1" ht="14.4" thickBot="1">
      <c r="A62" s="603"/>
      <c r="B62" s="594"/>
      <c r="C62" s="814">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639"/>
    </row>
    <row r="63" spans="1:29" ht="14.4">
      <c r="A63" s="607" t="s">
        <v>525</v>
      </c>
      <c r="B63" s="608" t="s">
        <v>483</v>
      </c>
      <c r="C63" s="645" t="str">
        <f>C9</f>
        <v>住宅</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4.4" thickBot="1">
      <c r="A64" s="482"/>
      <c r="B64" s="612"/>
      <c r="C64" s="613"/>
      <c r="D64" s="613"/>
      <c r="E64" s="1332"/>
      <c r="F64" s="1332"/>
      <c r="G64" s="1332"/>
      <c r="H64" s="1332"/>
      <c r="I64" s="1332"/>
      <c r="J64" s="1332"/>
      <c r="K64" s="1332"/>
      <c r="L64" s="1332"/>
      <c r="M64" s="1333"/>
      <c r="N64" s="1767"/>
      <c r="O64" s="1767"/>
      <c r="P64" s="1765"/>
      <c r="Q64" s="1762"/>
      <c r="R64" s="1741"/>
      <c r="S64" s="1741"/>
      <c r="T64" s="1741"/>
      <c r="U64" s="1741"/>
      <c r="V64" s="1741"/>
      <c r="W64" s="1741"/>
      <c r="X64" s="1741"/>
      <c r="Y64" s="1741"/>
      <c r="Z64" s="1741"/>
      <c r="AA64" s="1741"/>
      <c r="AB64" s="1741"/>
      <c r="AC64" s="1741"/>
    </row>
    <row r="65" spans="1:29" ht="29.4" thickTop="1">
      <c r="A65" s="482"/>
      <c r="B65" s="615" t="s">
        <v>486</v>
      </c>
      <c r="C65" s="658"/>
      <c r="D65" s="658"/>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4.4" thickBot="1">
      <c r="A66" s="482"/>
      <c r="B66" s="620"/>
      <c r="C66" s="613"/>
      <c r="D66" s="613"/>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 thickTop="1">
      <c r="A67" s="482"/>
      <c r="B67" s="623" t="s">
        <v>487</v>
      </c>
      <c r="C67" s="624" t="str">
        <f>C68&amp;"（含）"&amp;"-"&amp;D68</f>
        <v>0（含）-1</v>
      </c>
      <c r="D67" s="624" t="str">
        <f t="shared" ref="D67:L67" si="14">D68&amp;"（含）"&amp;"-"&amp;E68</f>
        <v>1（含）-2</v>
      </c>
      <c r="E67" s="624" t="str">
        <f t="shared" si="14"/>
        <v>2（含）-3</v>
      </c>
      <c r="F67" s="624" t="str">
        <f t="shared" si="14"/>
        <v>3（含）-4</v>
      </c>
      <c r="G67" s="624" t="str">
        <f t="shared" si="14"/>
        <v>4（含）-</v>
      </c>
      <c r="H67" s="624" t="str">
        <f t="shared" si="14"/>
        <v>（含）-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c r="A68" s="482"/>
      <c r="B68" s="625"/>
      <c r="C68" s="491">
        <v>0</v>
      </c>
      <c r="D68" s="491">
        <v>1</v>
      </c>
      <c r="E68" s="491">
        <v>2</v>
      </c>
      <c r="F68" s="491">
        <v>3</v>
      </c>
      <c r="G68" s="491">
        <v>4</v>
      </c>
      <c r="H68" s="491"/>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4.4" thickBot="1">
      <c r="A69" s="482"/>
      <c r="B69" s="612"/>
      <c r="C69" s="621">
        <v>100</v>
      </c>
      <c r="D69" s="621">
        <f t="shared" ref="D69:M69" si="15">C69-$K11</f>
        <v>96</v>
      </c>
      <c r="E69" s="621">
        <f t="shared" si="15"/>
        <v>92</v>
      </c>
      <c r="F69" s="621">
        <f t="shared" si="15"/>
        <v>88</v>
      </c>
      <c r="G69" s="621">
        <f t="shared" si="15"/>
        <v>84</v>
      </c>
      <c r="H69" s="621">
        <f t="shared" si="15"/>
        <v>80</v>
      </c>
      <c r="I69" s="621">
        <f t="shared" si="15"/>
        <v>76</v>
      </c>
      <c r="J69" s="621">
        <f t="shared" si="15"/>
        <v>72</v>
      </c>
      <c r="K69" s="621">
        <f t="shared" si="15"/>
        <v>68</v>
      </c>
      <c r="L69" s="621">
        <f t="shared" si="15"/>
        <v>64</v>
      </c>
      <c r="M69" s="622">
        <f t="shared" si="15"/>
        <v>60</v>
      </c>
      <c r="N69" s="1767"/>
      <c r="O69" s="1767"/>
      <c r="P69" s="1765"/>
      <c r="Q69" s="1762"/>
      <c r="R69" s="1741"/>
      <c r="S69" s="1741"/>
      <c r="T69" s="1741"/>
      <c r="U69" s="1741"/>
      <c r="V69" s="1741"/>
      <c r="W69" s="1741"/>
      <c r="X69" s="1741"/>
      <c r="Y69" s="1741"/>
      <c r="Z69" s="1741"/>
      <c r="AA69" s="1741"/>
      <c r="AB69" s="1741"/>
      <c r="AC69" s="1741"/>
    </row>
    <row r="70" spans="1:29" s="1134" customFormat="1" ht="14.4"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4" customFormat="1" ht="14.4"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4" customFormat="1" ht="14.4"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4" customFormat="1" ht="14.4" thickBot="1">
      <c r="A73" s="629"/>
      <c r="B73" s="620"/>
      <c r="C73" s="634"/>
      <c r="D73" s="634"/>
      <c r="E73" s="634"/>
      <c r="F73" s="634"/>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4" customFormat="1" ht="14.4"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4" customFormat="1" ht="14.4"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ht="14.4">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4.4" thickBot="1">
      <c r="A77" s="482"/>
      <c r="B77" s="620"/>
      <c r="C77" s="621">
        <v>100</v>
      </c>
      <c r="D77" s="621">
        <f>C77-$K15</f>
        <v>98</v>
      </c>
      <c r="E77" s="621">
        <f>D77-$K15</f>
        <v>96</v>
      </c>
      <c r="F77" s="621">
        <f>E77-$K15</f>
        <v>94</v>
      </c>
      <c r="G77" s="621">
        <f>F77-$K15</f>
        <v>92</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4.4" thickBot="1">
      <c r="A79" s="482"/>
      <c r="B79" s="620"/>
      <c r="C79" s="621">
        <v>100</v>
      </c>
      <c r="D79" s="621">
        <f>C79-$K17</f>
        <v>99</v>
      </c>
      <c r="E79" s="621">
        <f>D79-$K17</f>
        <v>98</v>
      </c>
      <c r="F79" s="621">
        <f>E79-$K17</f>
        <v>97</v>
      </c>
      <c r="G79" s="621">
        <f>F79-$K17</f>
        <v>96</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 thickTop="1">
      <c r="A80" s="482"/>
      <c r="B80" s="1554" t="s">
        <v>1840</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4.4" thickBot="1">
      <c r="A81" s="482"/>
      <c r="B81" s="620"/>
      <c r="C81" s="621">
        <v>100</v>
      </c>
      <c r="D81" s="621">
        <f>C81-$K19</f>
        <v>99</v>
      </c>
      <c r="E81" s="621">
        <f>D81-$K19</f>
        <v>98</v>
      </c>
      <c r="F81" s="621">
        <f>E81-$K19</f>
        <v>97</v>
      </c>
      <c r="G81" s="621">
        <f>F81-$K19</f>
        <v>96</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 thickTop="1">
      <c r="A82" s="482"/>
      <c r="B82" s="2055" t="s">
        <v>1841</v>
      </c>
      <c r="C82" s="2056" t="s">
        <v>1842</v>
      </c>
      <c r="D82" s="2056" t="s">
        <v>1843</v>
      </c>
      <c r="E82" s="2056" t="s">
        <v>1844</v>
      </c>
      <c r="F82" s="2056" t="s">
        <v>1845</v>
      </c>
      <c r="G82" s="2056" t="s">
        <v>1846</v>
      </c>
      <c r="H82" s="616"/>
      <c r="I82" s="616"/>
      <c r="J82" s="616"/>
      <c r="K82" s="616"/>
      <c r="L82" s="616"/>
      <c r="M82" s="2059"/>
      <c r="N82" s="1767"/>
      <c r="O82" s="1767"/>
      <c r="P82" s="1765"/>
      <c r="Q82" s="1762"/>
      <c r="R82" s="1741"/>
      <c r="S82" s="1741"/>
      <c r="T82" s="1741"/>
      <c r="U82" s="1741"/>
      <c r="V82" s="1741"/>
      <c r="W82" s="1741"/>
      <c r="X82" s="1741"/>
      <c r="Y82" s="1741"/>
      <c r="Z82" s="1741"/>
      <c r="AA82" s="1741"/>
      <c r="AB82" s="1741"/>
      <c r="AC82" s="1741"/>
    </row>
    <row r="83" spans="1:29" ht="14.4" thickBot="1">
      <c r="A83" s="482"/>
      <c r="B83" s="623"/>
      <c r="C83" s="621">
        <v>100</v>
      </c>
      <c r="D83" s="621">
        <f>C83-$K21</f>
        <v>99</v>
      </c>
      <c r="E83" s="621">
        <f>D83-$K21</f>
        <v>98</v>
      </c>
      <c r="F83" s="621">
        <f>E83-$K21</f>
        <v>97</v>
      </c>
      <c r="G83" s="621">
        <f>F83-$K21</f>
        <v>96</v>
      </c>
      <c r="H83" s="856"/>
      <c r="I83" s="856"/>
      <c r="J83" s="856"/>
      <c r="K83" s="856"/>
      <c r="L83" s="856"/>
      <c r="M83" s="509"/>
      <c r="N83" s="1767"/>
      <c r="O83" s="1767"/>
      <c r="P83" s="1765"/>
      <c r="Q83" s="1762"/>
      <c r="R83" s="1741"/>
      <c r="S83" s="1741"/>
      <c r="T83" s="1741"/>
      <c r="U83" s="1741"/>
      <c r="V83" s="1741"/>
      <c r="W83" s="1741"/>
      <c r="X83" s="1741"/>
      <c r="Y83" s="1741"/>
      <c r="Z83" s="1741"/>
      <c r="AA83" s="1741"/>
      <c r="AB83" s="1741"/>
      <c r="AC83" s="1741"/>
    </row>
    <row r="84" spans="1:29" ht="1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4.4" thickBot="1">
      <c r="A85" s="482"/>
      <c r="B85" s="620"/>
      <c r="C85" s="621">
        <v>100</v>
      </c>
      <c r="D85" s="621">
        <f>C85-$K23</f>
        <v>99</v>
      </c>
      <c r="E85" s="621">
        <f>D85-$K23</f>
        <v>98</v>
      </c>
      <c r="F85" s="621">
        <f>E85-$K23</f>
        <v>97</v>
      </c>
      <c r="G85" s="621">
        <f>F85-$K23</f>
        <v>96</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60" customFormat="1" ht="15" thickTop="1">
      <c r="A86" s="486"/>
      <c r="B86" s="1554" t="s">
        <v>1616</v>
      </c>
      <c r="C86" s="630"/>
      <c r="D86" s="630"/>
      <c r="E86" s="630"/>
      <c r="F86" s="630"/>
      <c r="G86" s="630"/>
      <c r="H86" s="630"/>
      <c r="I86" s="630"/>
      <c r="J86" s="630"/>
      <c r="K86" s="630"/>
      <c r="L86" s="815"/>
      <c r="M86" s="816"/>
      <c r="N86" s="1765"/>
      <c r="O86" s="1765"/>
      <c r="P86" s="1765"/>
      <c r="Q86" s="1762"/>
      <c r="R86" s="1639"/>
      <c r="S86" s="1639"/>
      <c r="T86" s="1639"/>
      <c r="U86" s="1639"/>
      <c r="V86" s="1639"/>
      <c r="W86" s="1639"/>
      <c r="X86" s="1639"/>
      <c r="Y86" s="1639"/>
      <c r="Z86" s="1639"/>
      <c r="AA86" s="1639"/>
      <c r="AB86" s="1639"/>
      <c r="AC86" s="1639"/>
    </row>
    <row r="87" spans="1:29" s="1060" customFormat="1" ht="14.4"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60" customFormat="1" ht="15" thickTop="1">
      <c r="A88" s="486"/>
      <c r="B88" s="615" t="s">
        <v>686</v>
      </c>
      <c r="C88" s="630"/>
      <c r="D88" s="630"/>
      <c r="E88" s="630"/>
      <c r="F88" s="817"/>
      <c r="G88" s="630"/>
      <c r="H88" s="630"/>
      <c r="I88" s="630"/>
      <c r="J88" s="630"/>
      <c r="K88" s="630"/>
      <c r="L88" s="630"/>
      <c r="M88" s="816"/>
      <c r="N88" s="1765"/>
      <c r="O88" s="1765"/>
      <c r="P88" s="1765"/>
      <c r="Q88" s="1762"/>
      <c r="R88" s="1639"/>
      <c r="S88" s="1639"/>
      <c r="T88" s="1639"/>
      <c r="U88" s="1639"/>
      <c r="V88" s="1639"/>
      <c r="W88" s="1639"/>
      <c r="X88" s="1639"/>
      <c r="Y88" s="1639"/>
      <c r="Z88" s="1639"/>
      <c r="AA88" s="1639"/>
      <c r="AB88" s="1639"/>
      <c r="AC88" s="1639"/>
    </row>
    <row r="89" spans="1:29" s="1060" customFormat="1" ht="14.4"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639"/>
      <c r="S89" s="1639"/>
      <c r="T89" s="1639"/>
      <c r="U89" s="1639"/>
      <c r="V89" s="1639"/>
      <c r="W89" s="1639"/>
      <c r="X89" s="1639"/>
      <c r="Y89" s="1639"/>
      <c r="Z89" s="1639"/>
      <c r="AA89" s="1639"/>
      <c r="AB89" s="1639"/>
      <c r="AC89" s="1639"/>
    </row>
    <row r="90" spans="1:29" s="1134" customFormat="1" ht="14.4" thickTop="1">
      <c r="A90" s="629"/>
      <c r="B90" s="615" t="str">
        <f>B27</f>
        <v>道路级别</v>
      </c>
      <c r="C90" s="630"/>
      <c r="D90" s="630"/>
      <c r="E90" s="630"/>
      <c r="F90" s="630"/>
      <c r="G90" s="630"/>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4" customFormat="1" ht="14.4" thickBot="1">
      <c r="A91" s="629"/>
      <c r="B91" s="620"/>
      <c r="C91" s="634"/>
      <c r="D91" s="634"/>
      <c r="E91" s="634"/>
      <c r="F91" s="634"/>
      <c r="G91" s="634"/>
      <c r="H91" s="635"/>
      <c r="I91" s="635"/>
      <c r="J91" s="635"/>
      <c r="K91" s="635"/>
      <c r="L91" s="635"/>
      <c r="M91" s="636"/>
      <c r="N91" s="1768"/>
      <c r="O91" s="1768"/>
      <c r="P91" s="1768"/>
      <c r="Q91" s="1769"/>
      <c r="R91" s="1770"/>
      <c r="S91" s="1770"/>
      <c r="T91" s="1770"/>
      <c r="U91" s="1770"/>
      <c r="V91" s="1770"/>
      <c r="W91" s="1770"/>
      <c r="X91" s="1770"/>
      <c r="Y91" s="1770"/>
      <c r="Z91" s="1770"/>
      <c r="AA91" s="1770"/>
      <c r="AB91" s="1770"/>
      <c r="AC91" s="1770"/>
    </row>
    <row r="92" spans="1:29" ht="14.4" thickTop="1">
      <c r="A92" s="482"/>
      <c r="B92" s="615">
        <f>B28</f>
        <v>111</v>
      </c>
      <c r="C92" s="630"/>
      <c r="D92" s="630"/>
      <c r="E92" s="630"/>
      <c r="F92" s="630"/>
      <c r="G92" s="658"/>
      <c r="H92" s="658"/>
      <c r="I92" s="658"/>
      <c r="J92" s="658"/>
      <c r="K92" s="659"/>
      <c r="L92" s="660"/>
      <c r="M92" s="661"/>
      <c r="N92" s="1766"/>
      <c r="O92" s="1766"/>
      <c r="P92" s="1765"/>
      <c r="Q92" s="1762"/>
      <c r="R92" s="1741"/>
      <c r="S92" s="1741"/>
      <c r="T92" s="1741"/>
      <c r="U92" s="1741"/>
      <c r="V92" s="1741"/>
      <c r="W92" s="1741"/>
      <c r="X92" s="1741"/>
      <c r="Y92" s="1741"/>
      <c r="Z92" s="1741"/>
      <c r="AA92" s="1741"/>
      <c r="AB92" s="1741"/>
      <c r="AC92" s="1741"/>
    </row>
    <row r="93" spans="1:29" ht="14.4" thickBot="1">
      <c r="A93" s="482"/>
      <c r="B93" s="620"/>
      <c r="C93" s="634"/>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4.4"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4.4" thickBot="1">
      <c r="A95" s="482"/>
      <c r="B95" s="620"/>
      <c r="C95" s="634"/>
      <c r="D95" s="634"/>
      <c r="E95" s="634"/>
      <c r="F95" s="634"/>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4.4"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4.4" thickBot="1">
      <c r="A97" s="482"/>
      <c r="B97" s="620"/>
      <c r="C97" s="642"/>
      <c r="D97" s="642"/>
      <c r="E97" s="642"/>
      <c r="F97" s="642"/>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4.4" thickTop="1">
      <c r="A98" s="482"/>
      <c r="B98" s="623">
        <f>B31</f>
        <v>111</v>
      </c>
      <c r="C98" s="662"/>
      <c r="D98" s="662"/>
      <c r="E98" s="662"/>
      <c r="F98" s="662"/>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4.4" thickBot="1">
      <c r="A99" s="493"/>
      <c r="B99" s="641"/>
      <c r="C99" s="666"/>
      <c r="D99" s="666"/>
      <c r="E99" s="666"/>
      <c r="F99" s="666"/>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ht="14.4">
      <c r="A100" s="607" t="s">
        <v>500</v>
      </c>
      <c r="B100" s="608" t="s">
        <v>687</v>
      </c>
      <c r="C100" s="547"/>
      <c r="D100" s="547"/>
      <c r="E100" s="547"/>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7"/>
      <c r="O101" s="1767"/>
      <c r="P101" s="1765"/>
      <c r="Q101" s="1762"/>
      <c r="R101" s="1741"/>
      <c r="S101" s="1741"/>
      <c r="T101" s="1741"/>
      <c r="U101" s="1741"/>
      <c r="V101" s="1741"/>
      <c r="W101" s="1741"/>
      <c r="X101" s="1741"/>
      <c r="Y101" s="1741"/>
      <c r="Z101" s="1741"/>
      <c r="AA101" s="1741"/>
      <c r="AB101" s="1741"/>
      <c r="AC101" s="1741"/>
    </row>
    <row r="102" spans="1:29" ht="15" thickTop="1">
      <c r="A102" s="482"/>
      <c r="B102" s="615" t="s">
        <v>688</v>
      </c>
      <c r="C102" s="649" t="str">
        <f>C103&amp;"(含)"&amp;"-"&amp;D103</f>
        <v>0(含)-100</v>
      </c>
      <c r="D102" s="649" t="str">
        <f t="shared" ref="D102:L102" si="19">D103&amp;"(含)"&amp;"-"&amp;E103</f>
        <v>100(含)-120</v>
      </c>
      <c r="E102" s="649" t="str">
        <f t="shared" si="19"/>
        <v>120(含)-150</v>
      </c>
      <c r="F102" s="649" t="str">
        <f t="shared" si="19"/>
        <v>150(含)-200</v>
      </c>
      <c r="G102" s="649" t="str">
        <f t="shared" si="19"/>
        <v>200(含)-</v>
      </c>
      <c r="H102" s="649" t="str">
        <f t="shared" si="19"/>
        <v>(含)-</v>
      </c>
      <c r="I102" s="649" t="str">
        <f t="shared" si="19"/>
        <v>(含)-</v>
      </c>
      <c r="J102" s="649" t="str">
        <f t="shared" si="19"/>
        <v>(含)-</v>
      </c>
      <c r="K102" s="649" t="str">
        <f t="shared" si="19"/>
        <v>(含)-</v>
      </c>
      <c r="L102" s="649" t="str">
        <f t="shared" si="19"/>
        <v>(含)-</v>
      </c>
      <c r="M102" s="649"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4" customFormat="1">
      <c r="A103" s="552"/>
      <c r="B103" s="668"/>
      <c r="C103" s="79">
        <v>0</v>
      </c>
      <c r="D103" s="79">
        <v>100</v>
      </c>
      <c r="E103" s="79">
        <v>120</v>
      </c>
      <c r="F103" s="79">
        <v>150</v>
      </c>
      <c r="G103" s="79">
        <v>200</v>
      </c>
      <c r="H103" s="79"/>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4" customFormat="1" ht="14.4" thickBot="1">
      <c r="A104" s="629"/>
      <c r="B104" s="620"/>
      <c r="C104" s="634"/>
      <c r="D104" s="613"/>
      <c r="E104" s="613"/>
      <c r="F104" s="613"/>
      <c r="G104" s="613"/>
      <c r="H104" s="613"/>
      <c r="I104" s="613"/>
      <c r="J104" s="613"/>
      <c r="K104" s="613"/>
      <c r="L104" s="613"/>
      <c r="M104" s="613"/>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630"/>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690</v>
      </c>
      <c r="C107" s="658"/>
      <c r="D107" s="658"/>
      <c r="E107" s="658"/>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691</v>
      </c>
      <c r="C109" s="630"/>
      <c r="D109" s="630"/>
      <c r="E109" s="630"/>
      <c r="F109" s="658"/>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4.4"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7"/>
      <c r="O110" s="1767"/>
      <c r="P110" s="1765"/>
      <c r="Q110" s="1762"/>
      <c r="R110" s="1741"/>
      <c r="S110" s="1741"/>
      <c r="T110" s="1741"/>
      <c r="U110" s="1741"/>
      <c r="V110" s="1741"/>
      <c r="W110" s="1741"/>
      <c r="X110" s="1741"/>
      <c r="Y110" s="1741"/>
      <c r="Z110" s="1741"/>
      <c r="AA110" s="1741"/>
      <c r="AB110" s="1741"/>
      <c r="AC110" s="1741"/>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8"/>
      <c r="O111" s="1768"/>
      <c r="P111" s="1768"/>
      <c r="Q111" s="1769"/>
      <c r="R111" s="1770"/>
      <c r="S111" s="1770"/>
      <c r="T111" s="1770"/>
      <c r="U111" s="1770"/>
      <c r="V111" s="1770"/>
      <c r="W111" s="1770"/>
      <c r="X111" s="1770"/>
      <c r="Y111" s="1770"/>
      <c r="Z111" s="1770"/>
      <c r="AA111" s="1770"/>
      <c r="AB111" s="1770"/>
      <c r="AC111" s="1770"/>
    </row>
    <row r="112" spans="1:29" s="1134" customFormat="1">
      <c r="A112" s="552"/>
      <c r="B112" s="623"/>
      <c r="C112" s="818">
        <v>0.5</v>
      </c>
      <c r="D112" s="818">
        <v>0.6</v>
      </c>
      <c r="E112" s="818">
        <v>0.7</v>
      </c>
      <c r="F112" s="818">
        <v>0.8</v>
      </c>
      <c r="G112" s="818">
        <v>0.9</v>
      </c>
      <c r="H112" s="818">
        <v>1.0001</v>
      </c>
      <c r="I112" s="818"/>
      <c r="J112" s="819"/>
      <c r="K112" s="819"/>
      <c r="L112" s="820"/>
      <c r="M112" s="821"/>
      <c r="N112" s="1768"/>
      <c r="O112" s="1768"/>
      <c r="P112" s="1768"/>
      <c r="Q112" s="1769"/>
      <c r="R112" s="1770"/>
      <c r="S112" s="1770"/>
      <c r="T112" s="1770"/>
      <c r="U112" s="1770"/>
      <c r="V112" s="1770"/>
      <c r="W112" s="1770"/>
      <c r="X112" s="1770"/>
      <c r="Y112" s="1770"/>
      <c r="Z112" s="1770"/>
      <c r="AA112" s="1770"/>
      <c r="AB112" s="1770"/>
      <c r="AC112" s="1770"/>
    </row>
    <row r="113" spans="1:29" s="1134" customFormat="1" ht="14.4"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693</v>
      </c>
      <c r="C114" s="630"/>
      <c r="D114" s="630"/>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4.4"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1554" t="s">
        <v>1839</v>
      </c>
      <c r="C116" s="630"/>
      <c r="D116" s="630"/>
      <c r="E116" s="630"/>
      <c r="F116" s="630"/>
      <c r="G116" s="630"/>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694</v>
      </c>
      <c r="C118" s="658"/>
      <c r="D118" s="658"/>
      <c r="E118" s="658"/>
      <c r="F118" s="658"/>
      <c r="G118" s="658"/>
      <c r="H118" s="658"/>
      <c r="I118" s="658"/>
      <c r="J118" s="658"/>
      <c r="K118" s="659"/>
      <c r="L118" s="660"/>
      <c r="M118" s="661"/>
      <c r="N118" s="1766"/>
      <c r="O118" s="1766"/>
      <c r="P118" s="1765"/>
      <c r="Q118" s="1762"/>
      <c r="R118" s="1741"/>
      <c r="S118" s="1741"/>
      <c r="T118" s="1741"/>
      <c r="U118" s="1741"/>
      <c r="V118" s="1741"/>
      <c r="W118" s="1741"/>
      <c r="X118" s="1741"/>
      <c r="Y118" s="1741"/>
      <c r="Z118" s="1741"/>
      <c r="AA118" s="1741"/>
      <c r="AB118" s="1741"/>
      <c r="AC118" s="1741"/>
    </row>
    <row r="119" spans="1:29" ht="14.4"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7"/>
      <c r="O119" s="1767"/>
      <c r="P119" s="1765"/>
      <c r="Q119" s="1762"/>
      <c r="R119" s="1741"/>
      <c r="S119" s="1741"/>
      <c r="T119" s="1741"/>
      <c r="U119" s="1741"/>
      <c r="V119" s="1741"/>
      <c r="W119" s="1741"/>
      <c r="X119" s="1741"/>
      <c r="Y119" s="1741"/>
      <c r="Z119" s="1741"/>
      <c r="AA119" s="1741"/>
      <c r="AB119" s="1741"/>
      <c r="AC119" s="1741"/>
    </row>
    <row r="120" spans="1:29" s="1134" customFormat="1" ht="29.4" thickTop="1">
      <c r="A120" s="552"/>
      <c r="B120" s="615" t="s">
        <v>680</v>
      </c>
      <c r="C120" s="630"/>
      <c r="D120" s="630"/>
      <c r="E120" s="630"/>
      <c r="F120" s="630"/>
      <c r="G120" s="630"/>
      <c r="H120" s="630"/>
      <c r="I120" s="630"/>
      <c r="J120" s="630"/>
      <c r="K120" s="630"/>
      <c r="L120" s="815"/>
      <c r="M120" s="816"/>
      <c r="N120" s="1768"/>
      <c r="O120" s="1768"/>
      <c r="P120" s="1768"/>
      <c r="Q120" s="1769"/>
      <c r="R120" s="1770"/>
      <c r="S120" s="1770"/>
      <c r="T120" s="1770"/>
      <c r="U120" s="1770"/>
      <c r="V120" s="1770"/>
      <c r="W120" s="1770"/>
      <c r="X120" s="1770"/>
      <c r="Y120" s="1770"/>
      <c r="Z120" s="1770"/>
      <c r="AA120" s="1770"/>
      <c r="AB120" s="1770"/>
      <c r="AC120" s="1770"/>
    </row>
    <row r="121" spans="1:29" s="1134" customFormat="1" ht="14.4" thickBot="1">
      <c r="A121" s="629"/>
      <c r="B121" s="612"/>
      <c r="C121" s="634"/>
      <c r="D121" s="613"/>
      <c r="E121" s="613"/>
      <c r="F121" s="613"/>
      <c r="G121" s="613"/>
      <c r="H121" s="613"/>
      <c r="I121" s="613"/>
      <c r="J121" s="613"/>
      <c r="K121" s="613"/>
      <c r="L121" s="613"/>
      <c r="M121" s="613"/>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4.4"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7"/>
      <c r="O123" s="1767"/>
      <c r="P123" s="1765"/>
      <c r="Q123" s="1762"/>
      <c r="R123" s="1741"/>
      <c r="S123" s="1741"/>
      <c r="T123" s="1741"/>
      <c r="U123" s="1741"/>
      <c r="V123" s="1741"/>
      <c r="W123" s="1741"/>
      <c r="X123" s="1741"/>
      <c r="Y123" s="1741"/>
      <c r="Z123" s="1741"/>
      <c r="AA123" s="1741"/>
      <c r="AB123" s="1741"/>
      <c r="AC123" s="1741"/>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4" customFormat="1" ht="15" thickTop="1">
      <c r="A126" s="552"/>
      <c r="B126" s="615" t="str">
        <f>B44</f>
        <v>建筑类型</v>
      </c>
      <c r="C126" s="3419" t="s">
        <v>3533</v>
      </c>
      <c r="D126" s="3419" t="s">
        <v>3532</v>
      </c>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4" customFormat="1" ht="14.4" thickBot="1">
      <c r="A127" s="629"/>
      <c r="B127" s="620"/>
      <c r="C127" s="634">
        <v>100</v>
      </c>
      <c r="D127" s="613">
        <v>90</v>
      </c>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4.4"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4.4"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4.4"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4.4"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1617</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ht="15.6">
      <c r="A137" s="1778"/>
      <c r="B137" s="1576" t="s">
        <v>1618</v>
      </c>
      <c r="C137" s="1577"/>
      <c r="D137" s="1577"/>
      <c r="E137" s="1577"/>
      <c r="F137" s="1577"/>
      <c r="G137" s="1578"/>
      <c r="H137" s="1579"/>
      <c r="I137" s="1580" t="s">
        <v>1619</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ht="15.6">
      <c r="A138" s="1778"/>
      <c r="B138" s="1582"/>
      <c r="C138" s="1583" t="s">
        <v>1620</v>
      </c>
      <c r="D138" s="1583" t="s">
        <v>1621</v>
      </c>
      <c r="E138" s="1584" t="s">
        <v>1622</v>
      </c>
      <c r="F138" s="1585" t="s">
        <v>1623</v>
      </c>
      <c r="G138" s="1583" t="s">
        <v>1624</v>
      </c>
      <c r="H138" s="1586" t="s">
        <v>1625</v>
      </c>
      <c r="I138" s="1587"/>
      <c r="J138" s="1583" t="s">
        <v>1626</v>
      </c>
      <c r="K138" s="1586" t="s">
        <v>1627</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1628</v>
      </c>
      <c r="E139" s="1557">
        <v>100</v>
      </c>
      <c r="F139" s="1558">
        <v>102.5</v>
      </c>
      <c r="G139" s="1588" t="s">
        <v>1629</v>
      </c>
      <c r="H139" s="1559">
        <v>105</v>
      </c>
      <c r="I139" s="1589" t="s">
        <v>1630</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6">
      <c r="A140" s="1778"/>
      <c r="B140" s="1561">
        <v>5</v>
      </c>
      <c r="C140" s="1562">
        <v>100</v>
      </c>
      <c r="D140" s="1590"/>
      <c r="E140" s="1563"/>
      <c r="F140" s="1564">
        <v>102</v>
      </c>
      <c r="G140" s="1590"/>
      <c r="H140" s="1565"/>
      <c r="I140" s="1591" t="s">
        <v>1631</v>
      </c>
      <c r="J140" s="780">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6">
      <c r="A141" s="1778"/>
      <c r="B141" s="1561">
        <v>4</v>
      </c>
      <c r="C141" s="1562">
        <v>102</v>
      </c>
      <c r="D141" s="1590"/>
      <c r="E141" s="1563"/>
      <c r="F141" s="1564">
        <v>101.5</v>
      </c>
      <c r="G141" s="1590"/>
      <c r="H141" s="1565"/>
      <c r="I141" s="1591" t="s">
        <v>1632</v>
      </c>
      <c r="J141" s="780">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6">
      <c r="A142" s="1778"/>
      <c r="B142" s="1561">
        <v>3</v>
      </c>
      <c r="C142" s="1562">
        <v>103</v>
      </c>
      <c r="D142" s="1590"/>
      <c r="E142" s="1563"/>
      <c r="F142" s="1564">
        <v>101</v>
      </c>
      <c r="G142" s="1590"/>
      <c r="H142" s="1565"/>
      <c r="I142" s="1591" t="s">
        <v>1633</v>
      </c>
      <c r="J142" s="780">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6">
      <c r="A143" s="1778"/>
      <c r="B143" s="1561">
        <v>2</v>
      </c>
      <c r="C143" s="1562">
        <v>100</v>
      </c>
      <c r="D143" s="1590"/>
      <c r="E143" s="1563"/>
      <c r="F143" s="1564">
        <v>100.5</v>
      </c>
      <c r="G143" s="1590"/>
      <c r="H143" s="1565"/>
      <c r="I143" s="1591" t="s">
        <v>1634</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1635</v>
      </c>
      <c r="E144" s="1563">
        <v>102</v>
      </c>
      <c r="F144" s="1569">
        <v>100</v>
      </c>
      <c r="G144" s="1592" t="s">
        <v>1635</v>
      </c>
      <c r="H144" s="1565">
        <v>105</v>
      </c>
      <c r="I144" s="1591" t="s">
        <v>1634</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6.2" thickBot="1">
      <c r="A145" s="1778"/>
      <c r="B145" s="1593" t="s">
        <v>1636</v>
      </c>
      <c r="C145" s="1570">
        <f>ROUND(MAX(C139:C144)/MIN(C139:C144)-1,3)</f>
        <v>7.2999999999999995E-2</v>
      </c>
      <c r="D145" s="1594"/>
      <c r="E145" s="1594"/>
      <c r="F145" s="1595" t="s">
        <v>1637</v>
      </c>
      <c r="G145" s="1596"/>
      <c r="H145" s="1597"/>
      <c r="I145" s="1598" t="s">
        <v>1634</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ht="14.4">
      <c r="A147" s="1778"/>
      <c r="B147" s="1617" t="s">
        <v>1645</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ht="14.4">
      <c r="A148" s="1778"/>
      <c r="B148" s="1617" t="s">
        <v>1646</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60" zoomScaleNormal="60" workbookViewId="0">
      <selection activeCell="G41" sqref="G41"/>
    </sheetView>
  </sheetViews>
  <sheetFormatPr defaultColWidth="9" defaultRowHeight="15"/>
  <cols>
    <col min="1" max="1" width="9" style="1672" customWidth="1"/>
    <col min="2" max="2" width="20.6640625" style="1706" customWidth="1"/>
    <col min="3" max="3" width="11.88671875" style="1706" customWidth="1"/>
    <col min="4" max="4" width="40.44140625" style="1672" customWidth="1"/>
    <col min="5" max="5" width="15.77734375" style="1672" customWidth="1"/>
    <col min="6" max="6" width="10.6640625" style="1672" customWidth="1"/>
    <col min="7" max="7" width="4.88671875" style="1672" customWidth="1"/>
    <col min="8" max="8" width="8.44140625" style="1672" customWidth="1"/>
    <col min="9" max="9" width="21.21875" style="1672" customWidth="1"/>
    <col min="10" max="10" width="12.21875" style="1672" customWidth="1"/>
    <col min="11" max="11" width="40.109375" style="1707" customWidth="1"/>
    <col min="12" max="12" width="18.33203125" style="1672" customWidth="1"/>
    <col min="13" max="13" width="13" style="1672" customWidth="1"/>
    <col min="14" max="14" width="9.44140625" style="1671" bestFit="1" customWidth="1"/>
    <col min="15" max="15" width="5.88671875" style="1671" customWidth="1"/>
    <col min="16" max="16" width="27.6640625" style="1671" customWidth="1"/>
    <col min="17" max="17" width="13.77734375" style="1704" customWidth="1"/>
    <col min="18" max="18" width="23.44140625" style="1671" customWidth="1"/>
    <col min="19" max="19" width="1.44140625" style="1671" customWidth="1"/>
    <col min="20" max="33" width="9" style="1671"/>
    <col min="34" max="16384" width="9" style="1672"/>
  </cols>
  <sheetData>
    <row r="1" spans="1:33" s="1666" customFormat="1" ht="21.6">
      <c r="A1" s="766" t="s">
        <v>1254</v>
      </c>
      <c r="B1" s="675"/>
      <c r="C1" s="708" t="s">
        <v>2738</v>
      </c>
      <c r="D1" s="2362" t="s">
        <v>877</v>
      </c>
      <c r="E1" s="1946" t="s">
        <v>1728</v>
      </c>
      <c r="F1" s="1947">
        <f ca="1">J53</f>
        <v>37.65</v>
      </c>
      <c r="G1" s="2759">
        <f>MATCH(C1,'数据-取费表'!A6:A16,0)+5</f>
        <v>7</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3" t="s">
        <v>1255</v>
      </c>
      <c r="B2" s="710">
        <f ca="1">C40+J29+L46</f>
        <v>1027</v>
      </c>
      <c r="C2" s="2764"/>
      <c r="D2" s="2763"/>
      <c r="E2" s="2765"/>
      <c r="F2" s="2765"/>
      <c r="G2" s="2760"/>
      <c r="H2" s="1669"/>
      <c r="I2" s="1669"/>
      <c r="J2" s="1669"/>
      <c r="K2" s="1670"/>
      <c r="L2" s="1669"/>
      <c r="M2" s="1669"/>
    </row>
    <row r="3" spans="1:33" ht="18" customHeight="1" thickBot="1">
      <c r="A3" s="767" t="s">
        <v>1256</v>
      </c>
      <c r="B3" s="768">
        <f ca="1">IF(ISERROR(B2*10000/F43),0,ROUND(B2*10000/F43,0))</f>
        <v>9162</v>
      </c>
      <c r="C3" s="2764"/>
      <c r="D3" s="2763"/>
      <c r="E3" s="2765"/>
      <c r="F3" s="2765"/>
      <c r="G3" s="2760"/>
      <c r="H3" s="711" t="s">
        <v>642</v>
      </c>
      <c r="I3" s="1157"/>
      <c r="J3" s="1157"/>
      <c r="K3" s="1323"/>
      <c r="L3" s="1157"/>
      <c r="M3" s="1157"/>
    </row>
    <row r="4" spans="1:33" ht="18" customHeight="1">
      <c r="A4" s="712" t="s">
        <v>1257</v>
      </c>
      <c r="B4" s="713" t="s">
        <v>1258</v>
      </c>
      <c r="C4" s="713" t="s">
        <v>1259</v>
      </c>
      <c r="D4" s="713" t="s">
        <v>581</v>
      </c>
      <c r="E4" s="714" t="s">
        <v>1260</v>
      </c>
      <c r="F4" s="715"/>
      <c r="G4" s="1667"/>
      <c r="H4" s="712" t="s">
        <v>1261</v>
      </c>
      <c r="I4" s="713" t="s">
        <v>1262</v>
      </c>
      <c r="J4" s="713" t="s">
        <v>1263</v>
      </c>
      <c r="K4" s="713" t="s">
        <v>1264</v>
      </c>
      <c r="L4" s="714" t="s">
        <v>1265</v>
      </c>
      <c r="M4" s="715"/>
    </row>
    <row r="5" spans="1:33" ht="18" customHeight="1">
      <c r="A5" s="716">
        <v>1</v>
      </c>
      <c r="B5" s="717" t="s">
        <v>1802</v>
      </c>
      <c r="C5" s="51">
        <f ca="1">C6+C10+C12</f>
        <v>63</v>
      </c>
      <c r="D5" s="2000" t="s">
        <v>1805</v>
      </c>
      <c r="E5" s="1994"/>
      <c r="F5" s="1995"/>
      <c r="G5" s="1667"/>
      <c r="H5" s="716">
        <v>1</v>
      </c>
      <c r="I5" s="717" t="s">
        <v>1802</v>
      </c>
      <c r="J5" s="51">
        <f ca="1">J6+J10+J12</f>
        <v>0</v>
      </c>
      <c r="K5" s="2000" t="s">
        <v>1805</v>
      </c>
      <c r="L5" s="1994"/>
      <c r="M5" s="1995"/>
    </row>
    <row r="6" spans="1:33" ht="18" customHeight="1">
      <c r="A6" s="1520" t="s">
        <v>1353</v>
      </c>
      <c r="B6" s="3713" t="s">
        <v>1807</v>
      </c>
      <c r="C6" s="718">
        <f ca="1">ROUND(F6*F8*F7*(1-F9)/10000,0)</f>
        <v>63</v>
      </c>
      <c r="D6" s="2001" t="s">
        <v>1806</v>
      </c>
      <c r="E6" s="719" t="s">
        <v>1267</v>
      </c>
      <c r="F6" s="720">
        <f ca="1">INDIRECT("'数据-取费表'!u"&amp;$G$1)</f>
        <v>1.7</v>
      </c>
      <c r="G6" s="1667"/>
      <c r="H6" s="2008" t="s">
        <v>1812</v>
      </c>
      <c r="I6" s="3713" t="s">
        <v>1807</v>
      </c>
      <c r="J6" s="718">
        <f ca="1">ROUND(M6*M8*M7*(1-M9)/10000,0)</f>
        <v>0</v>
      </c>
      <c r="K6" s="315" t="s">
        <v>1266</v>
      </c>
      <c r="L6" s="719" t="s">
        <v>1267</v>
      </c>
      <c r="M6" s="720">
        <f ca="1">INDIRECT("'数据-取费表'!z"&amp;$G$1)</f>
        <v>0</v>
      </c>
    </row>
    <row r="7" spans="1:33" ht="18" customHeight="1">
      <c r="A7" s="2004"/>
      <c r="B7" s="3714"/>
      <c r="C7" s="723"/>
      <c r="D7" s="724"/>
      <c r="E7" s="719" t="s">
        <v>1268</v>
      </c>
      <c r="F7" s="720">
        <f ca="1">IF(INDIRECT("'数据-取费表'!ah"&amp;$G$1)="",INDIRECT("'数据-取费表'!k"&amp;$G$1),INDIRECT("'数据-取费表'!ah"&amp;$G$1))</f>
        <v>1120.8800000000001</v>
      </c>
      <c r="G7" s="1667"/>
      <c r="H7" s="1993"/>
      <c r="I7" s="3714"/>
      <c r="J7" s="723"/>
      <c r="K7" s="724"/>
      <c r="L7" s="719" t="s">
        <v>1268</v>
      </c>
      <c r="M7" s="720">
        <f ca="1">F7</f>
        <v>1120.8800000000001</v>
      </c>
    </row>
    <row r="8" spans="1:33" ht="18" customHeight="1">
      <c r="A8" s="1997"/>
      <c r="B8" s="3715"/>
      <c r="C8" s="723"/>
      <c r="D8" s="724"/>
      <c r="E8" s="719" t="s">
        <v>1269</v>
      </c>
      <c r="F8" s="720">
        <f ca="1">INDIRECT("'数据-取费表'!ai"&amp;$G$1)</f>
        <v>365</v>
      </c>
      <c r="G8" s="1667"/>
      <c r="H8" s="1993"/>
      <c r="I8" s="3715"/>
      <c r="J8" s="723"/>
      <c r="K8" s="724"/>
      <c r="L8" s="719" t="s">
        <v>1269</v>
      </c>
      <c r="M8" s="720">
        <f ca="1">INDIRECT("'数据-取费表'!ai"&amp;$G$1)</f>
        <v>365</v>
      </c>
    </row>
    <row r="9" spans="1:33" ht="18" customHeight="1">
      <c r="A9" s="721"/>
      <c r="B9" s="3716"/>
      <c r="C9" s="723"/>
      <c r="D9" s="724"/>
      <c r="E9" s="719" t="s">
        <v>1270</v>
      </c>
      <c r="F9" s="729">
        <f ca="1">INDIRECT("'数据-取费表'!w"&amp;$G$1)</f>
        <v>0.1</v>
      </c>
      <c r="G9" s="1667"/>
      <c r="H9" s="2009"/>
      <c r="I9" s="3715"/>
      <c r="J9" s="723"/>
      <c r="K9" s="724"/>
      <c r="L9" s="730" t="s">
        <v>1270</v>
      </c>
      <c r="M9" s="731">
        <f ca="1">INDIRECT("'数据-取费表'!ab"&amp;$G$1)</f>
        <v>0</v>
      </c>
    </row>
    <row r="10" spans="1:33" ht="18" customHeight="1">
      <c r="A10" s="1520" t="s">
        <v>1810</v>
      </c>
      <c r="B10" s="1998" t="s">
        <v>1803</v>
      </c>
      <c r="C10" s="734">
        <f ca="1">ROUND(IF(F10="押一",C6/12*F11,IF(F10="押二",C6/12*2*F11,IF(F10="押三",C6/12*3*F11,C11*F11))),0)</f>
        <v>0</v>
      </c>
      <c r="D10" s="2005" t="s">
        <v>2232</v>
      </c>
      <c r="E10" s="2002" t="s">
        <v>1808</v>
      </c>
      <c r="F10" s="2075" t="s">
        <v>3522</v>
      </c>
      <c r="G10" s="1667"/>
      <c r="H10" s="2036" t="s">
        <v>1813</v>
      </c>
      <c r="I10" s="2040" t="s">
        <v>1803</v>
      </c>
      <c r="J10" s="718">
        <f ca="1">ROUND(IF(M10="押一",J6/12*M11,IF(M10="押二",J6/12*2*M11,IF(M10="押三",J6/12*3*M11,J11*M11))),0)</f>
        <v>0</v>
      </c>
      <c r="K10" s="2005" t="s">
        <v>2232</v>
      </c>
      <c r="L10" s="2002" t="s">
        <v>1808</v>
      </c>
      <c r="M10" s="2075"/>
    </row>
    <row r="11" spans="1:33" ht="18" customHeight="1">
      <c r="A11" s="725"/>
      <c r="B11" s="1999" t="s">
        <v>1856</v>
      </c>
      <c r="C11" s="2003"/>
      <c r="D11" s="724"/>
      <c r="E11" s="2002" t="s">
        <v>1809</v>
      </c>
      <c r="F11" s="731">
        <f ca="1">'数据-取费表'!B39</f>
        <v>1.4999999999999999E-2</v>
      </c>
      <c r="G11" s="1667"/>
      <c r="H11" s="2037"/>
      <c r="I11" s="1999" t="s">
        <v>1856</v>
      </c>
      <c r="J11" s="2003"/>
      <c r="K11" s="287"/>
      <c r="L11" s="2002" t="s">
        <v>1809</v>
      </c>
      <c r="M11" s="1996">
        <f ca="1">'数据-取费表'!B39</f>
        <v>1.4999999999999999E-2</v>
      </c>
    </row>
    <row r="12" spans="1:33" ht="18" customHeight="1" thickBot="1">
      <c r="A12" s="2012" t="s">
        <v>1811</v>
      </c>
      <c r="B12" s="2013" t="s">
        <v>1804</v>
      </c>
      <c r="C12" s="2014"/>
      <c r="D12" s="2015"/>
      <c r="E12" s="2016"/>
      <c r="F12" s="2017"/>
      <c r="G12" s="1667"/>
      <c r="H12" s="2026" t="s">
        <v>1814</v>
      </c>
      <c r="I12" s="2038" t="s">
        <v>1804</v>
      </c>
      <c r="J12" s="2039"/>
      <c r="K12" s="2015"/>
      <c r="L12" s="2016"/>
      <c r="M12" s="2029"/>
    </row>
    <row r="13" spans="1:33" ht="18" customHeight="1" thickTop="1">
      <c r="A13" s="1519">
        <v>2</v>
      </c>
      <c r="B13" s="1517" t="s">
        <v>1271</v>
      </c>
      <c r="C13" s="727">
        <f ca="1">ROUND(C29*F13,0)</f>
        <v>319</v>
      </c>
      <c r="D13" s="1524" t="s">
        <v>1654</v>
      </c>
      <c r="E13" s="1524" t="s">
        <v>1273</v>
      </c>
      <c r="F13" s="2011">
        <f ca="1">INDIRECT("'数据-取费表'!y"&amp;$G$1)</f>
        <v>1</v>
      </c>
      <c r="G13" s="1667"/>
      <c r="H13" s="1519">
        <v>2</v>
      </c>
      <c r="I13" s="1517" t="s">
        <v>1271</v>
      </c>
      <c r="J13" s="1511">
        <f ca="1">ROUND(J14*J15,0)</f>
        <v>0</v>
      </c>
      <c r="K13" s="1513" t="s">
        <v>1272</v>
      </c>
      <c r="L13" s="2027"/>
      <c r="M13" s="2028"/>
    </row>
    <row r="14" spans="1:33" ht="18" customHeight="1">
      <c r="A14" s="1367" t="s">
        <v>1409</v>
      </c>
      <c r="B14" s="719" t="s">
        <v>593</v>
      </c>
      <c r="C14" s="739">
        <f ca="1">INDIRECT("'数据-取费表'!m"&amp;$G$1)+INDIRECT("'数据-取费表'!t"&amp;$G$1)</f>
        <v>224</v>
      </c>
      <c r="D14" s="906" t="s">
        <v>1274</v>
      </c>
      <c r="E14" s="905"/>
      <c r="F14" s="740"/>
      <c r="G14" s="1667"/>
      <c r="H14" s="1368" t="s">
        <v>1359</v>
      </c>
      <c r="I14" s="1824" t="s">
        <v>2103</v>
      </c>
      <c r="J14" s="49">
        <f ca="1">C29</f>
        <v>319</v>
      </c>
      <c r="K14" s="22"/>
      <c r="L14" s="736"/>
      <c r="M14" s="737"/>
    </row>
    <row r="15" spans="1:33" s="1675" customFormat="1" ht="18" customHeight="1" thickBot="1">
      <c r="A15" s="1367" t="s">
        <v>1410</v>
      </c>
      <c r="B15" s="719" t="s">
        <v>595</v>
      </c>
      <c r="C15" s="49">
        <f ca="1">ROUND(C14*F15,0)</f>
        <v>7</v>
      </c>
      <c r="D15" s="741" t="s">
        <v>1275</v>
      </c>
      <c r="E15" s="741" t="s">
        <v>1276</v>
      </c>
      <c r="F15" s="742">
        <f>'数据-取费表'!B33</f>
        <v>0.03</v>
      </c>
      <c r="G15" s="2761"/>
      <c r="H15" s="2026" t="s">
        <v>1414</v>
      </c>
      <c r="I15" s="2021" t="s">
        <v>1273</v>
      </c>
      <c r="J15" s="2030">
        <f ca="1">INDIRECT("'数据-取费表'!ad"&amp;$G$1)</f>
        <v>0</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1411</v>
      </c>
      <c r="B16" s="719" t="s">
        <v>598</v>
      </c>
      <c r="C16" s="49">
        <f ca="1">ROUND(INDIRECT("'数据-取费表'!m"&amp;$G$1)*F16,0)</f>
        <v>0</v>
      </c>
      <c r="D16" s="719" t="s">
        <v>1275</v>
      </c>
      <c r="E16" s="719" t="s">
        <v>1276</v>
      </c>
      <c r="F16" s="744">
        <f ca="1">IF(INDIRECT("'数据-取费表'!c"&amp;$G$1)="住宅",'数据-取费表'!B34,0)</f>
        <v>0</v>
      </c>
      <c r="G16" s="1667"/>
      <c r="H16" s="1519" t="s">
        <v>1277</v>
      </c>
      <c r="I16" s="1517" t="s">
        <v>1278</v>
      </c>
      <c r="J16" s="727">
        <f ca="1">ROUND(J17+J22+J23+J24,0)</f>
        <v>2</v>
      </c>
      <c r="K16" s="1513" t="s">
        <v>1279</v>
      </c>
      <c r="L16" s="909"/>
      <c r="M16" s="1995"/>
    </row>
    <row r="17" spans="1:33" s="1675" customFormat="1" ht="18" customHeight="1">
      <c r="A17" s="1367" t="s">
        <v>1412</v>
      </c>
      <c r="B17" s="719" t="s">
        <v>601</v>
      </c>
      <c r="C17" s="49">
        <f ca="1">ROUND(F17*(F43+INDIRECT("'数据-取费表'!S"&amp;$G$1))/10000,0)</f>
        <v>22</v>
      </c>
      <c r="D17" s="719" t="s">
        <v>1280</v>
      </c>
      <c r="E17" s="719" t="s">
        <v>1281</v>
      </c>
      <c r="F17" s="52">
        <f>'数据-取费表'!B35</f>
        <v>200</v>
      </c>
      <c r="G17" s="2761"/>
      <c r="H17" s="1368" t="s">
        <v>1359</v>
      </c>
      <c r="I17" s="719" t="s">
        <v>604</v>
      </c>
      <c r="J17" s="2554">
        <f ca="1">ROUND(IF(AND(项目基本情况!B11="自然人",项目基本情况!B10="北京市"),J6*M17/(1+'数据-取费表'!C42),J18+J19+J20),2)</f>
        <v>0.13</v>
      </c>
      <c r="K17" s="906" t="s">
        <v>1282</v>
      </c>
      <c r="L17" s="907" t="s">
        <v>1283</v>
      </c>
      <c r="M17" s="2553"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1413</v>
      </c>
      <c r="B18" s="719" t="s">
        <v>607</v>
      </c>
      <c r="C18" s="49">
        <f ca="1">ROUND(C14*F18,0)</f>
        <v>4</v>
      </c>
      <c r="D18" s="719" t="s">
        <v>1275</v>
      </c>
      <c r="E18" s="719" t="s">
        <v>1276</v>
      </c>
      <c r="F18" s="744">
        <f>'数据-取费表'!B36</f>
        <v>0.02</v>
      </c>
      <c r="G18" s="2761"/>
      <c r="H18" s="1367" t="s">
        <v>1409</v>
      </c>
      <c r="I18" s="719" t="s">
        <v>1284</v>
      </c>
      <c r="J18" s="49">
        <f ca="1">ROUND(J6*M18/(1+'数据-取费表'!C42),2)</f>
        <v>0</v>
      </c>
      <c r="K18" s="907" t="s">
        <v>1285</v>
      </c>
      <c r="L18" s="719" t="s">
        <v>1276</v>
      </c>
      <c r="M18" s="744">
        <f>'数据-取费表'!B41</f>
        <v>5.5000000000000007E-2</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8" t="s">
        <v>1359</v>
      </c>
      <c r="B19" s="719" t="s">
        <v>610</v>
      </c>
      <c r="C19" s="49">
        <f ca="1">SUM(C14:C18)</f>
        <v>257</v>
      </c>
      <c r="D19" s="241" t="s">
        <v>1286</v>
      </c>
      <c r="E19" s="915"/>
      <c r="F19" s="52"/>
      <c r="G19" s="1667"/>
      <c r="H19" s="1367" t="s">
        <v>1410</v>
      </c>
      <c r="I19" s="719" t="s">
        <v>1287</v>
      </c>
      <c r="J19" s="49">
        <f ca="1">IF(K19="按租金收入计税",ROUND(J6*M19/(1+'数据-取费表'!C42),1),ROUND(C29*F33*0.7,2))</f>
        <v>0</v>
      </c>
      <c r="K19" s="745" t="s">
        <v>3243</v>
      </c>
      <c r="L19" s="719" t="s">
        <v>1276</v>
      </c>
      <c r="M19" s="744">
        <f>IF(K19="按租金收入计税",'数据-取费表'!B51,'数据-取费表'!B50)</f>
        <v>0.12</v>
      </c>
    </row>
    <row r="20" spans="1:33" s="1675" customFormat="1" ht="18" customHeight="1">
      <c r="A20" s="1368" t="s">
        <v>1414</v>
      </c>
      <c r="B20" s="719" t="s">
        <v>613</v>
      </c>
      <c r="C20" s="49">
        <f ca="1">ROUND(C19*F20,0)</f>
        <v>4</v>
      </c>
      <c r="D20" s="746" t="s">
        <v>1288</v>
      </c>
      <c r="E20" s="719" t="s">
        <v>1276</v>
      </c>
      <c r="F20" s="744">
        <f>'数据-取费表'!B37</f>
        <v>1.4999999999999999E-2</v>
      </c>
      <c r="G20" s="2761"/>
      <c r="H20" s="1370" t="s">
        <v>1405</v>
      </c>
      <c r="I20" s="315" t="s">
        <v>1289</v>
      </c>
      <c r="J20" s="50">
        <f ca="1">ROUND(M20*M21/10000,2)</f>
        <v>0.13</v>
      </c>
      <c r="K20" s="748" t="s">
        <v>1290</v>
      </c>
      <c r="L20" s="719" t="s">
        <v>1291</v>
      </c>
      <c r="M20" s="587">
        <f>'数据-取费表'!B52</f>
        <v>1.5</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1415</v>
      </c>
      <c r="B21" s="719" t="s">
        <v>1292</v>
      </c>
      <c r="C21" s="49" t="s">
        <v>1293</v>
      </c>
      <c r="D21" s="746" t="s">
        <v>1655</v>
      </c>
      <c r="E21" s="719" t="s">
        <v>1294</v>
      </c>
      <c r="F21" s="744">
        <f>'数据-取费表'!B38</f>
        <v>0.02</v>
      </c>
      <c r="G21" s="2761"/>
      <c r="H21" s="2010"/>
      <c r="I21" s="728"/>
      <c r="J21" s="65"/>
      <c r="K21" s="750"/>
      <c r="L21" s="719" t="s">
        <v>1295</v>
      </c>
      <c r="M21" s="720">
        <f ca="1">INDIRECT("'数据-取费表'!r"&amp;$G$1)</f>
        <v>862.2</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8" t="s">
        <v>1416</v>
      </c>
      <c r="B22" s="719" t="s">
        <v>1296</v>
      </c>
      <c r="C22" s="49"/>
      <c r="D22" s="2044" t="str">
        <f>IF(F23&lt;=1,"单利计息。","复利计息。")&amp;"建造成本、管理费用、销售费用产生的利息。"</f>
        <v>复利计息。建造成本、管理费用、销售费用产生的利息。</v>
      </c>
      <c r="E22" s="915"/>
      <c r="F22" s="52"/>
      <c r="G22" s="1667"/>
      <c r="H22" s="1368" t="s">
        <v>1414</v>
      </c>
      <c r="I22" s="719" t="s">
        <v>1297</v>
      </c>
      <c r="J22" s="49">
        <f ca="1">ROUND(J14*M22,2)</f>
        <v>1.6</v>
      </c>
      <c r="K22" s="907" t="s">
        <v>1298</v>
      </c>
      <c r="L22" s="719" t="s">
        <v>1276</v>
      </c>
      <c r="M22" s="751">
        <f ca="1">INDIRECT("'数据-取费表'!Ak"&amp;$G$1)</f>
        <v>5.0000000000000001E-3</v>
      </c>
    </row>
    <row r="23" spans="1:33" s="1675" customFormat="1" ht="18" customHeight="1">
      <c r="A23" s="1367" t="s">
        <v>1360</v>
      </c>
      <c r="B23" s="719" t="s">
        <v>1818</v>
      </c>
      <c r="C23" s="49">
        <f ca="1">ROUND(IF('数据-取费表'!B22&lt;=1,(C19+C20)*F24*F23/2,(C19+C20)*(POWER((1+F24),F23/2)-1)),0)</f>
        <v>8</v>
      </c>
      <c r="D23" s="2043" t="str">
        <f>IF(F23&lt;=1,"(建造成本+管理费用)×利率×(建设周期÷2)","(建造成本+管理费用)×((1+利率)^(建设周期÷2)-1)")</f>
        <v>(建造成本+管理费用)×((1+利率)^(建设周期÷2)-1)</v>
      </c>
      <c r="E23" s="719" t="s">
        <v>1299</v>
      </c>
      <c r="F23" s="587">
        <f>'数据-取费表'!B20</f>
        <v>2</v>
      </c>
      <c r="G23" s="2761"/>
      <c r="H23" s="1368" t="s">
        <v>1415</v>
      </c>
      <c r="I23" s="719" t="s">
        <v>626</v>
      </c>
      <c r="J23" s="49">
        <f ca="1">ROUND(J13*M23,2)</f>
        <v>0</v>
      </c>
      <c r="K23" s="907" t="s">
        <v>1300</v>
      </c>
      <c r="L23" s="719" t="s">
        <v>1276</v>
      </c>
      <c r="M23" s="752">
        <f ca="1">INDIRECT("'数据-取费表'!Al"&amp;$G$1)</f>
        <v>1E-3</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1361</v>
      </c>
      <c r="B24" s="719" t="s">
        <v>1301</v>
      </c>
      <c r="C24" s="49">
        <f ca="1">ROUND(IF('数据-取费表'!B22&lt;=1,F21*F24*F23/2,F21*(POWER((1+F24),F23/2)-1)),4)</f>
        <v>5.9999999999999995E-4</v>
      </c>
      <c r="D24" s="2043" t="str">
        <f>IF(F23&lt;=1,"销售费用×利率×(建设周期÷2)","销售费用×((1+利率)^(建设周期÷2)-1)")</f>
        <v>销售费用×((1+利率)^(建设周期÷2)-1)</v>
      </c>
      <c r="E24" s="719" t="s">
        <v>1302</v>
      </c>
      <c r="F24" s="753">
        <f ca="1">'数据-取费表'!B40</f>
        <v>0.03</v>
      </c>
      <c r="G24" s="2761"/>
      <c r="H24" s="2026" t="s">
        <v>1416</v>
      </c>
      <c r="I24" s="2021" t="s">
        <v>613</v>
      </c>
      <c r="J24" s="2019">
        <f ca="1">ROUND(J5*M24,2)</f>
        <v>0</v>
      </c>
      <c r="K24" s="2020" t="s">
        <v>1303</v>
      </c>
      <c r="L24" s="2021" t="s">
        <v>1276</v>
      </c>
      <c r="M24" s="2017">
        <f ca="1">INDIRECT("'数据-取费表'!Am"&amp;$G$1)</f>
        <v>0.01</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1369</v>
      </c>
      <c r="B25" s="719" t="s">
        <v>631</v>
      </c>
      <c r="C25" s="49"/>
      <c r="D25" s="241" t="s">
        <v>1304</v>
      </c>
      <c r="E25" s="915"/>
      <c r="F25" s="52"/>
      <c r="G25" s="1667"/>
      <c r="H25" s="1519" t="s">
        <v>1305</v>
      </c>
      <c r="I25" s="2296" t="s">
        <v>2099</v>
      </c>
      <c r="J25" s="727">
        <f ca="1">J5-J16</f>
        <v>-2</v>
      </c>
      <c r="K25" s="2023" t="s">
        <v>1306</v>
      </c>
      <c r="L25" s="2024"/>
      <c r="M25" s="2025"/>
    </row>
    <row r="26" spans="1:33" ht="18" customHeight="1">
      <c r="A26" s="1367" t="s">
        <v>1360</v>
      </c>
      <c r="B26" s="719" t="s">
        <v>1785</v>
      </c>
      <c r="C26" s="49">
        <f ca="1">ROUND((C19+C20)*F26,0)</f>
        <v>26</v>
      </c>
      <c r="D26" s="746" t="s">
        <v>1307</v>
      </c>
      <c r="E26" s="730" t="s">
        <v>1308</v>
      </c>
      <c r="F26" s="729">
        <f ca="1">INDIRECT("'数据-取费表'!q"&amp;$G$1)</f>
        <v>0.1</v>
      </c>
      <c r="G26" s="1667"/>
      <c r="H26" s="2006" t="s">
        <v>1309</v>
      </c>
      <c r="I26" s="1825" t="s">
        <v>2104</v>
      </c>
      <c r="J26" s="718">
        <f ca="1">IF(J5&lt;&gt;0,ROUND(J25*(1-((1+M28)/(1+M26))^M27)/(M26-M28),0),0)</f>
        <v>0</v>
      </c>
      <c r="K26" s="748" t="s">
        <v>1310</v>
      </c>
      <c r="L26" s="719" t="s">
        <v>1773</v>
      </c>
      <c r="M26" s="729">
        <f ca="1">INDIRECT("'数据-取费表'!I"&amp;$G$1)</f>
        <v>5.5E-2</v>
      </c>
    </row>
    <row r="27" spans="1:33" ht="18" customHeight="1">
      <c r="A27" s="1367" t="s">
        <v>1361</v>
      </c>
      <c r="B27" s="719" t="s">
        <v>633</v>
      </c>
      <c r="C27" s="49">
        <f ca="1">ROUND(F21*F26,4)</f>
        <v>2E-3</v>
      </c>
      <c r="D27" s="746" t="s">
        <v>1311</v>
      </c>
      <c r="E27" s="741"/>
      <c r="F27" s="742"/>
      <c r="G27" s="1667"/>
      <c r="H27" s="2007"/>
      <c r="I27" s="722"/>
      <c r="J27" s="723"/>
      <c r="K27" s="755" t="s">
        <v>1312</v>
      </c>
      <c r="L27" s="719" t="s">
        <v>1313</v>
      </c>
      <c r="M27" s="756">
        <f ca="1">INDIRECT("'数据-取费表'!ag"&amp;$G$1)</f>
        <v>0</v>
      </c>
    </row>
    <row r="28" spans="1:33" s="1675" customFormat="1" ht="18" customHeight="1">
      <c r="A28" s="1369" t="s">
        <v>1370</v>
      </c>
      <c r="B28" s="719" t="s">
        <v>634</v>
      </c>
      <c r="C28" s="49">
        <f>ROUND(F28/(1+'数据-取费表'!C42),4)</f>
        <v>5.2400000000000002E-2</v>
      </c>
      <c r="D28" s="746" t="s">
        <v>1656</v>
      </c>
      <c r="E28" s="719" t="s">
        <v>1314</v>
      </c>
      <c r="F28" s="744">
        <f>'数据-取费表'!B41</f>
        <v>5.5000000000000007E-2</v>
      </c>
      <c r="G28" s="2761"/>
      <c r="H28" s="1519"/>
      <c r="I28" s="726"/>
      <c r="J28" s="727"/>
      <c r="K28" s="750"/>
      <c r="L28" s="719" t="s">
        <v>1315</v>
      </c>
      <c r="M28" s="729">
        <f ca="1">INDIRECT("'数据-取费表'!aa"&amp;$G$1)</f>
        <v>0</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1417</v>
      </c>
      <c r="B29" s="2016" t="s">
        <v>1657</v>
      </c>
      <c r="C29" s="2019">
        <f ca="1">ROUND((C19+C20+C23+C26)/(1-F21-C24-C27-C28),0)</f>
        <v>319</v>
      </c>
      <c r="D29" s="2020"/>
      <c r="E29" s="2021"/>
      <c r="F29" s="2022"/>
      <c r="G29" s="2761"/>
      <c r="H29" s="757" t="s">
        <v>1316</v>
      </c>
      <c r="I29" s="758" t="s">
        <v>1317</v>
      </c>
      <c r="J29" s="759">
        <f ca="1">ROUND(J26/(1+F40)^F41,0)</f>
        <v>0</v>
      </c>
      <c r="K29" s="760" t="s">
        <v>1318</v>
      </c>
      <c r="L29" s="761"/>
      <c r="M29" s="762">
        <f ca="1">INDIRECT("'数据-取费表'!k"&amp;$G$1)</f>
        <v>1120.8800000000001</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1418</v>
      </c>
      <c r="B30" s="1517" t="s">
        <v>1319</v>
      </c>
      <c r="C30" s="727">
        <f ca="1">ROUND(C31+C36+C37+C38,0)</f>
        <v>13</v>
      </c>
      <c r="D30" s="1513" t="s">
        <v>1320</v>
      </c>
      <c r="E30" s="909"/>
      <c r="F30" s="1995"/>
      <c r="G30" s="1667"/>
      <c r="H30" s="1676"/>
      <c r="I30" s="1677"/>
      <c r="J30" s="1678"/>
      <c r="K30" s="1635"/>
      <c r="L30" s="1679"/>
      <c r="M30" s="1680"/>
    </row>
    <row r="31" spans="1:33" ht="18" customHeight="1">
      <c r="A31" s="1368" t="s">
        <v>1359</v>
      </c>
      <c r="B31" s="719" t="s">
        <v>604</v>
      </c>
      <c r="C31" s="2554">
        <f ca="1">ROUND(IF(AND(项目基本情况!B11="自然人",项目基本情况!B10="北京市"),C6*F31/(1+'数据-取费表'!C42),C32+C33+C34),2)</f>
        <v>10.63</v>
      </c>
      <c r="D31" s="906" t="s">
        <v>1321</v>
      </c>
      <c r="E31" s="907" t="s">
        <v>1322</v>
      </c>
      <c r="F31" s="2553" t="str">
        <f>IF(项目基本情况!B11="企业","——",IF(M47="住宅",IF(F6*F7*F8/12/(1+'数据-取费表'!F30)&gt;100000,4%,2.5%),IF(F6*F7*F8/12/(1+'数据-取费表'!F30)&gt;100000,12%,7%)))</f>
        <v>——</v>
      </c>
      <c r="G31" s="1667"/>
      <c r="H31" s="2758" t="s">
        <v>2280</v>
      </c>
      <c r="I31" s="1677"/>
      <c r="J31" s="1678"/>
      <c r="K31" s="1635"/>
      <c r="L31" s="1679"/>
      <c r="M31" s="1680"/>
    </row>
    <row r="32" spans="1:33" ht="18" customHeight="1">
      <c r="A32" s="1367" t="s">
        <v>1360</v>
      </c>
      <c r="B32" s="719" t="s">
        <v>1323</v>
      </c>
      <c r="C32" s="49">
        <f ca="1">ROUND(C6*F32/(1+'数据-取费表'!C42),2)</f>
        <v>3.3</v>
      </c>
      <c r="D32" s="907" t="s">
        <v>1324</v>
      </c>
      <c r="E32" s="719" t="s">
        <v>1325</v>
      </c>
      <c r="F32" s="744">
        <f>'数据-取费表'!B41</f>
        <v>5.5000000000000007E-2</v>
      </c>
      <c r="G32" s="1667"/>
      <c r="H32" s="1681"/>
      <c r="I32" s="1682"/>
      <c r="J32" s="1683"/>
      <c r="K32" s="1684"/>
      <c r="L32" s="1685"/>
      <c r="M32" s="1686"/>
    </row>
    <row r="33" spans="1:18" ht="18" customHeight="1">
      <c r="A33" s="1367" t="s">
        <v>1361</v>
      </c>
      <c r="B33" s="719" t="s">
        <v>1326</v>
      </c>
      <c r="C33" s="49">
        <f ca="1">IF(D33="按租金收入计税",ROUND(C6*F33/(1+'数据-取费表'!C42),2),IF(D33="按房产原值计税",ROUND(C29*F33*0.7,2),INDIRECT("'数据-取费表'!Aj"&amp;$G$1)))</f>
        <v>7.2</v>
      </c>
      <c r="D33" s="745" t="s">
        <v>3243</v>
      </c>
      <c r="E33" s="719" t="s">
        <v>1325</v>
      </c>
      <c r="F33" s="744">
        <f>IF(D33="按租金收入计税",'数据-取费表'!B51,'数据-取费表'!B50)</f>
        <v>0.12</v>
      </c>
      <c r="G33" s="1667"/>
      <c r="H33" s="1687"/>
      <c r="I33" s="1687"/>
      <c r="J33" s="1687"/>
      <c r="K33" s="1688"/>
      <c r="L33" s="1687"/>
      <c r="M33" s="1687"/>
    </row>
    <row r="34" spans="1:18" ht="18" customHeight="1">
      <c r="A34" s="1370" t="s">
        <v>1362</v>
      </c>
      <c r="B34" s="315" t="s">
        <v>1327</v>
      </c>
      <c r="C34" s="50">
        <f ca="1">ROUND(F34*F35/10000,2)</f>
        <v>0.13</v>
      </c>
      <c r="D34" s="748" t="s">
        <v>1328</v>
      </c>
      <c r="E34" s="719" t="s">
        <v>1329</v>
      </c>
      <c r="F34" s="587">
        <f>'数据-取费表'!B52</f>
        <v>1.5</v>
      </c>
      <c r="G34" s="1667"/>
      <c r="H34" s="1676"/>
      <c r="I34" s="769" t="s">
        <v>1342</v>
      </c>
      <c r="J34" s="770"/>
      <c r="K34" s="1690"/>
      <c r="L34" s="1689"/>
      <c r="M34" s="1689"/>
    </row>
    <row r="35" spans="1:18" ht="18" customHeight="1">
      <c r="A35" s="749"/>
      <c r="B35" s="728"/>
      <c r="C35" s="65"/>
      <c r="D35" s="750"/>
      <c r="E35" s="719" t="s">
        <v>1330</v>
      </c>
      <c r="F35" s="720">
        <f ca="1">INDIRECT("'数据-取费表'!r"&amp;$G$1)</f>
        <v>862.2</v>
      </c>
      <c r="G35" s="1667"/>
      <c r="H35" s="1676"/>
      <c r="I35" s="771" t="s">
        <v>1343</v>
      </c>
      <c r="J35" s="772">
        <f ca="1">ROUND(C13*J36,0)</f>
        <v>22</v>
      </c>
      <c r="K35" s="1688"/>
      <c r="L35" s="1687"/>
      <c r="M35" s="1687"/>
    </row>
    <row r="36" spans="1:18" ht="18" customHeight="1">
      <c r="A36" s="1368" t="s">
        <v>1414</v>
      </c>
      <c r="B36" s="719" t="s">
        <v>1331</v>
      </c>
      <c r="C36" s="49">
        <f ca="1">ROUND(C29*F36,2)</f>
        <v>1.6</v>
      </c>
      <c r="D36" s="907" t="s">
        <v>1332</v>
      </c>
      <c r="E36" s="719" t="s">
        <v>1325</v>
      </c>
      <c r="F36" s="751">
        <f ca="1">INDIRECT("'数据-取费表'!Ak"&amp;$G$1)</f>
        <v>5.0000000000000001E-3</v>
      </c>
      <c r="G36" s="1667"/>
      <c r="H36" s="1687"/>
      <c r="I36" s="773" t="s">
        <v>1344</v>
      </c>
      <c r="J36" s="774">
        <f ca="1">INDIRECT("'数据-取费表'!j"&amp;$G$1)</f>
        <v>7.0000000000000007E-2</v>
      </c>
      <c r="K36" s="1691"/>
      <c r="L36" s="1687"/>
      <c r="M36" s="1687"/>
    </row>
    <row r="37" spans="1:18" ht="18" customHeight="1">
      <c r="A37" s="1368" t="s">
        <v>1415</v>
      </c>
      <c r="B37" s="719" t="s">
        <v>626</v>
      </c>
      <c r="C37" s="49">
        <f ca="1">ROUND(C13*F37,2)</f>
        <v>0.32</v>
      </c>
      <c r="D37" s="907" t="s">
        <v>1333</v>
      </c>
      <c r="E37" s="719" t="s">
        <v>1325</v>
      </c>
      <c r="F37" s="752">
        <f ca="1">INDIRECT("'数据-取费表'!Al"&amp;$G$1)</f>
        <v>1E-3</v>
      </c>
      <c r="G37" s="1667"/>
      <c r="H37" s="1687"/>
      <c r="I37" s="775" t="s">
        <v>1345</v>
      </c>
      <c r="J37" s="776"/>
      <c r="K37" s="1691"/>
      <c r="L37" s="1687"/>
      <c r="M37" s="1687"/>
    </row>
    <row r="38" spans="1:18" ht="18" customHeight="1" thickBot="1">
      <c r="A38" s="2026" t="s">
        <v>1416</v>
      </c>
      <c r="B38" s="2021" t="s">
        <v>613</v>
      </c>
      <c r="C38" s="2019">
        <f ca="1">ROUND(C5*F38,2)</f>
        <v>0.63</v>
      </c>
      <c r="D38" s="2020" t="s">
        <v>1334</v>
      </c>
      <c r="E38" s="2021" t="s">
        <v>1325</v>
      </c>
      <c r="F38" s="2017">
        <f ca="1">INDIRECT("'数据-取费表'!Am"&amp;$G$1)</f>
        <v>0.01</v>
      </c>
      <c r="G38" s="1667"/>
      <c r="H38" s="1687"/>
      <c r="I38" s="777" t="s">
        <v>1346</v>
      </c>
      <c r="J38" s="778"/>
      <c r="K38" s="1692"/>
      <c r="L38" s="1687"/>
      <c r="M38" s="1687"/>
    </row>
    <row r="39" spans="1:18" ht="24.6" customHeight="1" thickTop="1">
      <c r="A39" s="1519" t="s">
        <v>1419</v>
      </c>
      <c r="B39" s="2296" t="s">
        <v>2099</v>
      </c>
      <c r="C39" s="727">
        <f ca="1">C5-C30</f>
        <v>50</v>
      </c>
      <c r="D39" s="2023" t="s">
        <v>1335</v>
      </c>
      <c r="E39" s="2024"/>
      <c r="F39" s="2025"/>
      <c r="G39" s="1667"/>
      <c r="H39" s="1687"/>
      <c r="I39" s="771" t="s">
        <v>1347</v>
      </c>
      <c r="J39" s="779">
        <f ca="1">ROUND(J35/C39,3)</f>
        <v>0.44</v>
      </c>
      <c r="K39" s="1692"/>
      <c r="L39" s="1687"/>
      <c r="M39" s="1687"/>
    </row>
    <row r="40" spans="1:18" ht="18" customHeight="1">
      <c r="A40" s="716" t="s">
        <v>1420</v>
      </c>
      <c r="B40" s="1825" t="s">
        <v>1658</v>
      </c>
      <c r="C40" s="718">
        <f ca="1">ROUND(C39*(1-((1+F42)/(1+F40))^F41)/(F40-F42),0)</f>
        <v>1027</v>
      </c>
      <c r="D40" s="748" t="s">
        <v>1336</v>
      </c>
      <c r="E40" s="719" t="s">
        <v>1773</v>
      </c>
      <c r="F40" s="729">
        <f ca="1">INDIRECT("'数据-取费表'!I"&amp;$G$1)</f>
        <v>5.5E-2</v>
      </c>
      <c r="G40" s="1667">
        <f ca="1">C39/C5</f>
        <v>0.79365079365079361</v>
      </c>
      <c r="H40" s="1667"/>
      <c r="I40" s="771" t="s">
        <v>1348</v>
      </c>
      <c r="J40" s="779">
        <f ca="1">1-J39</f>
        <v>0.56000000000000005</v>
      </c>
      <c r="K40" s="1692"/>
      <c r="L40" s="1667"/>
      <c r="M40" s="1667"/>
    </row>
    <row r="41" spans="1:18" ht="18" customHeight="1">
      <c r="A41" s="721"/>
      <c r="B41" s="722"/>
      <c r="C41" s="723"/>
      <c r="D41" s="755" t="s">
        <v>1337</v>
      </c>
      <c r="E41" s="719" t="s">
        <v>2224</v>
      </c>
      <c r="F41" s="756">
        <f ca="1">IF(INDIRECT("'数据-取费表'!af"&amp;$G$1)=0,INDIRECT("'数据-取费表'!ae"&amp;$G$1),INDIRECT("'数据-取费表'!af"&amp;$G$1))</f>
        <v>37.65</v>
      </c>
      <c r="G41" s="1667"/>
      <c r="H41" s="1635"/>
      <c r="I41" s="777" t="s">
        <v>1349</v>
      </c>
      <c r="J41" s="780"/>
      <c r="K41" s="1691"/>
      <c r="L41" s="1635"/>
      <c r="M41" s="1635"/>
    </row>
    <row r="42" spans="1:18" ht="18" customHeight="1">
      <c r="A42" s="725"/>
      <c r="B42" s="726"/>
      <c r="C42" s="727"/>
      <c r="D42" s="750"/>
      <c r="E42" s="719" t="s">
        <v>1338</v>
      </c>
      <c r="F42" s="729">
        <f ca="1">INDIRECT("'数据-取费表'!v"&amp;$G$1)</f>
        <v>0.02</v>
      </c>
      <c r="G42" s="1667"/>
      <c r="H42" s="1635"/>
      <c r="I42" s="781" t="s">
        <v>1350</v>
      </c>
      <c r="J42" s="779">
        <f ca="1">ROUND(C13/C40,3)</f>
        <v>0.311</v>
      </c>
      <c r="K42" s="1691"/>
      <c r="L42" s="1635"/>
      <c r="M42" s="1635"/>
    </row>
    <row r="43" spans="1:18" ht="18" customHeight="1" thickBot="1">
      <c r="A43" s="757" t="s">
        <v>1316</v>
      </c>
      <c r="B43" s="758" t="s">
        <v>1339</v>
      </c>
      <c r="C43" s="759">
        <f ca="1">ROUND(C40*10000/F43,0)</f>
        <v>9162</v>
      </c>
      <c r="D43" s="760" t="s">
        <v>1340</v>
      </c>
      <c r="E43" s="761" t="s">
        <v>1341</v>
      </c>
      <c r="F43" s="762">
        <f ca="1">INDIRECT("'数据-取费表'!k"&amp;$G$1)</f>
        <v>1120.8800000000001</v>
      </c>
      <c r="G43" s="1667"/>
      <c r="H43" s="1635"/>
      <c r="I43" s="781" t="s">
        <v>1351</v>
      </c>
      <c r="J43" s="782">
        <f ca="1">1-J42</f>
        <v>0.68900000000000006</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1652</v>
      </c>
      <c r="B46" s="1694"/>
      <c r="C46" s="1147">
        <f ca="1">C67-C40</f>
        <v>-1059</v>
      </c>
      <c r="D46" s="2762"/>
      <c r="E46" s="2762"/>
      <c r="F46" s="2762"/>
      <c r="I46" s="1938" t="s">
        <v>1697</v>
      </c>
      <c r="J46" s="1939"/>
      <c r="K46" s="1940"/>
      <c r="L46" s="2374" t="str">
        <f ca="1">IF(OR(M47="住宅",D1="土地（套用方法）"),0,IF(L48&gt;J51,L60,J60))</f>
        <v>0</v>
      </c>
      <c r="M46" s="2763"/>
      <c r="O46" s="1952" t="s">
        <v>1764</v>
      </c>
      <c r="P46" s="1145"/>
      <c r="Q46" s="1329"/>
      <c r="R46" s="1145"/>
    </row>
    <row r="47" spans="1:18" s="1671" customFormat="1" ht="18" customHeight="1" thickBot="1">
      <c r="A47" s="3380">
        <v>1</v>
      </c>
      <c r="B47" s="3381" t="s">
        <v>583</v>
      </c>
      <c r="C47" s="3382">
        <f ca="1">C48+C52+C54</f>
        <v>0</v>
      </c>
      <c r="D47" s="3383"/>
      <c r="E47" s="3383"/>
      <c r="F47" s="3384"/>
      <c r="I47" s="2366" t="s">
        <v>1698</v>
      </c>
      <c r="J47" s="1941" t="s">
        <v>3523</v>
      </c>
      <c r="K47" s="2371" t="s">
        <v>1703</v>
      </c>
      <c r="L47" s="2375">
        <f ca="1">INDIRECT("'数据-取费表'!d"&amp;$G$1)</f>
        <v>40</v>
      </c>
      <c r="M47" s="1329" t="str">
        <f>IF(ISNUMBER(FIND("住宅",C1)),"住宅","非住宅")</f>
        <v>非住宅</v>
      </c>
      <c r="O47" s="1953" t="s">
        <v>1729</v>
      </c>
      <c r="P47" s="1954" t="s">
        <v>1730</v>
      </c>
      <c r="Q47" s="1955" t="s">
        <v>1731</v>
      </c>
      <c r="R47" s="1954" t="s">
        <v>1732</v>
      </c>
    </row>
    <row r="48" spans="1:18" s="1671" customFormat="1" ht="18" customHeight="1" thickBot="1">
      <c r="A48" s="2083" t="s">
        <v>1820</v>
      </c>
      <c r="B48" s="2084" t="s">
        <v>1821</v>
      </c>
      <c r="C48" s="1934">
        <f ca="1">ROUND(F48*F50*F49*(1-F51)/10000,0)</f>
        <v>0</v>
      </c>
      <c r="D48" s="1935" t="s">
        <v>584</v>
      </c>
      <c r="E48" s="1936" t="s">
        <v>1653</v>
      </c>
      <c r="F48" s="1937">
        <f ca="1">M6</f>
        <v>0</v>
      </c>
      <c r="G48" s="1698"/>
      <c r="I48" s="2363" t="s">
        <v>1699</v>
      </c>
      <c r="J48" s="1942" t="s">
        <v>1704</v>
      </c>
      <c r="K48" s="2372" t="s">
        <v>1705</v>
      </c>
      <c r="L48" s="1566">
        <f ca="1">INDIRECT("'数据-取费表'!f"&amp;$G$1)</f>
        <v>37.65</v>
      </c>
      <c r="M48" s="2763"/>
      <c r="O48" s="1956" t="s">
        <v>1733</v>
      </c>
      <c r="P48" s="1957" t="s">
        <v>1759</v>
      </c>
      <c r="Q48" s="1958">
        <f ca="1">C40+J29</f>
        <v>1027</v>
      </c>
      <c r="R48" s="1957" t="s">
        <v>1734</v>
      </c>
    </row>
    <row r="49" spans="1:18" s="1671" customFormat="1" ht="18" customHeight="1" thickBot="1">
      <c r="A49" s="721"/>
      <c r="B49" s="722"/>
      <c r="C49" s="723"/>
      <c r="D49" s="724"/>
      <c r="E49" s="719" t="s">
        <v>1268</v>
      </c>
      <c r="F49" s="720">
        <f ca="1">F7</f>
        <v>1120.8800000000001</v>
      </c>
      <c r="G49" s="1698"/>
      <c r="H49" s="1701"/>
      <c r="I49" s="2363" t="s">
        <v>1700</v>
      </c>
      <c r="J49" s="1943">
        <v>2025</v>
      </c>
      <c r="K49" s="2373" t="s">
        <v>1706</v>
      </c>
      <c r="L49" s="1565"/>
      <c r="M49" s="2763"/>
      <c r="O49" s="1956" t="s">
        <v>1735</v>
      </c>
      <c r="P49" s="1957" t="s">
        <v>1760</v>
      </c>
      <c r="Q49" s="1958" t="str">
        <f ca="1">J60</f>
        <v>0</v>
      </c>
      <c r="R49" s="1957" t="s">
        <v>1736</v>
      </c>
    </row>
    <row r="50" spans="1:18" s="1671" customFormat="1" ht="18" customHeight="1" thickBot="1">
      <c r="A50" s="721"/>
      <c r="B50" s="722"/>
      <c r="C50" s="723"/>
      <c r="D50" s="724"/>
      <c r="E50" s="719" t="s">
        <v>1269</v>
      </c>
      <c r="F50" s="720">
        <f ca="1">F8</f>
        <v>365</v>
      </c>
      <c r="H50" s="1701"/>
      <c r="I50" s="2363" t="s">
        <v>1701</v>
      </c>
      <c r="J50" s="2370">
        <f>SUMPRODUCT((I63:I65=J47)*(J62:L62=J48)*(J63:L65))</f>
        <v>60</v>
      </c>
      <c r="K50" s="2373" t="s">
        <v>1707</v>
      </c>
      <c r="L50" s="1565"/>
      <c r="M50" s="2763"/>
      <c r="O50" s="1959" t="s">
        <v>1737</v>
      </c>
      <c r="P50" s="1957" t="s">
        <v>1761</v>
      </c>
      <c r="Q50" s="1958">
        <f ca="1">C29</f>
        <v>319</v>
      </c>
      <c r="R50" s="1957" t="s">
        <v>1734</v>
      </c>
    </row>
    <row r="51" spans="1:18" s="1671" customFormat="1" ht="18" customHeight="1" thickBot="1">
      <c r="A51" s="721"/>
      <c r="B51" s="722"/>
      <c r="C51" s="723"/>
      <c r="D51" s="724"/>
      <c r="E51" s="719" t="s">
        <v>588</v>
      </c>
      <c r="F51" s="1933"/>
      <c r="H51" s="1701"/>
      <c r="I51" s="2367" t="s">
        <v>1702</v>
      </c>
      <c r="J51" s="1566">
        <f>IF(J49="",J50,J49+J50-YEAR('数据-取费表'!B2))</f>
        <v>60</v>
      </c>
      <c r="K51" s="2363" t="s">
        <v>1708</v>
      </c>
      <c r="L51" s="2376">
        <f ca="1">ROUND(-PV(INDIRECT("'数据-取费表'!h"&amp;$G$1),J51,(C39-C13*J36),0),0)</f>
        <v>524</v>
      </c>
      <c r="M51" s="2763"/>
      <c r="O51" s="1959" t="s">
        <v>1738</v>
      </c>
      <c r="P51" s="1957" t="s">
        <v>1739</v>
      </c>
      <c r="Q51" s="1960" t="e">
        <f ca="1">J58</f>
        <v>#VALUE!</v>
      </c>
      <c r="R51" s="1961"/>
    </row>
    <row r="52" spans="1:18" s="1671" customFormat="1" ht="18" customHeight="1" thickBot="1">
      <c r="A52" s="716" t="s">
        <v>1819</v>
      </c>
      <c r="B52" s="1998" t="s">
        <v>1803</v>
      </c>
      <c r="C52" s="734">
        <f ca="1">ROUND(IF(F52="押一",C48/12*F11,IF(F52="押二",C48/12*2*F11,IF(F52="押三",C48/12*3*F11,C53*F11))),0)</f>
        <v>0</v>
      </c>
      <c r="D52" s="2005" t="s">
        <v>2233</v>
      </c>
      <c r="E52" s="2002" t="s">
        <v>1808</v>
      </c>
      <c r="F52" s="2075"/>
      <c r="I52" s="2368" t="s">
        <v>1775</v>
      </c>
      <c r="J52" s="1944">
        <v>7.4999999999999997E-2</v>
      </c>
      <c r="K52" s="2368" t="s">
        <v>1774</v>
      </c>
      <c r="L52" s="1944"/>
      <c r="M52" s="2763"/>
      <c r="O52" s="1959" t="s">
        <v>1740</v>
      </c>
      <c r="P52" s="1957" t="s">
        <v>1741</v>
      </c>
      <c r="Q52" s="1960">
        <f>J52</f>
        <v>7.4999999999999997E-2</v>
      </c>
      <c r="R52" s="1961"/>
    </row>
    <row r="53" spans="1:18" s="1671" customFormat="1" ht="39.75" customHeight="1" thickBot="1">
      <c r="A53" s="721"/>
      <c r="B53" s="1999" t="s">
        <v>1856</v>
      </c>
      <c r="C53" s="2003"/>
      <c r="D53" s="2005"/>
      <c r="E53" s="2002"/>
      <c r="F53" s="735"/>
      <c r="I53" s="2369" t="s">
        <v>2236</v>
      </c>
      <c r="J53" s="2415">
        <f ca="1">IF(M47="住宅",IF(D1="——",MAX(J51,L48),MAX(J51,L48-'数据-取费表'!B20)),IF(D1="——",MIN(J51,L48),MIN(J51,L48-'数据-取费表'!B20)))</f>
        <v>37.65</v>
      </c>
      <c r="K53" s="3742" t="s">
        <v>2226</v>
      </c>
      <c r="L53" s="3743"/>
      <c r="M53" s="2763"/>
      <c r="O53" s="1959" t="s">
        <v>1742</v>
      </c>
      <c r="P53" s="1957" t="s">
        <v>1743</v>
      </c>
      <c r="Q53" s="1958">
        <f ca="1">J53</f>
        <v>37.65</v>
      </c>
      <c r="R53" s="1957" t="s">
        <v>1744</v>
      </c>
    </row>
    <row r="54" spans="1:18" s="1671" customFormat="1" ht="18" customHeight="1" thickBot="1">
      <c r="A54" s="2012" t="s">
        <v>1811</v>
      </c>
      <c r="B54" s="2013" t="s">
        <v>1804</v>
      </c>
      <c r="C54" s="2014"/>
      <c r="D54" s="2005"/>
      <c r="E54" s="2002"/>
      <c r="F54" s="735"/>
      <c r="I54" s="16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5"/>
      <c r="M54" s="2763"/>
      <c r="O54" s="1956" t="s">
        <v>1745</v>
      </c>
      <c r="P54" s="1957" t="s">
        <v>1762</v>
      </c>
      <c r="Q54" s="1958">
        <f ca="1">Q48+Q49</f>
        <v>1027</v>
      </c>
      <c r="R54" s="1961" t="s">
        <v>1746</v>
      </c>
    </row>
    <row r="55" spans="1:18" s="1671" customFormat="1" ht="18" customHeight="1" thickTop="1" thickBot="1">
      <c r="A55" s="732">
        <v>2</v>
      </c>
      <c r="B55" s="733" t="s">
        <v>592</v>
      </c>
      <c r="C55" s="734">
        <f ca="1">C13</f>
        <v>319</v>
      </c>
      <c r="D55" s="730"/>
      <c r="E55" s="730"/>
      <c r="F55" s="735"/>
      <c r="I55" s="2379" t="s">
        <v>1709</v>
      </c>
      <c r="J55" s="2352" t="e">
        <f ca="1">ROUND(IF(J47="钢混",J57/J50,1-(1-2%)*(J50-J57)/J50),3)</f>
        <v>#VALUE!</v>
      </c>
      <c r="K55" s="2380" t="s">
        <v>1710</v>
      </c>
      <c r="L55" s="1945"/>
      <c r="M55" s="2763"/>
      <c r="O55" s="1962" t="s">
        <v>1765</v>
      </c>
      <c r="P55" s="1145"/>
      <c r="Q55" s="1329"/>
      <c r="R55" s="1145"/>
    </row>
    <row r="56" spans="1:18" s="1671" customFormat="1" ht="42.75" customHeight="1" thickBot="1">
      <c r="A56" s="1369"/>
      <c r="B56" s="1824" t="s">
        <v>1659</v>
      </c>
      <c r="C56" s="49">
        <f ca="1">C29</f>
        <v>319</v>
      </c>
      <c r="D56" s="907"/>
      <c r="E56" s="719"/>
      <c r="F56" s="744"/>
      <c r="I56" s="2381" t="s">
        <v>1711</v>
      </c>
      <c r="J56" s="2391" t="s">
        <v>3339</v>
      </c>
      <c r="K56" s="2363" t="s">
        <v>1716</v>
      </c>
      <c r="L56" s="1566" t="str">
        <f ca="1">IF(L48&lt;J51,"——",L48-J51)</f>
        <v>——</v>
      </c>
      <c r="M56" s="2763"/>
      <c r="O56" s="1953" t="s">
        <v>1729</v>
      </c>
      <c r="P56" s="1954" t="s">
        <v>1730</v>
      </c>
      <c r="Q56" s="1955" t="s">
        <v>1731</v>
      </c>
      <c r="R56" s="1954" t="s">
        <v>1732</v>
      </c>
    </row>
    <row r="57" spans="1:18" s="1671" customFormat="1" ht="28.5" customHeight="1" thickBot="1">
      <c r="A57" s="732" t="s">
        <v>1277</v>
      </c>
      <c r="B57" s="733" t="s">
        <v>599</v>
      </c>
      <c r="C57" s="734">
        <f ca="1">ROUND(C58+C63+C64+C65,0)</f>
        <v>2</v>
      </c>
      <c r="D57" s="22" t="s">
        <v>1279</v>
      </c>
      <c r="E57" s="915"/>
      <c r="F57" s="52"/>
      <c r="I57" s="2382" t="s">
        <v>1712</v>
      </c>
      <c r="J57" s="2383" t="str">
        <f ca="1">IF(OR(M47="住宅",J51&lt;L48,J56="是"),"——",J51-L48)</f>
        <v>——</v>
      </c>
      <c r="K57" s="2363" t="s">
        <v>1717</v>
      </c>
      <c r="L57" s="1566" t="str">
        <f ca="1">IF(L48&lt;J51,"——",IF(L55="比较法",L49,IF(L55="基准地价",L50,L51)))</f>
        <v>——</v>
      </c>
      <c r="M57" s="2763"/>
      <c r="O57" s="1956" t="s">
        <v>1733</v>
      </c>
      <c r="P57" s="1957" t="s">
        <v>1763</v>
      </c>
      <c r="Q57" s="1958">
        <f ca="1">C40+J29</f>
        <v>1027</v>
      </c>
      <c r="R57" s="1957" t="s">
        <v>1734</v>
      </c>
    </row>
    <row r="58" spans="1:18" s="1671" customFormat="1" ht="28.5" customHeight="1" thickBot="1">
      <c r="A58" s="1368" t="s">
        <v>1353</v>
      </c>
      <c r="B58" s="719" t="s">
        <v>604</v>
      </c>
      <c r="C58" s="2554">
        <f ca="1">ROUND(IF(AND(项目基本情况!B11="自然人",项目基本情况!B10="北京市"),C48*F58/(1+'数据-取费表'!C42),C59+C60+C61),2)</f>
        <v>0.13</v>
      </c>
      <c r="D58" s="906" t="s">
        <v>605</v>
      </c>
      <c r="E58" s="907" t="s">
        <v>637</v>
      </c>
      <c r="F58" s="2553" t="str">
        <f>IF(项目基本情况!B11="企业","——",IF('数据-取费表'!B10="住宅",IF(F48*F49*F50/12/(1+'数据-取费表'!F30)&gt;100000,4%,2.5%),IF(F48*F49*F50/12/(1+'数据-取费表'!F30)&gt;100000,12%,7%)))</f>
        <v>——</v>
      </c>
      <c r="I58" s="2382" t="s">
        <v>1713</v>
      </c>
      <c r="J58" s="2353" t="e">
        <f ca="1">IF(J55&lt;0.4,0.4,J55)</f>
        <v>#VALUE!</v>
      </c>
      <c r="K58" s="2363" t="s">
        <v>1718</v>
      </c>
      <c r="L58" s="1566" t="e">
        <f ca="1">ROUND(POWER(1+L52,L47-L48)*(POWER(1+L52,L48)-1)/(POWER(1+L52,L47)-1),4)</f>
        <v>#DIV/0!</v>
      </c>
      <c r="M58" s="2763"/>
      <c r="O58" s="1956" t="s">
        <v>1735</v>
      </c>
      <c r="P58" s="1957" t="s">
        <v>1766</v>
      </c>
      <c r="Q58" s="1958">
        <f ca="1">L60</f>
        <v>0</v>
      </c>
      <c r="R58" s="1961" t="s">
        <v>1768</v>
      </c>
    </row>
    <row r="59" spans="1:18" s="1671" customFormat="1" ht="28.5" customHeight="1" thickBot="1">
      <c r="A59" s="1367" t="s">
        <v>1360</v>
      </c>
      <c r="B59" s="719" t="s">
        <v>608</v>
      </c>
      <c r="C59" s="49">
        <f ca="1">ROUND(C47*F59/1.05,2)</f>
        <v>0</v>
      </c>
      <c r="D59" s="907" t="s">
        <v>1285</v>
      </c>
      <c r="E59" s="719" t="s">
        <v>1276</v>
      </c>
      <c r="F59" s="744">
        <f t="shared" ref="F59:F65" si="0">F32</f>
        <v>5.5000000000000007E-2</v>
      </c>
      <c r="I59" s="2382" t="s">
        <v>1714</v>
      </c>
      <c r="J59" s="2383" t="str">
        <f ca="1">IF(OR(M47="住宅",J51&lt;L48,J56="是"),"——",ROUND(C29*J58,0))</f>
        <v>——</v>
      </c>
      <c r="K59" s="2363" t="str">
        <f>IF(D1="——","建筑物剩余耐用年限下的土地年期修正系数Kn","建设期及建筑物耐用年限下的土地年期修正系数Kn")</f>
        <v>建筑物剩余耐用年限下的土地年期修正系数Kn</v>
      </c>
      <c r="L59" s="1566" t="e">
        <f ca="1">ROUND(IF(D1="土地（套用方法）",POWER(1+L52,L47-(J51+'数据-取费表'!B20))*(POWER(1+L52,(J51+'数据-取费表'!B20))-1)/(POWER(1+L52,L47)-1),POWER(1+L52,L47-J51)*(POWER(1+L52,J51)-1)/(POWER(1+L52,L47)-1)),4)</f>
        <v>#DIV/0!</v>
      </c>
      <c r="M59" s="2763"/>
      <c r="O59" s="1959" t="s">
        <v>1737</v>
      </c>
      <c r="P59" s="1957" t="s">
        <v>1767</v>
      </c>
      <c r="Q59" s="1958">
        <f>IF(L55="比较法",L49,IF(L55="基准地价",L50,0))</f>
        <v>0</v>
      </c>
      <c r="R59" s="1957" t="s">
        <v>1734</v>
      </c>
    </row>
    <row r="60" spans="1:18" s="1671" customFormat="1" ht="18" customHeight="1" thickBot="1">
      <c r="A60" s="1367"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4" t="s">
        <v>1715</v>
      </c>
      <c r="J60" s="2385" t="str">
        <f ca="1">IF(OR(M47="住宅",J51&lt;L48,J56="是"),"0",ROUND(J59/(1+J52)^J53,0))</f>
        <v>0</v>
      </c>
      <c r="K60" s="2386" t="s">
        <v>1720</v>
      </c>
      <c r="L60" s="2385">
        <f ca="1">IF(OR(M47="住宅",L48&lt;J51),0,ROUND(L57*(L58/L59-1),0))</f>
        <v>0</v>
      </c>
      <c r="M60" s="2763"/>
      <c r="O60" s="1959" t="s">
        <v>1738</v>
      </c>
      <c r="P60" s="1957" t="s">
        <v>1747</v>
      </c>
      <c r="Q60" s="1960">
        <f>L52</f>
        <v>0</v>
      </c>
      <c r="R60" s="1961"/>
    </row>
    <row r="61" spans="1:18" s="1671" customFormat="1" ht="18" customHeight="1" thickBot="1">
      <c r="A61" s="1370" t="s">
        <v>1362</v>
      </c>
      <c r="B61" s="315" t="s">
        <v>615</v>
      </c>
      <c r="C61" s="50">
        <f ca="1">ROUND(F61*F62/10000,2)</f>
        <v>0.13</v>
      </c>
      <c r="D61" s="748" t="s">
        <v>616</v>
      </c>
      <c r="E61" s="719" t="s">
        <v>617</v>
      </c>
      <c r="F61" s="587">
        <f t="shared" si="0"/>
        <v>1.5</v>
      </c>
      <c r="K61" s="1695"/>
      <c r="O61" s="1959" t="s">
        <v>1740</v>
      </c>
      <c r="P61" s="1957" t="s">
        <v>1748</v>
      </c>
      <c r="Q61" s="1958" t="e">
        <f ca="1">L58</f>
        <v>#DIV/0!</v>
      </c>
      <c r="R61" s="1961" t="s">
        <v>1749</v>
      </c>
    </row>
    <row r="62" spans="1:18" s="1671" customFormat="1" ht="16.2" thickBot="1">
      <c r="A62" s="749"/>
      <c r="B62" s="728"/>
      <c r="C62" s="65"/>
      <c r="D62" s="750"/>
      <c r="E62" s="719" t="s">
        <v>621</v>
      </c>
      <c r="F62" s="720">
        <f t="shared" ca="1" si="0"/>
        <v>862.2</v>
      </c>
      <c r="I62" s="2387" t="s">
        <v>1721</v>
      </c>
      <c r="J62" s="2388" t="s">
        <v>1722</v>
      </c>
      <c r="K62" s="2388" t="s">
        <v>1723</v>
      </c>
      <c r="L62" s="2388" t="s">
        <v>1704</v>
      </c>
      <c r="M62" s="2389" t="s">
        <v>2205</v>
      </c>
      <c r="O62" s="1959" t="s">
        <v>1742</v>
      </c>
      <c r="P62" s="1957" t="str">
        <f>K59</f>
        <v>建筑物剩余耐用年限下的土地年期修正系数Kn</v>
      </c>
      <c r="Q62" s="1958" t="e">
        <f ca="1">L59</f>
        <v>#DIV/0!</v>
      </c>
      <c r="R62" s="1961" t="s">
        <v>1751</v>
      </c>
    </row>
    <row r="63" spans="1:18" s="1671" customFormat="1" ht="16.2" thickBot="1">
      <c r="A63" s="1368" t="s">
        <v>1414</v>
      </c>
      <c r="B63" s="719" t="s">
        <v>623</v>
      </c>
      <c r="C63" s="49">
        <f ca="1">ROUND(C56*F63,2)</f>
        <v>1.6</v>
      </c>
      <c r="D63" s="907" t="s">
        <v>1332</v>
      </c>
      <c r="E63" s="719" t="s">
        <v>1276</v>
      </c>
      <c r="F63" s="751">
        <f t="shared" ca="1" si="0"/>
        <v>5.0000000000000001E-3</v>
      </c>
      <c r="I63" s="2387" t="s">
        <v>1724</v>
      </c>
      <c r="J63" s="2388">
        <v>70</v>
      </c>
      <c r="K63" s="2388">
        <v>50</v>
      </c>
      <c r="L63" s="2388">
        <v>80</v>
      </c>
      <c r="M63" s="2390">
        <v>0.02</v>
      </c>
      <c r="O63" s="1956" t="s">
        <v>1745</v>
      </c>
      <c r="P63" s="1957" t="s">
        <v>1762</v>
      </c>
      <c r="Q63" s="1958">
        <f ca="1">Q57+Q58</f>
        <v>1027</v>
      </c>
      <c r="R63" s="1961" t="s">
        <v>1746</v>
      </c>
    </row>
    <row r="64" spans="1:18" s="1671" customFormat="1" ht="16.2" thickBot="1">
      <c r="A64" s="1368" t="s">
        <v>1415</v>
      </c>
      <c r="B64" s="719" t="s">
        <v>626</v>
      </c>
      <c r="C64" s="49">
        <f ca="1">ROUND(C55*F64,2)</f>
        <v>0.32</v>
      </c>
      <c r="D64" s="907" t="s">
        <v>627</v>
      </c>
      <c r="E64" s="719" t="s">
        <v>1276</v>
      </c>
      <c r="F64" s="752">
        <f t="shared" ca="1" si="0"/>
        <v>1E-3</v>
      </c>
      <c r="I64" s="2387" t="s">
        <v>1725</v>
      </c>
      <c r="J64" s="2388">
        <v>50</v>
      </c>
      <c r="K64" s="2388">
        <v>35</v>
      </c>
      <c r="L64" s="2388">
        <v>60</v>
      </c>
      <c r="M64" s="780">
        <v>0</v>
      </c>
      <c r="O64" s="1962" t="s">
        <v>1769</v>
      </c>
      <c r="P64" s="1145"/>
      <c r="Q64" s="1329"/>
      <c r="R64" s="1145"/>
    </row>
    <row r="65" spans="1:18" s="1671" customFormat="1" ht="16.2" thickBot="1">
      <c r="A65" s="1368" t="s">
        <v>1416</v>
      </c>
      <c r="B65" s="719" t="s">
        <v>613</v>
      </c>
      <c r="C65" s="49">
        <f ca="1">ROUND(C47*F65,2)</f>
        <v>0</v>
      </c>
      <c r="D65" s="907" t="s">
        <v>630</v>
      </c>
      <c r="E65" s="719" t="s">
        <v>1276</v>
      </c>
      <c r="F65" s="729">
        <f t="shared" ca="1" si="0"/>
        <v>0.01</v>
      </c>
      <c r="I65" s="2387" t="s">
        <v>1726</v>
      </c>
      <c r="J65" s="2388">
        <v>40</v>
      </c>
      <c r="K65" s="2388">
        <v>30</v>
      </c>
      <c r="L65" s="2388">
        <v>50</v>
      </c>
      <c r="M65" s="2390">
        <v>0.02</v>
      </c>
      <c r="O65" s="1953" t="s">
        <v>1729</v>
      </c>
      <c r="P65" s="1954" t="s">
        <v>1730</v>
      </c>
      <c r="Q65" s="1955" t="s">
        <v>1731</v>
      </c>
      <c r="R65" s="1954" t="s">
        <v>1732</v>
      </c>
    </row>
    <row r="66" spans="1:18" s="1671" customFormat="1" ht="24.6" thickBot="1">
      <c r="A66" s="732" t="s">
        <v>1305</v>
      </c>
      <c r="B66" s="2297" t="s">
        <v>2099</v>
      </c>
      <c r="C66" s="734">
        <f ca="1">C47-C57</f>
        <v>-2</v>
      </c>
      <c r="D66" s="906" t="s">
        <v>647</v>
      </c>
      <c r="E66" s="904"/>
      <c r="F66" s="754"/>
      <c r="K66" s="1695"/>
      <c r="O66" s="1956" t="s">
        <v>1733</v>
      </c>
      <c r="P66" s="1957" t="s">
        <v>1763</v>
      </c>
      <c r="Q66" s="1958">
        <f ca="1">C40+J29</f>
        <v>1027</v>
      </c>
      <c r="R66" s="1957" t="s">
        <v>1734</v>
      </c>
    </row>
    <row r="67" spans="1:18" s="1671" customFormat="1" ht="19.2" thickBot="1">
      <c r="A67" s="716" t="s">
        <v>1309</v>
      </c>
      <c r="B67" s="1825" t="s">
        <v>1658</v>
      </c>
      <c r="C67" s="718">
        <f ca="1">ROUND(C66*(1-((1+F69)/(1+F67))^F68)/(F67-F69),0)</f>
        <v>-32</v>
      </c>
      <c r="D67" s="748" t="s">
        <v>651</v>
      </c>
      <c r="E67" s="719" t="s">
        <v>652</v>
      </c>
      <c r="F67" s="729">
        <f ca="1">F40</f>
        <v>5.5E-2</v>
      </c>
      <c r="K67" s="1695"/>
      <c r="O67" s="1956" t="s">
        <v>1735</v>
      </c>
      <c r="P67" s="1957" t="s">
        <v>1766</v>
      </c>
      <c r="Q67" s="1958">
        <f ca="1">L60</f>
        <v>0</v>
      </c>
      <c r="R67" s="1961" t="s">
        <v>1768</v>
      </c>
    </row>
    <row r="68" spans="1:18" ht="20.399999999999999" thickBot="1">
      <c r="A68" s="721"/>
      <c r="B68" s="722"/>
      <c r="C68" s="723"/>
      <c r="D68" s="755" t="s">
        <v>1337</v>
      </c>
      <c r="E68" s="719" t="s">
        <v>1313</v>
      </c>
      <c r="F68" s="756">
        <f ca="1">F41</f>
        <v>37.65</v>
      </c>
      <c r="O68" s="1959" t="s">
        <v>1737</v>
      </c>
      <c r="P68" s="1957" t="s">
        <v>1767</v>
      </c>
      <c r="Q68" s="1963">
        <f ca="1">L51</f>
        <v>524</v>
      </c>
      <c r="R68" s="1964" t="s">
        <v>1770</v>
      </c>
    </row>
    <row r="69" spans="1:18" ht="19.2" thickBot="1">
      <c r="A69" s="725"/>
      <c r="B69" s="726"/>
      <c r="C69" s="727"/>
      <c r="D69" s="750"/>
      <c r="E69" s="719" t="s">
        <v>657</v>
      </c>
      <c r="F69" s="1933"/>
      <c r="O69" s="1959" t="s">
        <v>1738</v>
      </c>
      <c r="P69" s="1965" t="s">
        <v>1752</v>
      </c>
      <c r="Q69" s="1958">
        <f ca="1">ROUND(Q70-Q71*Q72,0)</f>
        <v>28</v>
      </c>
      <c r="R69" s="1961"/>
    </row>
    <row r="70" spans="1:18" ht="16.2" thickBot="1">
      <c r="A70" s="757" t="s">
        <v>1316</v>
      </c>
      <c r="B70" s="758" t="s">
        <v>1339</v>
      </c>
      <c r="C70" s="759">
        <f ca="1">ROUND(C67*10000/F70,0)</f>
        <v>-285</v>
      </c>
      <c r="D70" s="760" t="s">
        <v>1340</v>
      </c>
      <c r="E70" s="761" t="s">
        <v>1341</v>
      </c>
      <c r="F70" s="762">
        <f ca="1">F43</f>
        <v>1120.8800000000001</v>
      </c>
      <c r="O70" s="1959" t="s">
        <v>1753</v>
      </c>
      <c r="P70" s="1965" t="s">
        <v>1754</v>
      </c>
      <c r="Q70" s="1958">
        <f ca="1">C39</f>
        <v>50</v>
      </c>
      <c r="R70" s="1957" t="s">
        <v>1734</v>
      </c>
    </row>
    <row r="71" spans="1:18" ht="16.2" thickBot="1">
      <c r="O71" s="1959" t="s">
        <v>1755</v>
      </c>
      <c r="P71" s="1965" t="s">
        <v>1756</v>
      </c>
      <c r="Q71" s="1958">
        <f ca="1">C13</f>
        <v>319</v>
      </c>
      <c r="R71" s="1957" t="s">
        <v>1734</v>
      </c>
    </row>
    <row r="72" spans="1:18" ht="16.2" thickBot="1">
      <c r="O72" s="1959" t="s">
        <v>1757</v>
      </c>
      <c r="P72" s="1965" t="s">
        <v>1758</v>
      </c>
      <c r="Q72" s="1960">
        <f ca="1">J36</f>
        <v>7.0000000000000007E-2</v>
      </c>
      <c r="R72" s="1961"/>
    </row>
    <row r="73" spans="1:18" ht="16.2" thickBot="1">
      <c r="O73" s="1959" t="s">
        <v>1740</v>
      </c>
      <c r="P73" s="1957" t="s">
        <v>1747</v>
      </c>
      <c r="Q73" s="1960">
        <f>L52</f>
        <v>0</v>
      </c>
      <c r="R73" s="1961"/>
    </row>
    <row r="74" spans="1:18" ht="19.2" thickBot="1">
      <c r="O74" s="1959" t="s">
        <v>1742</v>
      </c>
      <c r="P74" s="1957" t="s">
        <v>1748</v>
      </c>
      <c r="Q74" s="1958" t="e">
        <f ca="1">L58</f>
        <v>#DIV/0!</v>
      </c>
      <c r="R74" s="1961" t="s">
        <v>1749</v>
      </c>
    </row>
    <row r="75" spans="1:18" ht="16.2" thickBot="1">
      <c r="O75" s="1959" t="s">
        <v>1771</v>
      </c>
      <c r="P75" s="1957" t="str">
        <f>K59</f>
        <v>建筑物剩余耐用年限下的土地年期修正系数Kn</v>
      </c>
      <c r="Q75" s="1958" t="e">
        <f ca="1">L59</f>
        <v>#DIV/0!</v>
      </c>
      <c r="R75" s="1961" t="s">
        <v>1751</v>
      </c>
    </row>
    <row r="76" spans="1:18" ht="16.2" thickBot="1">
      <c r="O76" s="1956" t="s">
        <v>1745</v>
      </c>
      <c r="P76" s="1957" t="s">
        <v>1762</v>
      </c>
      <c r="Q76" s="1958">
        <f ca="1">Q66+Q67</f>
        <v>1027</v>
      </c>
      <c r="R76" s="1961"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0" priority="4">
      <formula>$F$10="自定义"</formula>
    </cfRule>
  </conditionalFormatting>
  <conditionalFormatting sqref="C53">
    <cfRule type="expression" dxfId="79" priority="1">
      <formula>$F$52="自定义"</formula>
    </cfRule>
  </conditionalFormatting>
  <conditionalFormatting sqref="I55">
    <cfRule type="expression" dxfId="78" priority="8">
      <formula>$J$51&gt;$L$48</formula>
    </cfRule>
  </conditionalFormatting>
  <conditionalFormatting sqref="I60">
    <cfRule type="expression" dxfId="77" priority="6">
      <formula>$J$51&gt;$L$48</formula>
    </cfRule>
  </conditionalFormatting>
  <conditionalFormatting sqref="J11">
    <cfRule type="expression" dxfId="76" priority="2">
      <formula>$M$10="自定义"</formula>
    </cfRule>
  </conditionalFormatting>
  <conditionalFormatting sqref="K55">
    <cfRule type="expression" dxfId="75" priority="7">
      <formula>$L$48&gt;$J$51</formula>
    </cfRule>
  </conditionalFormatting>
  <conditionalFormatting sqref="K60">
    <cfRule type="expression" dxfId="74"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697</v>
      </c>
      <c r="C1" s="455" t="s">
        <v>667</v>
      </c>
      <c r="D1" s="1932"/>
      <c r="E1" s="457"/>
      <c r="F1" s="2117"/>
      <c r="G1" s="1327" t="s">
        <v>668</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31" customFormat="1" ht="28.5" customHeight="1">
      <c r="A2" s="393" t="s">
        <v>427</v>
      </c>
      <c r="B2" s="784"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1" customFormat="1" ht="28.5" customHeight="1" thickBot="1">
      <c r="A3" s="460" t="s">
        <v>468</v>
      </c>
      <c r="B3" s="461" t="e">
        <f>C49</f>
        <v>#DIV/0!</v>
      </c>
      <c r="C3" s="786" t="s">
        <v>669</v>
      </c>
      <c r="D3" s="785">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4.4">
      <c r="A4" s="463" t="s">
        <v>470</v>
      </c>
      <c r="B4" s="464"/>
      <c r="C4" s="3635" t="s">
        <v>471</v>
      </c>
      <c r="D4" s="3636"/>
      <c r="E4" s="3657" t="s">
        <v>472</v>
      </c>
      <c r="F4" s="3658"/>
      <c r="G4" s="3635" t="s">
        <v>473</v>
      </c>
      <c r="H4" s="3636"/>
      <c r="I4" s="3635" t="s">
        <v>474</v>
      </c>
      <c r="J4" s="3636"/>
      <c r="K4" s="465" t="s">
        <v>475</v>
      </c>
      <c r="L4" s="1740"/>
      <c r="M4" s="1741"/>
      <c r="N4" s="1741"/>
      <c r="O4" s="1741"/>
      <c r="P4" s="3637" t="s">
        <v>476</v>
      </c>
      <c r="Q4" s="3638"/>
      <c r="R4" s="3621" t="s">
        <v>472</v>
      </c>
      <c r="S4" s="3622"/>
      <c r="T4" s="3621" t="s">
        <v>473</v>
      </c>
      <c r="U4" s="3622"/>
      <c r="V4" s="3643" t="s">
        <v>474</v>
      </c>
      <c r="W4" s="3643"/>
      <c r="X4" s="1301"/>
      <c r="Y4" s="3621" t="s">
        <v>476</v>
      </c>
      <c r="Z4" s="3622"/>
      <c r="AA4" s="3616" t="s">
        <v>472</v>
      </c>
      <c r="AB4" s="3643" t="s">
        <v>473</v>
      </c>
      <c r="AC4" s="3616" t="s">
        <v>474</v>
      </c>
    </row>
    <row r="5" spans="1:29">
      <c r="A5" s="466"/>
      <c r="B5" s="467"/>
      <c r="C5" s="3646" t="s">
        <v>2192</v>
      </c>
      <c r="D5" s="3647"/>
      <c r="E5" s="3659" t="s">
        <v>2193</v>
      </c>
      <c r="F5" s="3660"/>
      <c r="G5" s="3646" t="s">
        <v>2194</v>
      </c>
      <c r="H5" s="3647"/>
      <c r="I5" s="3646" t="s">
        <v>2195</v>
      </c>
      <c r="J5" s="3647"/>
      <c r="K5" s="465"/>
      <c r="L5" s="1740"/>
      <c r="M5" s="1741"/>
      <c r="N5" s="1741"/>
      <c r="O5" s="1741"/>
      <c r="P5" s="3639"/>
      <c r="Q5" s="3640"/>
      <c r="R5" s="3623"/>
      <c r="S5" s="3624"/>
      <c r="T5" s="3623"/>
      <c r="U5" s="3624"/>
      <c r="V5" s="3643"/>
      <c r="W5" s="3643"/>
      <c r="X5" s="1301"/>
      <c r="Y5" s="3623"/>
      <c r="Z5" s="3624"/>
      <c r="AA5" s="3617"/>
      <c r="AB5" s="3643"/>
      <c r="AC5" s="3617"/>
    </row>
    <row r="6" spans="1:29" ht="15" thickBot="1">
      <c r="A6" s="468"/>
      <c r="B6" s="469"/>
      <c r="C6" s="3644" t="s">
        <v>2196</v>
      </c>
      <c r="D6" s="3645"/>
      <c r="E6" s="3661" t="s">
        <v>2196</v>
      </c>
      <c r="F6" s="3662"/>
      <c r="G6" s="3644" t="s">
        <v>2196</v>
      </c>
      <c r="H6" s="3645"/>
      <c r="I6" s="3644" t="s">
        <v>2196</v>
      </c>
      <c r="J6" s="3645"/>
      <c r="K6" s="465" t="s">
        <v>477</v>
      </c>
      <c r="L6" s="1740"/>
      <c r="M6" s="1741"/>
      <c r="N6" s="1741"/>
      <c r="O6" s="1741"/>
      <c r="P6" s="3641"/>
      <c r="Q6" s="3642"/>
      <c r="R6" s="3623"/>
      <c r="S6" s="3624"/>
      <c r="T6" s="3625"/>
      <c r="U6" s="3626"/>
      <c r="V6" s="3643"/>
      <c r="W6" s="3643"/>
      <c r="X6" s="1301"/>
      <c r="Y6" s="3625"/>
      <c r="Z6" s="3626"/>
      <c r="AA6" s="3618"/>
      <c r="AB6" s="3643"/>
      <c r="AC6" s="3618"/>
    </row>
    <row r="7" spans="1:29" s="1060" customFormat="1" ht="15" thickBot="1">
      <c r="A7" s="2208"/>
      <c r="B7" s="2215" t="s">
        <v>478</v>
      </c>
      <c r="C7" s="470">
        <f>'数据-取费表'!B2</f>
        <v>45849</v>
      </c>
      <c r="D7" s="471">
        <v>100</v>
      </c>
      <c r="E7" s="472"/>
      <c r="F7" s="473">
        <f>SUMIF(58:58,YEAR(E7)&amp;"-"&amp;MONTH(E7),59:59)</f>
        <v>0</v>
      </c>
      <c r="G7" s="472"/>
      <c r="H7" s="471">
        <f>SUMIF(58:58,YEAR(G7)&amp;"-"&amp;MONTH(G7),59:59)</f>
        <v>0</v>
      </c>
      <c r="I7" s="472"/>
      <c r="J7" s="471">
        <f>SUMIF(58:58,YEAR(I7)&amp;"-"&amp;MONTH(I7),59:59)</f>
        <v>0</v>
      </c>
      <c r="K7" s="88"/>
      <c r="L7" s="1742"/>
      <c r="M7" s="1639"/>
      <c r="N7" s="1639"/>
      <c r="O7" s="1639"/>
      <c r="P7" s="3619" t="s">
        <v>479</v>
      </c>
      <c r="Q7" s="3628"/>
      <c r="R7" s="1302" t="s">
        <v>5</v>
      </c>
      <c r="S7" s="1303">
        <f t="shared" ref="S7:S15" si="0">F7</f>
        <v>0</v>
      </c>
      <c r="T7" s="1302" t="s">
        <v>5</v>
      </c>
      <c r="U7" s="1303">
        <f t="shared" ref="U7:U15" si="1">H7</f>
        <v>0</v>
      </c>
      <c r="V7" s="1302" t="s">
        <v>5</v>
      </c>
      <c r="W7" s="1303">
        <f t="shared" ref="W7:W15" si="2">J7</f>
        <v>0</v>
      </c>
      <c r="X7" s="1304"/>
      <c r="Y7" s="3619" t="s">
        <v>479</v>
      </c>
      <c r="Z7" s="3620"/>
      <c r="AA7" s="997" t="e">
        <f>D7/F7</f>
        <v>#DIV/0!</v>
      </c>
      <c r="AB7" s="997" t="e">
        <f>D7/H7</f>
        <v>#DIV/0!</v>
      </c>
      <c r="AC7" s="997" t="e">
        <f>D7/J7</f>
        <v>#DIV/0!</v>
      </c>
    </row>
    <row r="8" spans="1:29" s="1060" customFormat="1" ht="1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2"/>
      <c r="M8" s="1639"/>
      <c r="N8" s="1639"/>
      <c r="O8" s="1639"/>
      <c r="P8" s="3619" t="s">
        <v>482</v>
      </c>
      <c r="Q8" s="3620"/>
      <c r="R8" s="1302" t="s">
        <v>5</v>
      </c>
      <c r="S8" s="1303">
        <f t="shared" si="0"/>
        <v>0</v>
      </c>
      <c r="T8" s="1302" t="s">
        <v>5</v>
      </c>
      <c r="U8" s="1303">
        <f t="shared" si="1"/>
        <v>0</v>
      </c>
      <c r="V8" s="1302" t="s">
        <v>5</v>
      </c>
      <c r="W8" s="1303">
        <f t="shared" si="2"/>
        <v>0</v>
      </c>
      <c r="X8" s="1304"/>
      <c r="Y8" s="3619" t="s">
        <v>482</v>
      </c>
      <c r="Z8" s="3620"/>
      <c r="AA8" s="997" t="e">
        <f t="shared" ref="AA8:AA46" si="3">D8/F8</f>
        <v>#DIV/0!</v>
      </c>
      <c r="AB8" s="997" t="e">
        <f t="shared" ref="AB8:AB46" si="4">D8/H8</f>
        <v>#DIV/0!</v>
      </c>
      <c r="AC8" s="997" t="e">
        <f t="shared" ref="AC8:AC46" si="5">D8/J8</f>
        <v>#DIV/0!</v>
      </c>
    </row>
    <row r="9" spans="1:29" s="1060" customFormat="1" ht="14.4">
      <c r="A9" s="2210"/>
      <c r="B9" s="2217" t="s">
        <v>2038</v>
      </c>
      <c r="C9" s="791"/>
      <c r="D9" s="154">
        <v>100</v>
      </c>
      <c r="E9" s="793"/>
      <c r="F9" s="154">
        <f>SUMIF(63:63,E9,64:64)-SUMIF(63:63,C9,64:64)+100</f>
        <v>100</v>
      </c>
      <c r="G9" s="792"/>
      <c r="H9" s="154">
        <f>SUMIF(63:63,G9,64:64)-SUMIF(63:63,C9,64:64)+100</f>
        <v>100</v>
      </c>
      <c r="I9" s="792"/>
      <c r="J9" s="154">
        <f>SUMIF(63:63,I9,64:64)-SUMIF(63:63,C9,64:64)+100</f>
        <v>100</v>
      </c>
      <c r="K9" s="88"/>
      <c r="L9" s="1742"/>
      <c r="M9" s="1639"/>
      <c r="N9" s="1639"/>
      <c r="O9" s="1743"/>
      <c r="P9" s="3627" t="s">
        <v>484</v>
      </c>
      <c r="Q9" s="818" t="str">
        <f t="shared" ref="Q9:Q15" si="6">B9</f>
        <v>用途</v>
      </c>
      <c r="R9" s="1302" t="s">
        <v>5</v>
      </c>
      <c r="S9" s="1303">
        <f t="shared" si="0"/>
        <v>100</v>
      </c>
      <c r="T9" s="1302" t="s">
        <v>5</v>
      </c>
      <c r="U9" s="1303">
        <f t="shared" si="1"/>
        <v>100</v>
      </c>
      <c r="V9" s="1302" t="s">
        <v>5</v>
      </c>
      <c r="W9" s="1303">
        <f t="shared" si="2"/>
        <v>100</v>
      </c>
      <c r="X9" s="1304"/>
      <c r="Y9" s="3575" t="s">
        <v>485</v>
      </c>
      <c r="Z9" s="997" t="str">
        <f t="shared" ref="Z9:Z15" si="7">Q9</f>
        <v>用途</v>
      </c>
      <c r="AA9" s="997">
        <f t="shared" si="3"/>
        <v>1</v>
      </c>
      <c r="AB9" s="997">
        <f t="shared" si="4"/>
        <v>1</v>
      </c>
      <c r="AC9" s="997">
        <f t="shared" si="5"/>
        <v>1</v>
      </c>
    </row>
    <row r="10" spans="1:29" s="1133" customFormat="1" ht="28.8">
      <c r="A10" s="2211"/>
      <c r="B10" s="2216" t="s">
        <v>2039</v>
      </c>
      <c r="C10" s="3385"/>
      <c r="D10" s="235">
        <v>100</v>
      </c>
      <c r="E10" s="3385"/>
      <c r="F10" s="235">
        <f>SUMIF(65:65,E10,66:66)-SUMIF(65:65,C10,66:66)+100</f>
        <v>100</v>
      </c>
      <c r="G10" s="3386"/>
      <c r="H10" s="235">
        <f>SUMIF(65:65,G10,66:66)-SUMIF(65:65,C10,66:66)+100</f>
        <v>100</v>
      </c>
      <c r="I10" s="3385"/>
      <c r="J10" s="235">
        <f>SUMIF(65:65,I10,66:66)-SUMIF(65:65,C10,66:66)+100</f>
        <v>100</v>
      </c>
      <c r="K10" s="88"/>
      <c r="L10" s="1744"/>
      <c r="M10" s="1777"/>
      <c r="N10" s="1777"/>
      <c r="O10" s="1745"/>
      <c r="P10" s="3627"/>
      <c r="Q10" s="818" t="str">
        <f t="shared" si="6"/>
        <v>土地使用年限（年）</v>
      </c>
      <c r="R10" s="1302" t="s">
        <v>5</v>
      </c>
      <c r="S10" s="1303">
        <f t="shared" si="0"/>
        <v>100</v>
      </c>
      <c r="T10" s="1302" t="s">
        <v>5</v>
      </c>
      <c r="U10" s="1303">
        <f t="shared" si="1"/>
        <v>100</v>
      </c>
      <c r="V10" s="1302" t="s">
        <v>5</v>
      </c>
      <c r="W10" s="1303">
        <f t="shared" si="2"/>
        <v>100</v>
      </c>
      <c r="X10" s="1304"/>
      <c r="Y10" s="3575"/>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6"/>
      <c r="M11" s="1741"/>
      <c r="N11" s="1741"/>
      <c r="O11" s="1747"/>
      <c r="P11" s="3627"/>
      <c r="Q11" s="818" t="str">
        <f t="shared" si="6"/>
        <v>容积率</v>
      </c>
      <c r="R11" s="1302" t="s">
        <v>5</v>
      </c>
      <c r="S11" s="1303" t="e">
        <f t="shared" si="0"/>
        <v>#N/A</v>
      </c>
      <c r="T11" s="1302" t="s">
        <v>5</v>
      </c>
      <c r="U11" s="1303" t="e">
        <f t="shared" si="1"/>
        <v>#N/A</v>
      </c>
      <c r="V11" s="1302" t="s">
        <v>5</v>
      </c>
      <c r="W11" s="1303" t="e">
        <f t="shared" si="2"/>
        <v>#N/A</v>
      </c>
      <c r="X11" s="1304"/>
      <c r="Y11" s="3575"/>
      <c r="Z11" s="997" t="str">
        <f t="shared" si="7"/>
        <v>容积率</v>
      </c>
      <c r="AA11" s="997" t="e">
        <f t="shared" si="3"/>
        <v>#N/A</v>
      </c>
      <c r="AB11" s="997" t="e">
        <f t="shared" si="4"/>
        <v>#N/A</v>
      </c>
      <c r="AC11" s="997" t="e">
        <f t="shared" si="5"/>
        <v>#N/A</v>
      </c>
    </row>
    <row r="12" spans="1:29" s="1060" customFormat="1" ht="15">
      <c r="A12" s="2213"/>
      <c r="B12" s="2219">
        <v>111</v>
      </c>
      <c r="C12" s="478"/>
      <c r="D12" s="488">
        <v>100</v>
      </c>
      <c r="E12" s="489"/>
      <c r="F12" s="235">
        <f>SUMIF(70:70,E12,71:71)-SUMIF(70:70,C12,71:71)+100</f>
        <v>100</v>
      </c>
      <c r="G12" s="835"/>
      <c r="H12" s="235">
        <f>SUMIF(70:70,G12,71:71)-SUMIF(70:70,C12,71:71)+100</f>
        <v>100</v>
      </c>
      <c r="I12" s="489"/>
      <c r="J12" s="235">
        <f>SUMIF(70:70,I12,71:71)-SUMIF(70:70,C12,71:71)+100</f>
        <v>100</v>
      </c>
      <c r="K12" s="531"/>
      <c r="L12" s="1742"/>
      <c r="M12" s="1639"/>
      <c r="N12" s="1639"/>
      <c r="O12" s="1743"/>
      <c r="P12" s="3627"/>
      <c r="Q12" s="818">
        <f t="shared" si="6"/>
        <v>111</v>
      </c>
      <c r="R12" s="1302" t="s">
        <v>5</v>
      </c>
      <c r="S12" s="1303">
        <f t="shared" si="0"/>
        <v>100</v>
      </c>
      <c r="T12" s="1302" t="s">
        <v>5</v>
      </c>
      <c r="U12" s="1303">
        <f t="shared" si="1"/>
        <v>100</v>
      </c>
      <c r="V12" s="1302" t="s">
        <v>5</v>
      </c>
      <c r="W12" s="1303">
        <f t="shared" si="2"/>
        <v>100</v>
      </c>
      <c r="X12" s="1304"/>
      <c r="Y12" s="3575"/>
      <c r="Z12" s="997">
        <f t="shared" si="7"/>
        <v>111</v>
      </c>
      <c r="AA12" s="997">
        <f>D12/F12</f>
        <v>1</v>
      </c>
      <c r="AB12" s="997">
        <f>D12/H12</f>
        <v>1</v>
      </c>
      <c r="AC12" s="997">
        <f>D12/J12</f>
        <v>1</v>
      </c>
    </row>
    <row r="13" spans="1:29" ht="15">
      <c r="A13" s="2213"/>
      <c r="B13" s="2219">
        <v>111</v>
      </c>
      <c r="C13" s="489"/>
      <c r="D13" s="490">
        <v>100</v>
      </c>
      <c r="E13" s="489"/>
      <c r="F13" s="235">
        <f>SUMIF(72:72,E13,73:73)-SUMIF(72:72,C13,73:73)+100</f>
        <v>100</v>
      </c>
      <c r="G13" s="835"/>
      <c r="H13" s="490">
        <f>SUMIF(72:72,G13,73:73)-SUMIF(72:72,C13,73:73)+100</f>
        <v>100</v>
      </c>
      <c r="I13" s="489"/>
      <c r="J13" s="490">
        <f>SUMIF(72:72,I13,73:73)-SUMIF(72:72,C13,73:73)+100</f>
        <v>100</v>
      </c>
      <c r="K13" s="531"/>
      <c r="L13" s="1748"/>
      <c r="M13" s="1741"/>
      <c r="N13" s="1741"/>
      <c r="O13" s="1747"/>
      <c r="P13" s="3627"/>
      <c r="Q13" s="818">
        <f t="shared" si="6"/>
        <v>111</v>
      </c>
      <c r="R13" s="1302" t="s">
        <v>5</v>
      </c>
      <c r="S13" s="1303">
        <f t="shared" si="0"/>
        <v>100</v>
      </c>
      <c r="T13" s="1302" t="s">
        <v>5</v>
      </c>
      <c r="U13" s="1303">
        <f t="shared" si="1"/>
        <v>100</v>
      </c>
      <c r="V13" s="1302" t="s">
        <v>5</v>
      </c>
      <c r="W13" s="1303">
        <f t="shared" si="2"/>
        <v>100</v>
      </c>
      <c r="X13" s="1304"/>
      <c r="Y13" s="3575"/>
      <c r="Z13" s="997">
        <f t="shared" si="7"/>
        <v>111</v>
      </c>
      <c r="AA13" s="997">
        <f t="shared" si="3"/>
        <v>1</v>
      </c>
      <c r="AB13" s="997">
        <f t="shared" si="4"/>
        <v>1</v>
      </c>
      <c r="AC13" s="997">
        <f t="shared" si="5"/>
        <v>1</v>
      </c>
    </row>
    <row r="14" spans="1:29" ht="15.6" thickBot="1">
      <c r="A14" s="2214"/>
      <c r="B14" s="2220">
        <v>111</v>
      </c>
      <c r="C14" s="495"/>
      <c r="D14" s="496">
        <v>100</v>
      </c>
      <c r="E14" s="495"/>
      <c r="F14" s="496">
        <f>SUMIF(74:74,E14,75:75)-SUMIF(74:74,C14,75:75)+100</f>
        <v>100</v>
      </c>
      <c r="G14" s="835"/>
      <c r="H14" s="496">
        <f>SUMIF(74:74,G14,75:75)-SUMIF(74:74,C14,75:75)+100</f>
        <v>100</v>
      </c>
      <c r="I14" s="489"/>
      <c r="J14" s="496">
        <f>SUMIF(74:74,I14,75:75)-SUMIF(74:74,C14,75:75)+100</f>
        <v>100</v>
      </c>
      <c r="K14" s="531"/>
      <c r="L14" s="1748"/>
      <c r="M14" s="1741"/>
      <c r="N14" s="1741"/>
      <c r="O14" s="1747"/>
      <c r="P14" s="3627"/>
      <c r="Q14" s="818">
        <f t="shared" si="6"/>
        <v>111</v>
      </c>
      <c r="R14" s="1302" t="s">
        <v>5</v>
      </c>
      <c r="S14" s="1303">
        <f t="shared" si="0"/>
        <v>100</v>
      </c>
      <c r="T14" s="1302" t="s">
        <v>5</v>
      </c>
      <c r="U14" s="1303">
        <f t="shared" si="1"/>
        <v>100</v>
      </c>
      <c r="V14" s="1302" t="s">
        <v>5</v>
      </c>
      <c r="W14" s="1303">
        <f t="shared" si="2"/>
        <v>100</v>
      </c>
      <c r="X14" s="1304"/>
      <c r="Y14" s="3575"/>
      <c r="Z14" s="997">
        <f t="shared" si="7"/>
        <v>111</v>
      </c>
      <c r="AA14" s="997">
        <f t="shared" si="3"/>
        <v>1</v>
      </c>
      <c r="AB14" s="997">
        <f t="shared" si="4"/>
        <v>1</v>
      </c>
      <c r="AC14" s="997">
        <f t="shared" si="5"/>
        <v>1</v>
      </c>
    </row>
    <row r="15" spans="1:29" ht="82.8">
      <c r="A15" s="2206" t="s">
        <v>2036</v>
      </c>
      <c r="B15" s="150" t="s">
        <v>490</v>
      </c>
      <c r="C15" s="797"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2"/>
      <c r="L15" s="1748"/>
      <c r="M15" s="1741"/>
      <c r="N15" s="1741"/>
      <c r="O15" s="1747"/>
      <c r="P15" s="3629" t="s">
        <v>489</v>
      </c>
      <c r="Q15" s="1305" t="str">
        <f t="shared" si="6"/>
        <v>商业繁华度</v>
      </c>
      <c r="R15" s="1306" t="s">
        <v>5</v>
      </c>
      <c r="S15" s="1307">
        <f t="shared" si="0"/>
        <v>100</v>
      </c>
      <c r="T15" s="1306" t="s">
        <v>5</v>
      </c>
      <c r="U15" s="1307">
        <f t="shared" si="1"/>
        <v>100</v>
      </c>
      <c r="V15" s="1306" t="s">
        <v>5</v>
      </c>
      <c r="W15" s="1307">
        <f t="shared" si="2"/>
        <v>100</v>
      </c>
      <c r="X15" s="1301"/>
      <c r="Y15" s="3629" t="s">
        <v>489</v>
      </c>
      <c r="Z15" s="1308" t="str">
        <f t="shared" si="7"/>
        <v>商业繁华度</v>
      </c>
      <c r="AA15" s="1308">
        <f t="shared" si="3"/>
        <v>1</v>
      </c>
      <c r="AB15" s="1308">
        <f t="shared" si="4"/>
        <v>1</v>
      </c>
      <c r="AC15" s="1308">
        <f t="shared" si="5"/>
        <v>1</v>
      </c>
    </row>
    <row r="16" spans="1:29" ht="15">
      <c r="A16" s="482"/>
      <c r="B16" s="799"/>
      <c r="C16" s="526"/>
      <c r="D16" s="505"/>
      <c r="E16" s="526"/>
      <c r="F16" s="507"/>
      <c r="G16" s="526"/>
      <c r="H16" s="509"/>
      <c r="I16" s="526"/>
      <c r="J16" s="505"/>
      <c r="K16" s="823"/>
      <c r="L16" s="1748"/>
      <c r="M16" s="1741"/>
      <c r="N16" s="1741"/>
      <c r="O16" s="1747"/>
      <c r="P16" s="3630"/>
      <c r="Q16" s="1305"/>
      <c r="R16" s="1306"/>
      <c r="S16" s="1307"/>
      <c r="T16" s="1306"/>
      <c r="U16" s="1307"/>
      <c r="V16" s="1306"/>
      <c r="W16" s="1307"/>
      <c r="X16" s="1301"/>
      <c r="Y16" s="3630"/>
      <c r="Z16" s="1308"/>
      <c r="AA16" s="1308">
        <v>1</v>
      </c>
      <c r="AB16" s="1308">
        <v>1</v>
      </c>
      <c r="AC16" s="1308">
        <v>1</v>
      </c>
    </row>
    <row r="17" spans="1:29" ht="96.6">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2"/>
      <c r="L17" s="1748"/>
      <c r="M17" s="1741"/>
      <c r="N17" s="1741"/>
      <c r="O17" s="1747"/>
      <c r="P17" s="3630"/>
      <c r="Q17" s="1305" t="str">
        <f>B17</f>
        <v>交通便捷度</v>
      </c>
      <c r="R17" s="1306" t="s">
        <v>5</v>
      </c>
      <c r="S17" s="1307">
        <f>F17</f>
        <v>100</v>
      </c>
      <c r="T17" s="1306" t="s">
        <v>5</v>
      </c>
      <c r="U17" s="1307">
        <f>H17</f>
        <v>100</v>
      </c>
      <c r="V17" s="1306" t="s">
        <v>5</v>
      </c>
      <c r="W17" s="1307">
        <f>J17</f>
        <v>100</v>
      </c>
      <c r="X17" s="1301"/>
      <c r="Y17" s="3630"/>
      <c r="Z17" s="1308" t="str">
        <f>Q17</f>
        <v>交通便捷度</v>
      </c>
      <c r="AA17" s="1308">
        <f t="shared" si="3"/>
        <v>1</v>
      </c>
      <c r="AB17" s="1308">
        <f t="shared" si="4"/>
        <v>1</v>
      </c>
      <c r="AC17" s="1308">
        <f t="shared" si="5"/>
        <v>1</v>
      </c>
    </row>
    <row r="18" spans="1:29" ht="15">
      <c r="A18" s="482"/>
      <c r="B18" s="544"/>
      <c r="C18" s="802"/>
      <c r="D18" s="509"/>
      <c r="E18" s="518"/>
      <c r="F18" s="513"/>
      <c r="G18" s="519"/>
      <c r="H18" s="505"/>
      <c r="I18" s="518"/>
      <c r="J18" s="505"/>
      <c r="K18" s="823"/>
      <c r="L18" s="1748"/>
      <c r="M18" s="1741"/>
      <c r="N18" s="1741"/>
      <c r="O18" s="1747"/>
      <c r="P18" s="3630"/>
      <c r="Q18" s="1305"/>
      <c r="R18" s="1306"/>
      <c r="S18" s="1307"/>
      <c r="T18" s="1306"/>
      <c r="U18" s="1307"/>
      <c r="V18" s="1306"/>
      <c r="W18" s="1307"/>
      <c r="X18" s="1301"/>
      <c r="Y18" s="3630"/>
      <c r="Z18" s="1308"/>
      <c r="AA18" s="1308">
        <v>1</v>
      </c>
      <c r="AB18" s="1308">
        <v>1</v>
      </c>
      <c r="AC18" s="1308">
        <v>1</v>
      </c>
    </row>
    <row r="19" spans="1:29" ht="41.4">
      <c r="A19" s="482"/>
      <c r="B19" s="2058"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2"/>
      <c r="L19" s="1748"/>
      <c r="M19" s="1741"/>
      <c r="N19" s="1741"/>
      <c r="O19" s="1747"/>
      <c r="P19" s="3630"/>
      <c r="Q19" s="1305" t="str">
        <f>B19</f>
        <v>公共配套设施</v>
      </c>
      <c r="R19" s="1306" t="s">
        <v>5</v>
      </c>
      <c r="S19" s="1307">
        <f>F19</f>
        <v>100</v>
      </c>
      <c r="T19" s="1306" t="s">
        <v>5</v>
      </c>
      <c r="U19" s="1307">
        <f>H19</f>
        <v>100</v>
      </c>
      <c r="V19" s="1306" t="s">
        <v>5</v>
      </c>
      <c r="W19" s="1307">
        <f>J19</f>
        <v>100</v>
      </c>
      <c r="X19" s="1301"/>
      <c r="Y19" s="3630"/>
      <c r="Z19" s="1308" t="str">
        <f>Q19</f>
        <v>公共配套设施</v>
      </c>
      <c r="AA19" s="1308">
        <f t="shared" si="3"/>
        <v>1</v>
      </c>
      <c r="AB19" s="1308">
        <f t="shared" si="4"/>
        <v>1</v>
      </c>
      <c r="AC19" s="1308">
        <f t="shared" si="5"/>
        <v>1</v>
      </c>
    </row>
    <row r="20" spans="1:29" ht="15">
      <c r="A20" s="482"/>
      <c r="B20" s="544"/>
      <c r="C20" s="526"/>
      <c r="D20" s="505"/>
      <c r="E20" s="506"/>
      <c r="F20" s="507"/>
      <c r="G20" s="508"/>
      <c r="H20" s="505"/>
      <c r="I20" s="506"/>
      <c r="J20" s="505"/>
      <c r="K20" s="823"/>
      <c r="L20" s="1748"/>
      <c r="M20" s="1741"/>
      <c r="N20" s="1741"/>
      <c r="O20" s="1747"/>
      <c r="P20" s="3630"/>
      <c r="Q20" s="1305"/>
      <c r="R20" s="1306"/>
      <c r="S20" s="1307"/>
      <c r="T20" s="1306"/>
      <c r="U20" s="1307"/>
      <c r="V20" s="1306"/>
      <c r="W20" s="1307"/>
      <c r="X20" s="1301"/>
      <c r="Y20" s="3630"/>
      <c r="Z20" s="1308"/>
      <c r="AA20" s="1308">
        <v>1</v>
      </c>
      <c r="AB20" s="1308">
        <v>1</v>
      </c>
      <c r="AC20" s="1308">
        <v>1</v>
      </c>
    </row>
    <row r="21" spans="1:29" ht="41.4">
      <c r="A21" s="482"/>
      <c r="B21" s="2051"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2"/>
      <c r="L21" s="1748"/>
      <c r="M21" s="1741"/>
      <c r="N21" s="1741"/>
      <c r="O21" s="1747"/>
      <c r="P21" s="3630"/>
      <c r="Q21" s="1305" t="str">
        <f>B21</f>
        <v>基础设施水平</v>
      </c>
      <c r="R21" s="1306" t="s">
        <v>5</v>
      </c>
      <c r="S21" s="1307">
        <f>F21</f>
        <v>100</v>
      </c>
      <c r="T21" s="1306" t="s">
        <v>5</v>
      </c>
      <c r="U21" s="1307">
        <f>H21</f>
        <v>100</v>
      </c>
      <c r="V21" s="1306" t="s">
        <v>5</v>
      </c>
      <c r="W21" s="1307">
        <f>J21</f>
        <v>100</v>
      </c>
      <c r="X21" s="1301"/>
      <c r="Y21" s="3630"/>
      <c r="Z21" s="1308" t="str">
        <f>Q21</f>
        <v>基础设施水平</v>
      </c>
      <c r="AA21" s="1308">
        <f>D21/F21</f>
        <v>1</v>
      </c>
      <c r="AB21" s="1308">
        <f>D21/H21</f>
        <v>1</v>
      </c>
      <c r="AC21" s="1308">
        <f>D21/J21</f>
        <v>1</v>
      </c>
    </row>
    <row r="22" spans="1:29" ht="15">
      <c r="A22" s="482"/>
      <c r="B22" s="844"/>
      <c r="C22" s="802"/>
      <c r="D22" s="505"/>
      <c r="E22" s="526"/>
      <c r="F22" s="507"/>
      <c r="G22" s="526"/>
      <c r="H22" s="505"/>
      <c r="I22" s="526"/>
      <c r="J22" s="505"/>
      <c r="K22" s="2060"/>
      <c r="L22" s="1748"/>
      <c r="M22" s="1741"/>
      <c r="N22" s="1741"/>
      <c r="O22" s="1747"/>
      <c r="P22" s="3630"/>
      <c r="Q22" s="1305"/>
      <c r="R22" s="1306"/>
      <c r="S22" s="1307"/>
      <c r="T22" s="1306"/>
      <c r="U22" s="1307"/>
      <c r="V22" s="1306"/>
      <c r="W22" s="1307"/>
      <c r="X22" s="1301"/>
      <c r="Y22" s="3630"/>
      <c r="Z22" s="1308"/>
      <c r="AA22" s="1308">
        <v>1</v>
      </c>
      <c r="AB22" s="1308">
        <v>1</v>
      </c>
      <c r="AC22" s="1308">
        <v>1</v>
      </c>
    </row>
    <row r="23" spans="1:29" ht="55.2">
      <c r="A23" s="482"/>
      <c r="B23" s="677" t="s">
        <v>263</v>
      </c>
      <c r="C23" s="824"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2"/>
      <c r="L23" s="1748"/>
      <c r="M23" s="1741"/>
      <c r="N23" s="1741"/>
      <c r="O23" s="1747"/>
      <c r="P23" s="3630"/>
      <c r="Q23" s="1305" t="str">
        <f>B23</f>
        <v>自然及人文环境</v>
      </c>
      <c r="R23" s="1306" t="s">
        <v>5</v>
      </c>
      <c r="S23" s="1307">
        <f>F23</f>
        <v>100</v>
      </c>
      <c r="T23" s="1306" t="s">
        <v>5</v>
      </c>
      <c r="U23" s="1307">
        <f>H23</f>
        <v>100</v>
      </c>
      <c r="V23" s="1306" t="s">
        <v>5</v>
      </c>
      <c r="W23" s="1307">
        <f>J23</f>
        <v>100</v>
      </c>
      <c r="X23" s="1301"/>
      <c r="Y23" s="3630"/>
      <c r="Z23" s="1308" t="str">
        <f>Q23</f>
        <v>自然及人文环境</v>
      </c>
      <c r="AA23" s="1308">
        <f t="shared" si="3"/>
        <v>1</v>
      </c>
      <c r="AB23" s="1308">
        <f t="shared" si="4"/>
        <v>1</v>
      </c>
      <c r="AC23" s="1308">
        <f t="shared" si="5"/>
        <v>1</v>
      </c>
    </row>
    <row r="24" spans="1:29" ht="15">
      <c r="A24" s="482"/>
      <c r="B24" s="544"/>
      <c r="C24" s="526"/>
      <c r="D24" s="505"/>
      <c r="E24" s="506"/>
      <c r="F24" s="507"/>
      <c r="G24" s="508"/>
      <c r="H24" s="505"/>
      <c r="I24" s="506"/>
      <c r="J24" s="505"/>
      <c r="K24" s="823"/>
      <c r="L24" s="1748"/>
      <c r="M24" s="1741"/>
      <c r="N24" s="1741"/>
      <c r="O24" s="1747"/>
      <c r="P24" s="3630"/>
      <c r="Q24" s="1305"/>
      <c r="R24" s="1306"/>
      <c r="S24" s="1307"/>
      <c r="T24" s="1306"/>
      <c r="U24" s="1307"/>
      <c r="V24" s="1306"/>
      <c r="W24" s="1307"/>
      <c r="X24" s="1301"/>
      <c r="Y24" s="3630"/>
      <c r="Z24" s="1308"/>
      <c r="AA24" s="1308">
        <v>1</v>
      </c>
      <c r="AB24" s="1308">
        <v>1</v>
      </c>
      <c r="AC24" s="1308">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8"/>
      <c r="M25" s="1741"/>
      <c r="N25" s="1741"/>
      <c r="O25" s="1747"/>
      <c r="P25" s="3630"/>
      <c r="Q25" s="1305" t="str">
        <f t="shared" ref="Q25:Q46" si="8">B25</f>
        <v>临街状况</v>
      </c>
      <c r="R25" s="1306" t="s">
        <v>5</v>
      </c>
      <c r="S25" s="1307">
        <f>F25</f>
        <v>100</v>
      </c>
      <c r="T25" s="1306" t="s">
        <v>5</v>
      </c>
      <c r="U25" s="1307">
        <f>H25</f>
        <v>100</v>
      </c>
      <c r="V25" s="1306" t="s">
        <v>5</v>
      </c>
      <c r="W25" s="1307">
        <f>J25</f>
        <v>100</v>
      </c>
      <c r="X25" s="1301"/>
      <c r="Y25" s="3630"/>
      <c r="Z25" s="1308" t="str">
        <f>Q25</f>
        <v>临街状况</v>
      </c>
      <c r="AA25" s="1308">
        <f t="shared" si="3"/>
        <v>1</v>
      </c>
      <c r="AB25" s="1308">
        <f t="shared" si="4"/>
        <v>1</v>
      </c>
      <c r="AC25" s="1308">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8"/>
      <c r="M26" s="1741"/>
      <c r="N26" s="1741"/>
      <c r="O26" s="1747"/>
      <c r="P26" s="3630"/>
      <c r="Q26" s="1305" t="str">
        <f t="shared" si="8"/>
        <v>平面位置/可视性</v>
      </c>
      <c r="R26" s="1306" t="s">
        <v>5</v>
      </c>
      <c r="S26" s="1307">
        <f>F26</f>
        <v>100</v>
      </c>
      <c r="T26" s="1306" t="s">
        <v>5</v>
      </c>
      <c r="U26" s="1307">
        <f>H26</f>
        <v>100</v>
      </c>
      <c r="V26" s="1306" t="s">
        <v>5</v>
      </c>
      <c r="W26" s="1307">
        <f>J26</f>
        <v>100</v>
      </c>
      <c r="X26" s="1301"/>
      <c r="Y26" s="3630"/>
      <c r="Z26" s="1308" t="str">
        <f>Q26</f>
        <v>平面位置/可视性</v>
      </c>
      <c r="AA26" s="1308">
        <f t="shared" si="3"/>
        <v>1</v>
      </c>
      <c r="AB26" s="1308">
        <f t="shared" si="4"/>
        <v>1</v>
      </c>
      <c r="AC26" s="1308">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2"/>
      <c r="M27" s="1639"/>
      <c r="N27" s="1639"/>
      <c r="O27" s="1743"/>
      <c r="P27" s="3630"/>
      <c r="Q27" s="818" t="str">
        <f t="shared" si="8"/>
        <v>人流量</v>
      </c>
      <c r="R27" s="1302" t="s">
        <v>5</v>
      </c>
      <c r="S27" s="1303">
        <f>F27</f>
        <v>100</v>
      </c>
      <c r="T27" s="1302" t="s">
        <v>5</v>
      </c>
      <c r="U27" s="1303">
        <f>H27</f>
        <v>100</v>
      </c>
      <c r="V27" s="1302" t="s">
        <v>5</v>
      </c>
      <c r="W27" s="1303">
        <f>J27</f>
        <v>100</v>
      </c>
      <c r="X27" s="1304"/>
      <c r="Y27" s="3630"/>
      <c r="Z27" s="997" t="str">
        <f>Q27</f>
        <v>人流量</v>
      </c>
      <c r="AA27" s="1308">
        <f>D27/F27</f>
        <v>1</v>
      </c>
      <c r="AB27" s="1308">
        <f>D27/H27</f>
        <v>1</v>
      </c>
      <c r="AC27" s="1308">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8"/>
      <c r="M28" s="1741"/>
      <c r="N28" s="1741"/>
      <c r="O28" s="1747"/>
      <c r="P28" s="3630"/>
      <c r="Q28" s="1305" t="str">
        <f t="shared" si="8"/>
        <v>楼层</v>
      </c>
      <c r="R28" s="1306" t="s">
        <v>5</v>
      </c>
      <c r="S28" s="1307">
        <f t="shared" ref="S28:S46" si="9">F28</f>
        <v>100</v>
      </c>
      <c r="T28" s="1306" t="s">
        <v>5</v>
      </c>
      <c r="U28" s="1307">
        <f t="shared" ref="U28:U46" si="10">H28</f>
        <v>100</v>
      </c>
      <c r="V28" s="1306" t="s">
        <v>5</v>
      </c>
      <c r="W28" s="1307">
        <f t="shared" ref="W28:W46" si="11">J28</f>
        <v>100</v>
      </c>
      <c r="X28" s="1301"/>
      <c r="Y28" s="3630"/>
      <c r="Z28" s="1308" t="str">
        <f t="shared" ref="Z28:Z46" si="12">Q28</f>
        <v>楼层</v>
      </c>
      <c r="AA28" s="1308">
        <f t="shared" si="3"/>
        <v>1</v>
      </c>
      <c r="AB28" s="1308">
        <f t="shared" si="4"/>
        <v>1</v>
      </c>
      <c r="AC28" s="1308">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8"/>
      <c r="M29" s="1741"/>
      <c r="N29" s="1741"/>
      <c r="O29" s="1747"/>
      <c r="P29" s="3630"/>
      <c r="Q29" s="1305">
        <f t="shared" si="8"/>
        <v>111</v>
      </c>
      <c r="R29" s="1306" t="s">
        <v>5</v>
      </c>
      <c r="S29" s="1307">
        <f t="shared" si="9"/>
        <v>100</v>
      </c>
      <c r="T29" s="1306" t="s">
        <v>5</v>
      </c>
      <c r="U29" s="1307">
        <f t="shared" si="10"/>
        <v>100</v>
      </c>
      <c r="V29" s="1306" t="s">
        <v>5</v>
      </c>
      <c r="W29" s="1307">
        <f t="shared" si="11"/>
        <v>100</v>
      </c>
      <c r="X29" s="1301"/>
      <c r="Y29" s="3630"/>
      <c r="Z29" s="1308">
        <f t="shared" si="12"/>
        <v>111</v>
      </c>
      <c r="AA29" s="1308">
        <f t="shared" si="3"/>
        <v>1</v>
      </c>
      <c r="AB29" s="1308">
        <f t="shared" si="4"/>
        <v>1</v>
      </c>
      <c r="AC29" s="1308">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8"/>
      <c r="M30" s="1741"/>
      <c r="N30" s="1741"/>
      <c r="O30" s="1747"/>
      <c r="P30" s="3630"/>
      <c r="Q30" s="1305">
        <f t="shared" si="8"/>
        <v>111</v>
      </c>
      <c r="R30" s="1306" t="s">
        <v>5</v>
      </c>
      <c r="S30" s="1307">
        <f t="shared" si="9"/>
        <v>100</v>
      </c>
      <c r="T30" s="1306" t="s">
        <v>5</v>
      </c>
      <c r="U30" s="1307">
        <f t="shared" si="10"/>
        <v>100</v>
      </c>
      <c r="V30" s="1306" t="s">
        <v>5</v>
      </c>
      <c r="W30" s="1307">
        <f t="shared" si="11"/>
        <v>100</v>
      </c>
      <c r="X30" s="1301"/>
      <c r="Y30" s="3630"/>
      <c r="Z30" s="1308">
        <f t="shared" si="12"/>
        <v>111</v>
      </c>
      <c r="AA30" s="1308">
        <f t="shared" si="3"/>
        <v>1</v>
      </c>
      <c r="AB30" s="1308">
        <f t="shared" si="4"/>
        <v>1</v>
      </c>
      <c r="AC30" s="1308">
        <f t="shared" si="5"/>
        <v>1</v>
      </c>
    </row>
    <row r="31" spans="1:29" ht="15.6"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8"/>
      <c r="M31" s="1741"/>
      <c r="N31" s="1741"/>
      <c r="O31" s="1747"/>
      <c r="P31" s="3630"/>
      <c r="Q31" s="1305">
        <f t="shared" si="8"/>
        <v>111</v>
      </c>
      <c r="R31" s="1306" t="s">
        <v>5</v>
      </c>
      <c r="S31" s="1307">
        <f t="shared" si="9"/>
        <v>100</v>
      </c>
      <c r="T31" s="1306" t="s">
        <v>5</v>
      </c>
      <c r="U31" s="1307">
        <f t="shared" si="10"/>
        <v>100</v>
      </c>
      <c r="V31" s="1306" t="s">
        <v>5</v>
      </c>
      <c r="W31" s="1307">
        <f t="shared" si="11"/>
        <v>100</v>
      </c>
      <c r="X31" s="1301"/>
      <c r="Y31" s="3630"/>
      <c r="Z31" s="1308">
        <f t="shared" si="12"/>
        <v>111</v>
      </c>
      <c r="AA31" s="1308">
        <f t="shared" si="3"/>
        <v>1</v>
      </c>
      <c r="AB31" s="1308">
        <f t="shared" si="4"/>
        <v>1</v>
      </c>
      <c r="AC31" s="1308">
        <f t="shared" si="5"/>
        <v>1</v>
      </c>
    </row>
    <row r="32" spans="1:29" ht="15">
      <c r="A32" s="2203"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8"/>
      <c r="M32" s="1741"/>
      <c r="N32" s="1741"/>
      <c r="O32" s="1747"/>
      <c r="P32" s="3631" t="s">
        <v>499</v>
      </c>
      <c r="Q32" s="1305" t="str">
        <f t="shared" si="8"/>
        <v>商业类型</v>
      </c>
      <c r="R32" s="1306" t="s">
        <v>5</v>
      </c>
      <c r="S32" s="1307">
        <f t="shared" si="9"/>
        <v>100</v>
      </c>
      <c r="T32" s="1306" t="s">
        <v>5</v>
      </c>
      <c r="U32" s="1307">
        <f t="shared" si="10"/>
        <v>100</v>
      </c>
      <c r="V32" s="1306" t="s">
        <v>5</v>
      </c>
      <c r="W32" s="1307">
        <f t="shared" si="11"/>
        <v>100</v>
      </c>
      <c r="X32" s="1301"/>
      <c r="Y32" s="3632" t="s">
        <v>499</v>
      </c>
      <c r="Z32" s="1308" t="str">
        <f t="shared" si="12"/>
        <v>商业类型</v>
      </c>
      <c r="AA32" s="1308">
        <f t="shared" si="3"/>
        <v>1</v>
      </c>
      <c r="AB32" s="1308">
        <f t="shared" si="4"/>
        <v>1</v>
      </c>
      <c r="AC32" s="1308">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6"/>
      <c r="M33" s="1770"/>
      <c r="N33" s="1770"/>
      <c r="O33" s="1749"/>
      <c r="P33" s="3632"/>
      <c r="Q33" s="819" t="str">
        <f t="shared" si="8"/>
        <v>项目建筑规模</v>
      </c>
      <c r="R33" s="1309" t="s">
        <v>5</v>
      </c>
      <c r="S33" s="1310" t="e">
        <f t="shared" si="9"/>
        <v>#N/A</v>
      </c>
      <c r="T33" s="1309" t="s">
        <v>5</v>
      </c>
      <c r="U33" s="1310" t="e">
        <f t="shared" si="10"/>
        <v>#N/A</v>
      </c>
      <c r="V33" s="1309" t="s">
        <v>5</v>
      </c>
      <c r="W33" s="1310" t="e">
        <f t="shared" si="11"/>
        <v>#N/A</v>
      </c>
      <c r="X33" s="1311"/>
      <c r="Y33" s="3632"/>
      <c r="Z33" s="1312" t="str">
        <f t="shared" si="12"/>
        <v>项目建筑规模</v>
      </c>
      <c r="AA33" s="1308" t="e">
        <f t="shared" si="3"/>
        <v>#N/A</v>
      </c>
      <c r="AB33" s="1308" t="e">
        <f t="shared" si="4"/>
        <v>#N/A</v>
      </c>
      <c r="AC33" s="1308"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8"/>
      <c r="M34" s="1741"/>
      <c r="N34" s="1741"/>
      <c r="O34" s="1747"/>
      <c r="P34" s="3632"/>
      <c r="Q34" s="1305" t="str">
        <f t="shared" si="8"/>
        <v>建筑结构</v>
      </c>
      <c r="R34" s="1306" t="s">
        <v>5</v>
      </c>
      <c r="S34" s="1307">
        <f t="shared" si="9"/>
        <v>100</v>
      </c>
      <c r="T34" s="1306" t="s">
        <v>5</v>
      </c>
      <c r="U34" s="1307">
        <f t="shared" si="10"/>
        <v>100</v>
      </c>
      <c r="V34" s="1306" t="s">
        <v>5</v>
      </c>
      <c r="W34" s="1307">
        <f t="shared" si="11"/>
        <v>100</v>
      </c>
      <c r="X34" s="1301"/>
      <c r="Y34" s="3632"/>
      <c r="Z34" s="1308" t="str">
        <f t="shared" si="12"/>
        <v>建筑结构</v>
      </c>
      <c r="AA34" s="1308">
        <f t="shared" si="3"/>
        <v>1</v>
      </c>
      <c r="AB34" s="1308">
        <f t="shared" si="4"/>
        <v>1</v>
      </c>
      <c r="AC34" s="1308">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8"/>
      <c r="M35" s="1741"/>
      <c r="N35" s="1741"/>
      <c r="O35" s="1747"/>
      <c r="P35" s="3632"/>
      <c r="Q35" s="1305" t="str">
        <f t="shared" si="8"/>
        <v>公共部分装修</v>
      </c>
      <c r="R35" s="1306" t="s">
        <v>5</v>
      </c>
      <c r="S35" s="1307">
        <f t="shared" si="9"/>
        <v>100</v>
      </c>
      <c r="T35" s="1306" t="s">
        <v>5</v>
      </c>
      <c r="U35" s="1307">
        <f t="shared" si="10"/>
        <v>100</v>
      </c>
      <c r="V35" s="1306" t="s">
        <v>5</v>
      </c>
      <c r="W35" s="1307">
        <f t="shared" si="11"/>
        <v>100</v>
      </c>
      <c r="X35" s="1301"/>
      <c r="Y35" s="3632"/>
      <c r="Z35" s="1308" t="str">
        <f t="shared" si="12"/>
        <v>公共部分装修</v>
      </c>
      <c r="AA35" s="1308">
        <f t="shared" si="3"/>
        <v>1</v>
      </c>
      <c r="AB35" s="1308">
        <f t="shared" si="4"/>
        <v>1</v>
      </c>
      <c r="AC35" s="1308">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8"/>
      <c r="M36" s="1741"/>
      <c r="N36" s="1741"/>
      <c r="O36" s="1747"/>
      <c r="P36" s="3632"/>
      <c r="Q36" s="1305" t="str">
        <f t="shared" si="8"/>
        <v>成新度</v>
      </c>
      <c r="R36" s="1306" t="s">
        <v>5</v>
      </c>
      <c r="S36" s="1307" t="e">
        <f t="shared" si="9"/>
        <v>#N/A</v>
      </c>
      <c r="T36" s="1306" t="s">
        <v>5</v>
      </c>
      <c r="U36" s="1307" t="e">
        <f t="shared" si="10"/>
        <v>#N/A</v>
      </c>
      <c r="V36" s="1306" t="s">
        <v>5</v>
      </c>
      <c r="W36" s="1307" t="e">
        <f t="shared" si="11"/>
        <v>#N/A</v>
      </c>
      <c r="X36" s="1301"/>
      <c r="Y36" s="3632"/>
      <c r="Z36" s="1308" t="str">
        <f t="shared" si="12"/>
        <v>成新度</v>
      </c>
      <c r="AA36" s="1308" t="e">
        <f t="shared" si="3"/>
        <v>#N/A</v>
      </c>
      <c r="AB36" s="1308" t="e">
        <f t="shared" si="4"/>
        <v>#N/A</v>
      </c>
      <c r="AC36" s="1308" t="e">
        <f t="shared" si="5"/>
        <v>#N/A</v>
      </c>
    </row>
    <row r="37" spans="1:29" s="1060" customFormat="1" ht="15">
      <c r="A37" s="549"/>
      <c r="B37" s="1553"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2"/>
      <c r="M37" s="1639"/>
      <c r="N37" s="1639"/>
      <c r="O37" s="1743"/>
      <c r="P37" s="3632"/>
      <c r="Q37" s="818" t="str">
        <f t="shared" si="8"/>
        <v>市政基础设施</v>
      </c>
      <c r="R37" s="1302" t="s">
        <v>5</v>
      </c>
      <c r="S37" s="1303">
        <f t="shared" si="9"/>
        <v>100</v>
      </c>
      <c r="T37" s="1302" t="s">
        <v>5</v>
      </c>
      <c r="U37" s="1303">
        <f t="shared" si="10"/>
        <v>100</v>
      </c>
      <c r="V37" s="1302" t="s">
        <v>5</v>
      </c>
      <c r="W37" s="1303">
        <f t="shared" si="11"/>
        <v>100</v>
      </c>
      <c r="X37" s="1304"/>
      <c r="Y37" s="3632"/>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8"/>
      <c r="M38" s="1741"/>
      <c r="N38" s="1741"/>
      <c r="O38" s="1747"/>
      <c r="P38" s="3632" t="s">
        <v>706</v>
      </c>
      <c r="Q38" s="1305" t="str">
        <f t="shared" si="8"/>
        <v>业态</v>
      </c>
      <c r="R38" s="1306" t="s">
        <v>5</v>
      </c>
      <c r="S38" s="1307">
        <f t="shared" si="9"/>
        <v>100</v>
      </c>
      <c r="T38" s="1306" t="s">
        <v>5</v>
      </c>
      <c r="U38" s="1307">
        <f t="shared" si="10"/>
        <v>100</v>
      </c>
      <c r="V38" s="1306" t="s">
        <v>5</v>
      </c>
      <c r="W38" s="1307">
        <f t="shared" si="11"/>
        <v>100</v>
      </c>
      <c r="X38" s="1301"/>
      <c r="Y38" s="3632" t="s">
        <v>706</v>
      </c>
      <c r="Z38" s="1308" t="str">
        <f t="shared" si="12"/>
        <v>业态</v>
      </c>
      <c r="AA38" s="1308">
        <f t="shared" si="3"/>
        <v>1</v>
      </c>
      <c r="AB38" s="1308">
        <f t="shared" si="4"/>
        <v>1</v>
      </c>
      <c r="AC38" s="1308">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8"/>
      <c r="M39" s="1741"/>
      <c r="N39" s="1741"/>
      <c r="O39" s="1747"/>
      <c r="P39" s="3632"/>
      <c r="Q39" s="1305" t="str">
        <f t="shared" si="8"/>
        <v>层高</v>
      </c>
      <c r="R39" s="1306" t="s">
        <v>5</v>
      </c>
      <c r="S39" s="1307">
        <f t="shared" si="9"/>
        <v>100</v>
      </c>
      <c r="T39" s="1306" t="s">
        <v>5</v>
      </c>
      <c r="U39" s="1307">
        <f t="shared" si="10"/>
        <v>100</v>
      </c>
      <c r="V39" s="1306" t="s">
        <v>5</v>
      </c>
      <c r="W39" s="1307">
        <f t="shared" si="11"/>
        <v>100</v>
      </c>
      <c r="X39" s="1301"/>
      <c r="Y39" s="3632"/>
      <c r="Z39" s="1308" t="str">
        <f t="shared" si="12"/>
        <v>层高</v>
      </c>
      <c r="AA39" s="1308">
        <f t="shared" si="3"/>
        <v>1</v>
      </c>
      <c r="AB39" s="1308">
        <f t="shared" si="4"/>
        <v>1</v>
      </c>
      <c r="AC39" s="1308">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8"/>
      <c r="M40" s="1741"/>
      <c r="N40" s="1741"/>
      <c r="O40" s="1747"/>
      <c r="P40" s="3632"/>
      <c r="Q40" s="1305" t="str">
        <f t="shared" si="8"/>
        <v>单套建筑面积</v>
      </c>
      <c r="R40" s="1306" t="s">
        <v>5</v>
      </c>
      <c r="S40" s="1307">
        <f t="shared" si="9"/>
        <v>100</v>
      </c>
      <c r="T40" s="1306" t="s">
        <v>5</v>
      </c>
      <c r="U40" s="1307">
        <f t="shared" si="10"/>
        <v>100</v>
      </c>
      <c r="V40" s="1306" t="s">
        <v>5</v>
      </c>
      <c r="W40" s="1307">
        <f t="shared" si="11"/>
        <v>100</v>
      </c>
      <c r="X40" s="1301"/>
      <c r="Y40" s="3632"/>
      <c r="Z40" s="1308" t="str">
        <f t="shared" si="12"/>
        <v>单套建筑面积</v>
      </c>
      <c r="AA40" s="1308">
        <f t="shared" si="3"/>
        <v>1</v>
      </c>
      <c r="AB40" s="1308">
        <f t="shared" si="4"/>
        <v>1</v>
      </c>
      <c r="AC40" s="1308">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6"/>
      <c r="M41" s="1770"/>
      <c r="N41" s="1770"/>
      <c r="O41" s="1749"/>
      <c r="P41" s="3632"/>
      <c r="Q41" s="819" t="str">
        <f t="shared" si="8"/>
        <v>进深比</v>
      </c>
      <c r="R41" s="1309" t="s">
        <v>5</v>
      </c>
      <c r="S41" s="1310">
        <f t="shared" si="9"/>
        <v>100</v>
      </c>
      <c r="T41" s="1309" t="s">
        <v>5</v>
      </c>
      <c r="U41" s="1310">
        <f t="shared" si="10"/>
        <v>100</v>
      </c>
      <c r="V41" s="1309" t="s">
        <v>5</v>
      </c>
      <c r="W41" s="1310">
        <f t="shared" si="11"/>
        <v>100</v>
      </c>
      <c r="X41" s="1311"/>
      <c r="Y41" s="3632"/>
      <c r="Z41" s="1312" t="str">
        <f t="shared" si="12"/>
        <v>进深比</v>
      </c>
      <c r="AA41" s="1308">
        <f t="shared" si="3"/>
        <v>1</v>
      </c>
      <c r="AB41" s="1308">
        <f t="shared" si="4"/>
        <v>1</v>
      </c>
      <c r="AC41" s="1308">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8"/>
      <c r="M42" s="1741"/>
      <c r="N42" s="1741"/>
      <c r="O42" s="1747"/>
      <c r="P42" s="3632"/>
      <c r="Q42" s="1305" t="str">
        <f t="shared" si="8"/>
        <v>内部装修</v>
      </c>
      <c r="R42" s="1306" t="s">
        <v>5</v>
      </c>
      <c r="S42" s="1307">
        <f t="shared" si="9"/>
        <v>100</v>
      </c>
      <c r="T42" s="1306" t="s">
        <v>5</v>
      </c>
      <c r="U42" s="1307">
        <f t="shared" si="10"/>
        <v>100</v>
      </c>
      <c r="V42" s="1306" t="s">
        <v>5</v>
      </c>
      <c r="W42" s="1307">
        <f t="shared" si="11"/>
        <v>100</v>
      </c>
      <c r="X42" s="1301"/>
      <c r="Y42" s="3632"/>
      <c r="Z42" s="1308" t="str">
        <f t="shared" si="12"/>
        <v>内部装修</v>
      </c>
      <c r="AA42" s="1308">
        <f t="shared" si="3"/>
        <v>1</v>
      </c>
      <c r="AB42" s="1308">
        <f t="shared" si="4"/>
        <v>1</v>
      </c>
      <c r="AC42" s="1308">
        <f t="shared" si="5"/>
        <v>1</v>
      </c>
    </row>
    <row r="43" spans="1:29" ht="28.8">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8"/>
      <c r="M43" s="1741"/>
      <c r="N43" s="1741"/>
      <c r="O43" s="1747"/>
      <c r="P43" s="3632"/>
      <c r="Q43" s="1305" t="str">
        <f t="shared" si="8"/>
        <v>内部装修维护情况</v>
      </c>
      <c r="R43" s="1306" t="s">
        <v>5</v>
      </c>
      <c r="S43" s="1307">
        <f t="shared" si="9"/>
        <v>100</v>
      </c>
      <c r="T43" s="1306" t="s">
        <v>5</v>
      </c>
      <c r="U43" s="1307">
        <f t="shared" si="10"/>
        <v>100</v>
      </c>
      <c r="V43" s="1306" t="s">
        <v>5</v>
      </c>
      <c r="W43" s="1307">
        <f t="shared" si="11"/>
        <v>100</v>
      </c>
      <c r="X43" s="1301"/>
      <c r="Y43" s="3632"/>
      <c r="Z43" s="1308" t="str">
        <f t="shared" si="12"/>
        <v>内部装修维护情况</v>
      </c>
      <c r="AA43" s="1308">
        <f t="shared" si="3"/>
        <v>1</v>
      </c>
      <c r="AB43" s="1308">
        <f t="shared" si="4"/>
        <v>1</v>
      </c>
      <c r="AC43" s="1308">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2"/>
      <c r="M44" s="1639"/>
      <c r="N44" s="1639"/>
      <c r="O44" s="1743"/>
      <c r="P44" s="3632"/>
      <c r="Q44" s="818">
        <f t="shared" si="8"/>
        <v>111</v>
      </c>
      <c r="R44" s="1302" t="s">
        <v>5</v>
      </c>
      <c r="S44" s="1303">
        <f t="shared" si="9"/>
        <v>100</v>
      </c>
      <c r="T44" s="1302" t="s">
        <v>5</v>
      </c>
      <c r="U44" s="1303">
        <f t="shared" si="10"/>
        <v>100</v>
      </c>
      <c r="V44" s="1302" t="s">
        <v>5</v>
      </c>
      <c r="W44" s="1303">
        <f t="shared" si="11"/>
        <v>100</v>
      </c>
      <c r="X44" s="1304"/>
      <c r="Y44" s="3632"/>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8"/>
      <c r="M45" s="1741"/>
      <c r="N45" s="1741"/>
      <c r="O45" s="1747"/>
      <c r="P45" s="3632"/>
      <c r="Q45" s="1305">
        <f t="shared" si="8"/>
        <v>111</v>
      </c>
      <c r="R45" s="1306" t="s">
        <v>5</v>
      </c>
      <c r="S45" s="1307">
        <f t="shared" si="9"/>
        <v>100</v>
      </c>
      <c r="T45" s="1306" t="s">
        <v>5</v>
      </c>
      <c r="U45" s="1307">
        <f t="shared" si="10"/>
        <v>100</v>
      </c>
      <c r="V45" s="1306" t="s">
        <v>5</v>
      </c>
      <c r="W45" s="1307">
        <f t="shared" si="11"/>
        <v>100</v>
      </c>
      <c r="X45" s="1301"/>
      <c r="Y45" s="3632"/>
      <c r="Z45" s="1308">
        <f t="shared" si="12"/>
        <v>111</v>
      </c>
      <c r="AA45" s="1308">
        <f t="shared" si="3"/>
        <v>1</v>
      </c>
      <c r="AB45" s="1308">
        <f t="shared" si="4"/>
        <v>1</v>
      </c>
      <c r="AC45" s="1308">
        <f t="shared" si="5"/>
        <v>1</v>
      </c>
    </row>
    <row r="46" spans="1:29" ht="15.6"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8"/>
      <c r="M46" s="1741"/>
      <c r="N46" s="1741"/>
      <c r="O46" s="1747"/>
      <c r="P46" s="3741"/>
      <c r="Q46" s="1305">
        <f t="shared" si="8"/>
        <v>111</v>
      </c>
      <c r="R46" s="1306" t="s">
        <v>5</v>
      </c>
      <c r="S46" s="1307">
        <f t="shared" si="9"/>
        <v>100</v>
      </c>
      <c r="T46" s="1306" t="s">
        <v>5</v>
      </c>
      <c r="U46" s="1307">
        <f t="shared" si="10"/>
        <v>100</v>
      </c>
      <c r="V46" s="1306" t="s">
        <v>5</v>
      </c>
      <c r="W46" s="1307">
        <f t="shared" si="11"/>
        <v>100</v>
      </c>
      <c r="X46" s="1301"/>
      <c r="Y46" s="3741"/>
      <c r="Z46" s="1308">
        <f t="shared" si="12"/>
        <v>111</v>
      </c>
      <c r="AA46" s="1308">
        <f t="shared" si="3"/>
        <v>1</v>
      </c>
      <c r="AB46" s="1308">
        <f t="shared" si="4"/>
        <v>1</v>
      </c>
      <c r="AC46" s="1308">
        <f t="shared" si="5"/>
        <v>1</v>
      </c>
    </row>
    <row r="47" spans="1:29" ht="14.4">
      <c r="A47" s="556" t="s">
        <v>683</v>
      </c>
      <c r="B47" s="812"/>
      <c r="C47" s="2080" t="s">
        <v>0</v>
      </c>
      <c r="D47" s="559"/>
      <c r="E47" s="560"/>
      <c r="F47" s="561"/>
      <c r="G47" s="562"/>
      <c r="H47" s="563"/>
      <c r="I47" s="560"/>
      <c r="J47" s="563"/>
      <c r="K47" s="1334"/>
      <c r="L47" s="1750"/>
      <c r="M47" s="1741"/>
      <c r="N47" s="1741"/>
      <c r="O47" s="1741"/>
      <c r="P47" s="3627" t="str">
        <f>A47</f>
        <v>成交单价（元/平方米）</v>
      </c>
      <c r="Q47" s="3627"/>
      <c r="R47" s="3643">
        <f>E47</f>
        <v>0</v>
      </c>
      <c r="S47" s="3643"/>
      <c r="T47" s="3643">
        <f>G47</f>
        <v>0</v>
      </c>
      <c r="U47" s="3643"/>
      <c r="V47" s="3643">
        <f>I47</f>
        <v>0</v>
      </c>
      <c r="W47" s="3643"/>
      <c r="X47" s="799"/>
      <c r="Y47" s="1313"/>
      <c r="Z47" s="799"/>
      <c r="AA47" s="799"/>
      <c r="AB47" s="799"/>
      <c r="AC47" s="799"/>
    </row>
    <row r="48" spans="1:29" ht="15" thickBot="1">
      <c r="A48" s="564" t="s">
        <v>2042</v>
      </c>
      <c r="B48" s="813"/>
      <c r="C48" s="2081" t="e">
        <f>R49</f>
        <v>#DIV/0!</v>
      </c>
      <c r="D48" s="2549" t="s">
        <v>2261</v>
      </c>
      <c r="E48" s="2082" t="e">
        <f>R48</f>
        <v>#DIV/0!</v>
      </c>
      <c r="F48" s="2550"/>
      <c r="G48" s="2081" t="e">
        <f>T48</f>
        <v>#DIV/0!</v>
      </c>
      <c r="H48" s="2550"/>
      <c r="I48" s="2082" t="e">
        <f>V48</f>
        <v>#DIV/0!</v>
      </c>
      <c r="J48" s="2550"/>
      <c r="K48" s="2557">
        <f>F48+H48+J48</f>
        <v>0</v>
      </c>
      <c r="L48" s="1750"/>
      <c r="M48" s="1741"/>
      <c r="N48" s="1741"/>
      <c r="O48" s="1741"/>
      <c r="P48" s="3627" t="str">
        <f>A48</f>
        <v>比较价格（元/平方米）</v>
      </c>
      <c r="Q48" s="3627"/>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799"/>
      <c r="Y48" s="799"/>
      <c r="Z48" s="799"/>
      <c r="AA48" s="799"/>
      <c r="AB48" s="799"/>
      <c r="AC48" s="799"/>
    </row>
    <row r="49" spans="1:29" ht="15" thickBot="1">
      <c r="A49" s="568" t="s">
        <v>2198</v>
      </c>
      <c r="B49" s="569"/>
      <c r="C49" s="469" t="e">
        <f>R49</f>
        <v>#DIV/0!</v>
      </c>
      <c r="D49" s="469"/>
      <c r="E49" s="469"/>
      <c r="F49" s="469"/>
      <c r="G49" s="469"/>
      <c r="H49" s="469"/>
      <c r="I49" s="469"/>
      <c r="J49" s="469"/>
      <c r="K49" s="1335"/>
      <c r="L49" s="1750"/>
      <c r="M49" s="1741"/>
      <c r="N49" s="1741"/>
      <c r="O49" s="1741"/>
      <c r="P49" s="3633" t="str">
        <f>A49</f>
        <v>估价对象XX用房的比较价格（楼面单价，元/平方米）</v>
      </c>
      <c r="Q49" s="3634"/>
      <c r="R49" s="3740" t="e">
        <f>IF(F1="售价",ROUND(IF(D48="简单平均",AVERAGE(R48:V48),R48*F48+T48*H48+V48*J48),0),ROUND(IF(D48="简单平均",AVERAGE(R48:V48),R48*F48+T48*H48+V48*J48),1))</f>
        <v>#DIV/0!</v>
      </c>
      <c r="S49" s="3740"/>
      <c r="T49" s="3740"/>
      <c r="U49" s="3740"/>
      <c r="V49" s="3740"/>
      <c r="W49" s="3740"/>
      <c r="X49" s="799"/>
      <c r="Y49" s="799"/>
      <c r="Z49" s="799"/>
      <c r="AA49" s="799"/>
      <c r="AB49" s="799"/>
      <c r="AC49" s="799"/>
    </row>
    <row r="50" spans="1:29">
      <c r="A50" s="2720"/>
      <c r="B50" s="2720"/>
      <c r="C50" s="2720"/>
      <c r="D50" s="2720"/>
      <c r="E50" s="2720"/>
      <c r="F50" s="2720"/>
      <c r="G50" s="2722"/>
      <c r="H50" s="2720"/>
      <c r="I50" s="2720"/>
      <c r="J50" s="2720"/>
      <c r="K50" s="2723"/>
      <c r="L50" s="1754"/>
      <c r="M50" s="1741"/>
      <c r="N50" s="1741"/>
      <c r="O50" s="1741"/>
      <c r="P50" s="1741"/>
      <c r="Q50" s="1741"/>
      <c r="R50" s="1741"/>
      <c r="S50" s="1741"/>
      <c r="T50" s="1741"/>
      <c r="U50" s="1741"/>
      <c r="V50" s="1741"/>
      <c r="W50" s="1741"/>
      <c r="X50" s="1741"/>
      <c r="Y50" s="1741"/>
      <c r="Z50" s="1741"/>
      <c r="AA50" s="1741"/>
      <c r="AB50" s="1741"/>
      <c r="AC50" s="1741"/>
    </row>
    <row r="51" spans="1:29">
      <c r="A51" s="2720"/>
      <c r="B51" s="2720"/>
      <c r="C51" s="2720"/>
      <c r="D51" s="2720"/>
      <c r="E51" s="2720"/>
      <c r="F51" s="2720"/>
      <c r="G51" s="2720"/>
      <c r="H51" s="2720"/>
      <c r="I51" s="2720"/>
      <c r="J51" s="2720"/>
      <c r="K51" s="2723"/>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4"/>
      <c r="M53" s="1741"/>
      <c r="N53" s="1741"/>
      <c r="O53" s="1741"/>
      <c r="P53" s="1741"/>
      <c r="Q53" s="1741"/>
      <c r="R53" s="1741"/>
      <c r="S53" s="1741"/>
      <c r="T53" s="1741"/>
      <c r="U53" s="1741"/>
      <c r="V53" s="1741"/>
      <c r="W53" s="1741"/>
      <c r="X53" s="1741"/>
      <c r="Y53" s="1741"/>
      <c r="Z53" s="1741"/>
      <c r="AA53" s="1741"/>
      <c r="AB53" s="1741"/>
      <c r="AC53" s="1741"/>
    </row>
    <row r="54" spans="1:29" s="1139"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7"/>
      <c r="M54" s="1751"/>
      <c r="N54" s="1751"/>
      <c r="O54" s="1751"/>
      <c r="P54" s="1751"/>
      <c r="Q54" s="1751"/>
      <c r="R54" s="1751"/>
      <c r="S54" s="1751"/>
      <c r="T54" s="1751"/>
      <c r="U54" s="1751"/>
      <c r="V54" s="1751"/>
      <c r="W54" s="1751"/>
      <c r="X54" s="1751"/>
      <c r="Y54" s="1751"/>
      <c r="Z54" s="1751"/>
      <c r="AA54" s="1751"/>
      <c r="AB54" s="1751"/>
      <c r="AC54" s="1751"/>
    </row>
    <row r="55" spans="1:29" s="1139"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2.2" thickBot="1">
      <c r="A57" s="1316" t="s">
        <v>522</v>
      </c>
      <c r="B57" s="799"/>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41" customFormat="1" ht="14.4">
      <c r="A58" s="592" t="s">
        <v>478</v>
      </c>
      <c r="B58" s="593"/>
      <c r="C58" s="2112" t="str">
        <f>YEAR(C7)&amp;"-"&amp;MONTH(C7)</f>
        <v>2025-7</v>
      </c>
      <c r="D58" s="2114">
        <f>EDATE(C58,-1)</f>
        <v>45809</v>
      </c>
      <c r="E58" s="2114">
        <f t="shared" ref="E58:O58" si="13">EDATE(D58,-1)</f>
        <v>45778</v>
      </c>
      <c r="F58" s="2114">
        <f t="shared" si="13"/>
        <v>45748</v>
      </c>
      <c r="G58" s="2114">
        <f t="shared" si="13"/>
        <v>45717</v>
      </c>
      <c r="H58" s="2114">
        <f t="shared" si="13"/>
        <v>45689</v>
      </c>
      <c r="I58" s="2114">
        <f t="shared" si="13"/>
        <v>45658</v>
      </c>
      <c r="J58" s="2114">
        <f t="shared" si="13"/>
        <v>45627</v>
      </c>
      <c r="K58" s="2114">
        <f t="shared" si="13"/>
        <v>45597</v>
      </c>
      <c r="L58" s="2114">
        <f t="shared" si="13"/>
        <v>45566</v>
      </c>
      <c r="M58" s="2114">
        <f t="shared" si="13"/>
        <v>45536</v>
      </c>
      <c r="N58" s="2114">
        <f t="shared" si="13"/>
        <v>45505</v>
      </c>
      <c r="O58" s="2114">
        <f t="shared" si="13"/>
        <v>45474</v>
      </c>
      <c r="P58" s="1764"/>
      <c r="Q58" s="1764"/>
      <c r="R58" s="1764"/>
      <c r="S58" s="1764"/>
      <c r="T58" s="1764"/>
      <c r="U58" s="1764"/>
      <c r="V58" s="1764"/>
      <c r="W58" s="1764"/>
      <c r="X58" s="1764"/>
      <c r="Y58" s="1764"/>
      <c r="Z58" s="1764"/>
      <c r="AA58" s="1764"/>
      <c r="AB58" s="1764"/>
      <c r="AC58" s="1764"/>
    </row>
    <row r="59" spans="1:29" s="1060" customFormat="1">
      <c r="A59" s="527"/>
      <c r="B59" s="594"/>
      <c r="C59" s="595">
        <v>100</v>
      </c>
      <c r="D59" s="596"/>
      <c r="E59" s="596"/>
      <c r="F59" s="596"/>
      <c r="G59" s="596"/>
      <c r="H59" s="596"/>
      <c r="I59" s="596"/>
      <c r="J59" s="596"/>
      <c r="K59" s="596"/>
      <c r="L59" s="596"/>
      <c r="M59" s="487"/>
      <c r="N59" s="596"/>
      <c r="O59" s="597"/>
      <c r="P59" s="1762"/>
      <c r="Q59" s="1639"/>
      <c r="R59" s="1639"/>
      <c r="S59" s="1639"/>
      <c r="T59" s="1639"/>
      <c r="U59" s="1639"/>
      <c r="V59" s="1639"/>
      <c r="W59" s="1639"/>
      <c r="X59" s="1639"/>
      <c r="Y59" s="1639"/>
      <c r="Z59" s="1639"/>
      <c r="AA59" s="1639"/>
      <c r="AB59" s="1639"/>
      <c r="AC59" s="1639"/>
    </row>
    <row r="60" spans="1:29" s="1060" customFormat="1" ht="1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60" customFormat="1" ht="14.4">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60" customFormat="1" ht="14.4" thickBot="1">
      <c r="A62" s="603"/>
      <c r="B62" s="594"/>
      <c r="C62" s="814">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046"/>
    </row>
    <row r="63" spans="1:29" ht="14.4">
      <c r="A63" s="607" t="s">
        <v>525</v>
      </c>
      <c r="B63" s="608" t="s">
        <v>483</v>
      </c>
      <c r="C63" s="645">
        <f>C9</f>
        <v>0</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4.4" thickBot="1">
      <c r="A64" s="482"/>
      <c r="B64" s="612"/>
      <c r="C64" s="613"/>
      <c r="D64" s="613"/>
      <c r="E64" s="613"/>
      <c r="F64" s="613"/>
      <c r="G64" s="613"/>
      <c r="H64" s="613"/>
      <c r="I64" s="613"/>
      <c r="J64" s="613"/>
      <c r="K64" s="613"/>
      <c r="L64" s="613"/>
      <c r="M64" s="614"/>
      <c r="N64" s="1767"/>
      <c r="O64" s="1767"/>
      <c r="P64" s="1765"/>
      <c r="Q64" s="1762"/>
      <c r="R64" s="1741"/>
      <c r="S64" s="1741"/>
      <c r="T64" s="1741"/>
      <c r="U64" s="1741"/>
      <c r="V64" s="1741"/>
      <c r="W64" s="1741"/>
      <c r="X64" s="1741"/>
      <c r="Y64" s="1741"/>
      <c r="Z64" s="1741"/>
      <c r="AA64" s="1741"/>
      <c r="AB64" s="1741"/>
      <c r="AC64" s="1741"/>
    </row>
    <row r="65" spans="1:29" ht="29.4" thickTop="1">
      <c r="A65" s="482"/>
      <c r="B65" s="615" t="s">
        <v>486</v>
      </c>
      <c r="C65" s="658"/>
      <c r="D65" s="658"/>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4.4" thickBot="1">
      <c r="A66" s="482"/>
      <c r="B66" s="620"/>
      <c r="C66" s="613"/>
      <c r="D66" s="613"/>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c r="A68" s="482"/>
      <c r="B68" s="625"/>
      <c r="C68" s="491"/>
      <c r="D68" s="491"/>
      <c r="E68" s="491"/>
      <c r="F68" s="491"/>
      <c r="G68" s="491"/>
      <c r="H68" s="491"/>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4.4"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7"/>
      <c r="O69" s="1767"/>
      <c r="P69" s="1765"/>
      <c r="Q69" s="1762"/>
      <c r="R69" s="1741"/>
      <c r="S69" s="1741"/>
      <c r="T69" s="1741"/>
      <c r="U69" s="1741"/>
      <c r="V69" s="1741"/>
      <c r="W69" s="1741"/>
      <c r="X69" s="1741"/>
      <c r="Y69" s="1741"/>
      <c r="Z69" s="1741"/>
      <c r="AA69" s="1741"/>
      <c r="AB69" s="1741"/>
      <c r="AC69" s="1741"/>
    </row>
    <row r="70" spans="1:29" s="1134" customFormat="1" ht="14.4"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4" customFormat="1" ht="14.4"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4" customFormat="1" ht="14.4"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4" customFormat="1" ht="14.4" thickBot="1">
      <c r="A73" s="629"/>
      <c r="B73" s="620"/>
      <c r="C73" s="634"/>
      <c r="D73" s="613"/>
      <c r="E73" s="613"/>
      <c r="F73" s="613"/>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4" customFormat="1" ht="14.4"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4" customFormat="1" ht="14.4"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ht="14.4">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4.4" thickBot="1">
      <c r="A77" s="482"/>
      <c r="B77" s="620"/>
      <c r="C77" s="621">
        <v>100</v>
      </c>
      <c r="D77" s="621">
        <f>C77-$K15</f>
        <v>100</v>
      </c>
      <c r="E77" s="621">
        <f>D77-$K15</f>
        <v>100</v>
      </c>
      <c r="F77" s="621">
        <f>E77-$K15</f>
        <v>100</v>
      </c>
      <c r="G77" s="621">
        <f>F77-$K15</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4.4" thickBot="1">
      <c r="A79" s="482"/>
      <c r="B79" s="620"/>
      <c r="C79" s="621">
        <v>100</v>
      </c>
      <c r="D79" s="621">
        <f>C79-$K17</f>
        <v>100</v>
      </c>
      <c r="E79" s="621">
        <f>D79-$K17</f>
        <v>100</v>
      </c>
      <c r="F79" s="621">
        <f>E79-$K17</f>
        <v>100</v>
      </c>
      <c r="G79" s="621">
        <f>F79-$K17</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 thickTop="1">
      <c r="A80" s="482"/>
      <c r="B80" s="1554" t="s">
        <v>1840</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4.4" thickBot="1">
      <c r="A81" s="482"/>
      <c r="B81" s="620"/>
      <c r="C81" s="621">
        <v>100</v>
      </c>
      <c r="D81" s="621">
        <f>C81-$K19</f>
        <v>100</v>
      </c>
      <c r="E81" s="621">
        <f>D81-$K19</f>
        <v>100</v>
      </c>
      <c r="F81" s="621">
        <f>E81-$K19</f>
        <v>100</v>
      </c>
      <c r="G81" s="621">
        <f>F81-$K19</f>
        <v>100</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 thickTop="1">
      <c r="A82" s="482"/>
      <c r="B82" s="2055" t="s">
        <v>1841</v>
      </c>
      <c r="C82" s="2056" t="s">
        <v>1842</v>
      </c>
      <c r="D82" s="2056" t="s">
        <v>1843</v>
      </c>
      <c r="E82" s="2056" t="s">
        <v>1844</v>
      </c>
      <c r="F82" s="2056" t="s">
        <v>1845</v>
      </c>
      <c r="G82" s="2056" t="s">
        <v>1846</v>
      </c>
      <c r="H82" s="616"/>
      <c r="I82" s="616"/>
      <c r="J82" s="616"/>
      <c r="K82" s="616"/>
      <c r="L82" s="616"/>
      <c r="M82" s="2059"/>
      <c r="N82" s="1767"/>
      <c r="O82" s="1767"/>
      <c r="P82" s="1765"/>
      <c r="Q82" s="1762"/>
      <c r="R82" s="1741"/>
      <c r="S82" s="1741"/>
      <c r="T82" s="1741"/>
      <c r="U82" s="1741"/>
      <c r="V82" s="1741"/>
      <c r="W82" s="1741"/>
      <c r="X82" s="1741"/>
      <c r="Y82" s="1741"/>
      <c r="Z82" s="1741"/>
      <c r="AA82" s="1741"/>
      <c r="AB82" s="1741"/>
      <c r="AC82" s="1741"/>
    </row>
    <row r="83" spans="1:29" ht="14.4" thickBot="1">
      <c r="A83" s="482"/>
      <c r="B83" s="623"/>
      <c r="C83" s="621">
        <v>100</v>
      </c>
      <c r="D83" s="621">
        <f>C83-$K21</f>
        <v>100</v>
      </c>
      <c r="E83" s="621">
        <f>D83-$K21</f>
        <v>100</v>
      </c>
      <c r="F83" s="621">
        <f>E83-$K21</f>
        <v>100</v>
      </c>
      <c r="G83" s="621">
        <f>F83-$K21</f>
        <v>100</v>
      </c>
      <c r="H83" s="856"/>
      <c r="I83" s="856"/>
      <c r="J83" s="856"/>
      <c r="K83" s="856"/>
      <c r="L83" s="856"/>
      <c r="M83" s="509"/>
      <c r="N83" s="1767"/>
      <c r="O83" s="1767"/>
      <c r="P83" s="1765"/>
      <c r="Q83" s="1762"/>
      <c r="R83" s="1741"/>
      <c r="S83" s="1741"/>
      <c r="T83" s="1741"/>
      <c r="U83" s="1741"/>
      <c r="V83" s="1741"/>
      <c r="W83" s="1741"/>
      <c r="X83" s="1741"/>
      <c r="Y83" s="1741"/>
      <c r="Z83" s="1741"/>
      <c r="AA83" s="1741"/>
      <c r="AB83" s="1741"/>
      <c r="AC83" s="1741"/>
    </row>
    <row r="84" spans="1:29" ht="1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4.4" thickBot="1">
      <c r="A85" s="482"/>
      <c r="B85" s="620"/>
      <c r="C85" s="621">
        <v>100</v>
      </c>
      <c r="D85" s="621">
        <f>C85-$K23</f>
        <v>100</v>
      </c>
      <c r="E85" s="621">
        <f>D85-$K23</f>
        <v>100</v>
      </c>
      <c r="F85" s="621">
        <f>E85-$K23</f>
        <v>100</v>
      </c>
      <c r="G85" s="621">
        <f>F85-$K23</f>
        <v>100</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60" customFormat="1" ht="15" thickTop="1">
      <c r="A86" s="486"/>
      <c r="B86" s="615" t="s">
        <v>711</v>
      </c>
      <c r="C86" s="630"/>
      <c r="D86" s="630"/>
      <c r="E86" s="630"/>
      <c r="F86" s="630"/>
      <c r="G86" s="630"/>
      <c r="H86" s="630"/>
      <c r="I86" s="630"/>
      <c r="J86" s="630"/>
      <c r="K86" s="630"/>
      <c r="L86" s="815"/>
      <c r="M86" s="816"/>
      <c r="N86" s="1765"/>
      <c r="O86" s="1765"/>
      <c r="P86" s="1765"/>
      <c r="Q86" s="1762"/>
      <c r="R86" s="1639"/>
      <c r="S86" s="1639"/>
      <c r="T86" s="1639"/>
      <c r="U86" s="1639"/>
      <c r="V86" s="1639"/>
      <c r="W86" s="1639"/>
      <c r="X86" s="1639"/>
      <c r="Y86" s="1639"/>
      <c r="Z86" s="1639"/>
      <c r="AA86" s="1639"/>
      <c r="AB86" s="1639"/>
      <c r="AC86" s="1639"/>
    </row>
    <row r="87" spans="1:29" s="1060" customFormat="1" ht="14.4"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60" customFormat="1" ht="14.4" thickTop="1">
      <c r="A88" s="486"/>
      <c r="B88" s="615" t="str">
        <f>B26</f>
        <v>平面位置/可视性</v>
      </c>
      <c r="C88" s="630"/>
      <c r="D88" s="630"/>
      <c r="E88" s="630"/>
      <c r="F88" s="817"/>
      <c r="G88" s="630"/>
      <c r="H88" s="630"/>
      <c r="I88" s="630"/>
      <c r="J88" s="630"/>
      <c r="K88" s="630"/>
      <c r="L88" s="630"/>
      <c r="M88" s="816"/>
      <c r="N88" s="1765"/>
      <c r="O88" s="1765"/>
      <c r="P88" s="1765"/>
      <c r="Q88" s="1762"/>
      <c r="R88" s="1639"/>
      <c r="S88" s="1639"/>
      <c r="T88" s="1639"/>
      <c r="U88" s="1639"/>
      <c r="V88" s="1639"/>
      <c r="W88" s="1639"/>
      <c r="X88" s="1639"/>
      <c r="Y88" s="1639"/>
      <c r="Z88" s="1639"/>
      <c r="AA88" s="1639"/>
      <c r="AB88" s="1639"/>
      <c r="AC88" s="1639"/>
    </row>
    <row r="89" spans="1:29" s="1060" customFormat="1" ht="14.4" thickBot="1">
      <c r="A89" s="486"/>
      <c r="B89" s="620"/>
      <c r="C89" s="634"/>
      <c r="D89" s="613"/>
      <c r="E89" s="613"/>
      <c r="F89" s="613"/>
      <c r="G89" s="613"/>
      <c r="H89" s="613"/>
      <c r="I89" s="613"/>
      <c r="J89" s="613"/>
      <c r="K89" s="613"/>
      <c r="L89" s="613"/>
      <c r="M89" s="613"/>
      <c r="N89" s="1767"/>
      <c r="O89" s="1767"/>
      <c r="P89" s="1765"/>
      <c r="Q89" s="1762"/>
      <c r="R89" s="1639"/>
      <c r="S89" s="1639"/>
      <c r="T89" s="1639"/>
      <c r="U89" s="1639"/>
      <c r="V89" s="1639"/>
      <c r="W89" s="1639"/>
      <c r="X89" s="1639"/>
      <c r="Y89" s="1639"/>
      <c r="Z89" s="1639"/>
      <c r="AA89" s="1639"/>
      <c r="AB89" s="1639"/>
      <c r="AC89" s="1639"/>
    </row>
    <row r="90" spans="1:29" s="1134" customFormat="1" ht="14.4" thickTop="1">
      <c r="A90" s="629"/>
      <c r="B90" s="615" t="str">
        <f>B27</f>
        <v>人流量</v>
      </c>
      <c r="C90" s="630"/>
      <c r="D90" s="630"/>
      <c r="E90" s="630"/>
      <c r="F90" s="630"/>
      <c r="G90" s="630"/>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4" customFormat="1" ht="14.4"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8"/>
      <c r="O91" s="1768"/>
      <c r="P91" s="1768"/>
      <c r="Q91" s="1769"/>
      <c r="R91" s="1770"/>
      <c r="S91" s="1770"/>
      <c r="T91" s="1770"/>
      <c r="U91" s="1770"/>
      <c r="V91" s="1770"/>
      <c r="W91" s="1770"/>
      <c r="X91" s="1770"/>
      <c r="Y91" s="1770"/>
      <c r="Z91" s="1770"/>
      <c r="AA91" s="1770"/>
      <c r="AB91" s="1770"/>
      <c r="AC91" s="1770"/>
    </row>
    <row r="92" spans="1:29" ht="14.4" thickTop="1">
      <c r="A92" s="482"/>
      <c r="B92" s="615" t="str">
        <f>B28</f>
        <v>楼层</v>
      </c>
      <c r="C92" s="630"/>
      <c r="D92" s="630"/>
      <c r="E92" s="630"/>
      <c r="F92" s="630"/>
      <c r="G92" s="630"/>
      <c r="H92" s="630"/>
      <c r="I92" s="630"/>
      <c r="J92" s="630"/>
      <c r="K92" s="630"/>
      <c r="L92" s="815"/>
      <c r="M92" s="816"/>
      <c r="N92" s="1766"/>
      <c r="O92" s="1766"/>
      <c r="P92" s="1765"/>
      <c r="Q92" s="1762"/>
      <c r="R92" s="1741"/>
      <c r="S92" s="1741"/>
      <c r="T92" s="1741"/>
      <c r="U92" s="1741"/>
      <c r="V92" s="1741"/>
      <c r="W92" s="1741"/>
      <c r="X92" s="1741"/>
      <c r="Y92" s="1741"/>
      <c r="Z92" s="1741"/>
      <c r="AA92" s="1741"/>
      <c r="AB92" s="1741"/>
      <c r="AC92" s="1741"/>
    </row>
    <row r="93" spans="1:29" ht="14.4" thickBot="1">
      <c r="A93" s="482"/>
      <c r="B93" s="620"/>
      <c r="C93" s="613"/>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4.4"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4.4" thickBot="1">
      <c r="A95" s="482"/>
      <c r="B95" s="620"/>
      <c r="C95" s="634"/>
      <c r="D95" s="613"/>
      <c r="E95" s="613"/>
      <c r="F95" s="613"/>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4.4"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4.4" thickBot="1">
      <c r="A97" s="482"/>
      <c r="B97" s="620"/>
      <c r="C97" s="634"/>
      <c r="D97" s="613"/>
      <c r="E97" s="613"/>
      <c r="F97" s="613"/>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4.4" thickTop="1">
      <c r="A98" s="482"/>
      <c r="B98" s="623">
        <f>B31</f>
        <v>111</v>
      </c>
      <c r="C98" s="630"/>
      <c r="D98" s="630"/>
      <c r="E98" s="630"/>
      <c r="F98" s="630"/>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4.4" thickBot="1">
      <c r="A99" s="493"/>
      <c r="B99" s="641"/>
      <c r="C99" s="642"/>
      <c r="D99" s="642"/>
      <c r="E99" s="642"/>
      <c r="F99" s="642"/>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ht="14.4">
      <c r="A100" s="607" t="s">
        <v>500</v>
      </c>
      <c r="B100" s="608" t="s">
        <v>712</v>
      </c>
      <c r="C100" s="547"/>
      <c r="D100" s="547"/>
      <c r="E100" s="547"/>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4.4"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7"/>
      <c r="O101" s="1767"/>
      <c r="P101" s="1765"/>
      <c r="Q101" s="1762"/>
      <c r="R101" s="1741"/>
      <c r="S101" s="1741"/>
      <c r="T101" s="1741"/>
      <c r="U101" s="1741"/>
      <c r="V101" s="1741"/>
      <c r="W101" s="1741"/>
      <c r="X101" s="1741"/>
      <c r="Y101" s="1741"/>
      <c r="Z101" s="1741"/>
      <c r="AA101" s="1741"/>
      <c r="AB101" s="1741"/>
      <c r="AC101" s="1741"/>
    </row>
    <row r="102" spans="1:29" ht="1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4" customFormat="1">
      <c r="A103" s="552"/>
      <c r="B103" s="668"/>
      <c r="C103" s="79"/>
      <c r="D103" s="79"/>
      <c r="E103" s="79"/>
      <c r="F103" s="79"/>
      <c r="G103" s="79"/>
      <c r="H103" s="79"/>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4" customFormat="1" ht="14.4" thickBot="1">
      <c r="A104" s="629"/>
      <c r="B104" s="620"/>
      <c r="C104" s="634"/>
      <c r="D104" s="613"/>
      <c r="E104" s="613"/>
      <c r="F104" s="613"/>
      <c r="G104" s="613"/>
      <c r="H104" s="613"/>
      <c r="I104" s="613"/>
      <c r="J104" s="613"/>
      <c r="K104" s="613"/>
      <c r="L104" s="613"/>
      <c r="M104" s="614"/>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630"/>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4.4"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691</v>
      </c>
      <c r="C107" s="630"/>
      <c r="D107" s="630"/>
      <c r="E107" s="630"/>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4.4"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c r="A110" s="543"/>
      <c r="B110" s="623"/>
      <c r="C110" s="818">
        <v>0.5</v>
      </c>
      <c r="D110" s="818">
        <v>0.6</v>
      </c>
      <c r="E110" s="818">
        <v>0.7</v>
      </c>
      <c r="F110" s="818">
        <v>0.8</v>
      </c>
      <c r="G110" s="818">
        <v>0.9</v>
      </c>
      <c r="H110" s="818">
        <v>1.0001</v>
      </c>
      <c r="I110" s="828"/>
      <c r="J110" s="828"/>
      <c r="K110" s="829"/>
      <c r="L110" s="830"/>
      <c r="M110" s="831"/>
      <c r="N110" s="1766"/>
      <c r="O110" s="1766"/>
      <c r="P110" s="1765"/>
      <c r="Q110" s="1762"/>
      <c r="R110" s="1741"/>
      <c r="S110" s="1741"/>
      <c r="T110" s="1741"/>
      <c r="U110" s="1741"/>
      <c r="V110" s="1741"/>
      <c r="W110" s="1741"/>
      <c r="X110" s="1741"/>
      <c r="Y110" s="1741"/>
      <c r="Z110" s="1741"/>
      <c r="AA110" s="1741"/>
      <c r="AB110" s="1741"/>
      <c r="AC110" s="1741"/>
    </row>
    <row r="111" spans="1:29" ht="14.4"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7"/>
      <c r="O111" s="1767"/>
      <c r="P111" s="1765"/>
      <c r="Q111" s="1762"/>
      <c r="R111" s="1741"/>
      <c r="S111" s="1741"/>
      <c r="T111" s="1741"/>
      <c r="U111" s="1741"/>
      <c r="V111" s="1741"/>
      <c r="W111" s="1741"/>
      <c r="X111" s="1741"/>
      <c r="Y111" s="1741"/>
      <c r="Z111" s="1741"/>
      <c r="AA111" s="1741"/>
      <c r="AB111" s="1741"/>
      <c r="AC111" s="1741"/>
    </row>
    <row r="112" spans="1:29" s="1134" customFormat="1" ht="15" thickTop="1">
      <c r="A112" s="552"/>
      <c r="B112" s="1554" t="s">
        <v>1839</v>
      </c>
      <c r="C112" s="630"/>
      <c r="D112" s="630"/>
      <c r="E112" s="630"/>
      <c r="F112" s="630"/>
      <c r="G112" s="630"/>
      <c r="H112" s="658"/>
      <c r="I112" s="658"/>
      <c r="J112" s="658"/>
      <c r="K112" s="659"/>
      <c r="L112" s="660"/>
      <c r="M112" s="661"/>
      <c r="N112" s="1768"/>
      <c r="O112" s="1768"/>
      <c r="P112" s="1768"/>
      <c r="Q112" s="1769"/>
      <c r="R112" s="1770"/>
      <c r="S112" s="1770"/>
      <c r="T112" s="1770"/>
      <c r="U112" s="1770"/>
      <c r="V112" s="1770"/>
      <c r="W112" s="1770"/>
      <c r="X112" s="1770"/>
      <c r="Y112" s="1770"/>
      <c r="Z112" s="1770"/>
      <c r="AA112" s="1770"/>
      <c r="AB112" s="1770"/>
      <c r="AC112" s="1770"/>
    </row>
    <row r="113" spans="1:29" s="1134" customFormat="1" ht="14.4"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713</v>
      </c>
      <c r="C114" s="630"/>
      <c r="D114" s="630"/>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4.4"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615" t="s">
        <v>714</v>
      </c>
      <c r="C116" s="630"/>
      <c r="D116" s="630"/>
      <c r="E116" s="630"/>
      <c r="F116" s="630"/>
      <c r="G116" s="630"/>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4.4" thickBot="1">
      <c r="A117" s="482"/>
      <c r="B117" s="620"/>
      <c r="C117" s="621">
        <v>100</v>
      </c>
      <c r="D117" s="621">
        <f>C117-$K39</f>
        <v>100</v>
      </c>
      <c r="E117" s="621">
        <f>D117-$K39</f>
        <v>100</v>
      </c>
      <c r="F117" s="621">
        <f>E117-$K39</f>
        <v>100</v>
      </c>
      <c r="G117" s="621">
        <f>F117-$K39</f>
        <v>100</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715</v>
      </c>
      <c r="C118" s="832"/>
      <c r="D118" s="832"/>
      <c r="E118" s="832"/>
      <c r="F118" s="832"/>
      <c r="G118" s="832"/>
      <c r="H118" s="631"/>
      <c r="I118" s="631"/>
      <c r="J118" s="631"/>
      <c r="K118" s="631"/>
      <c r="L118" s="632"/>
      <c r="M118" s="633"/>
      <c r="N118" s="1766"/>
      <c r="O118" s="1766"/>
      <c r="P118" s="1765"/>
      <c r="Q118" s="1762"/>
      <c r="R118" s="1741"/>
      <c r="S118" s="1741"/>
      <c r="T118" s="1741"/>
      <c r="U118" s="1741"/>
      <c r="V118" s="1741"/>
      <c r="W118" s="1741"/>
      <c r="X118" s="1741"/>
      <c r="Y118" s="1741"/>
      <c r="Z118" s="1741"/>
      <c r="AA118" s="1741"/>
      <c r="AB118" s="1741"/>
      <c r="AC118" s="1741"/>
    </row>
    <row r="119" spans="1:29" ht="14.4" thickBot="1">
      <c r="A119" s="482"/>
      <c r="B119" s="620"/>
      <c r="C119" s="634"/>
      <c r="D119" s="613"/>
      <c r="E119" s="613"/>
      <c r="F119" s="613"/>
      <c r="G119" s="613"/>
      <c r="H119" s="613"/>
      <c r="I119" s="613"/>
      <c r="J119" s="613"/>
      <c r="K119" s="613"/>
      <c r="L119" s="613"/>
      <c r="M119" s="614"/>
      <c r="N119" s="1767"/>
      <c r="O119" s="1767"/>
      <c r="P119" s="1765"/>
      <c r="Q119" s="1762"/>
      <c r="R119" s="1741"/>
      <c r="S119" s="1741"/>
      <c r="T119" s="1741"/>
      <c r="U119" s="1741"/>
      <c r="V119" s="1741"/>
      <c r="W119" s="1741"/>
      <c r="X119" s="1741"/>
      <c r="Y119" s="1741"/>
      <c r="Z119" s="1741"/>
      <c r="AA119" s="1741"/>
      <c r="AB119" s="1741"/>
      <c r="AC119" s="1741"/>
    </row>
    <row r="120" spans="1:29" s="1134" customFormat="1" ht="15" thickTop="1">
      <c r="A120" s="552"/>
      <c r="B120" s="615" t="s">
        <v>716</v>
      </c>
      <c r="C120" s="658"/>
      <c r="D120" s="658"/>
      <c r="E120" s="658"/>
      <c r="F120" s="658"/>
      <c r="G120" s="631"/>
      <c r="H120" s="631"/>
      <c r="I120" s="631"/>
      <c r="J120" s="631"/>
      <c r="K120" s="631"/>
      <c r="L120" s="632"/>
      <c r="M120" s="633"/>
      <c r="N120" s="1768"/>
      <c r="O120" s="1768"/>
      <c r="P120" s="1768"/>
      <c r="Q120" s="1769"/>
      <c r="R120" s="1770"/>
      <c r="S120" s="1770"/>
      <c r="T120" s="1770"/>
      <c r="U120" s="1770"/>
      <c r="V120" s="1770"/>
      <c r="W120" s="1770"/>
      <c r="X120" s="1770"/>
      <c r="Y120" s="1770"/>
      <c r="Z120" s="1770"/>
      <c r="AA120" s="1770"/>
      <c r="AB120" s="1770"/>
      <c r="AC120" s="1770"/>
    </row>
    <row r="121" spans="1:29" s="1134" customFormat="1" ht="14.4"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4.4"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7"/>
      <c r="O123" s="1767"/>
      <c r="P123" s="1765"/>
      <c r="Q123" s="1762"/>
      <c r="R123" s="1741"/>
      <c r="S123" s="1741"/>
      <c r="T123" s="1741"/>
      <c r="U123" s="1741"/>
      <c r="V123" s="1741"/>
      <c r="W123" s="1741"/>
      <c r="X123" s="1741"/>
      <c r="Y123" s="1741"/>
      <c r="Z123" s="1741"/>
      <c r="AA123" s="1741"/>
      <c r="AB123" s="1741"/>
      <c r="AC123" s="1741"/>
    </row>
    <row r="124" spans="1:29" ht="29.4"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4.4" thickBot="1">
      <c r="A125" s="482"/>
      <c r="B125" s="620"/>
      <c r="C125" s="621">
        <v>100</v>
      </c>
      <c r="D125" s="621">
        <f>C125-$K43</f>
        <v>100</v>
      </c>
      <c r="E125" s="621">
        <f>D125-$K43</f>
        <v>100</v>
      </c>
      <c r="F125" s="621">
        <f>E125-$K43</f>
        <v>100</v>
      </c>
      <c r="G125" s="621">
        <f>F125-$K43</f>
        <v>100</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4" customFormat="1" ht="14.4" thickTop="1">
      <c r="A126" s="552"/>
      <c r="B126" s="615">
        <f>B44</f>
        <v>111</v>
      </c>
      <c r="C126" s="630"/>
      <c r="D126" s="630"/>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4" customFormat="1" ht="14.4" thickBot="1">
      <c r="A127" s="629"/>
      <c r="B127" s="620"/>
      <c r="C127" s="634"/>
      <c r="D127" s="613"/>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4.4"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4.4" thickBot="1">
      <c r="A129" s="482"/>
      <c r="B129" s="620"/>
      <c r="C129" s="634"/>
      <c r="D129" s="613"/>
      <c r="E129" s="613"/>
      <c r="F129" s="613"/>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4.4"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4.4"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816"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717</v>
      </c>
      <c r="C1" s="455" t="s">
        <v>667</v>
      </c>
      <c r="D1" s="783"/>
      <c r="E1" s="457"/>
      <c r="F1" s="2117"/>
      <c r="G1" s="1327" t="s">
        <v>668</v>
      </c>
      <c r="H1" s="457"/>
      <c r="I1" s="457"/>
      <c r="J1" s="457"/>
      <c r="K1" s="458"/>
      <c r="L1" s="2717"/>
      <c r="M1" s="2718"/>
      <c r="N1" s="2718"/>
      <c r="O1" s="2718"/>
      <c r="P1" s="2773"/>
      <c r="Q1" s="1739"/>
      <c r="R1" s="1739"/>
      <c r="S1" s="1739"/>
      <c r="T1" s="1739"/>
      <c r="U1" s="1739"/>
      <c r="V1" s="1739"/>
      <c r="W1" s="1739"/>
      <c r="X1" s="1739"/>
      <c r="Y1" s="1739"/>
      <c r="Z1" s="1739"/>
      <c r="AA1" s="1739"/>
      <c r="AB1" s="1739"/>
      <c r="AC1" s="1673"/>
    </row>
    <row r="2" spans="1:29" s="1131" customFormat="1" ht="28.5" customHeight="1">
      <c r="A2" s="393" t="s">
        <v>427</v>
      </c>
      <c r="B2" s="784" t="e">
        <f>ROUND(B3*D3/10000,0)</f>
        <v>#DIV/0!</v>
      </c>
      <c r="C2" s="1734"/>
      <c r="D2" s="1734"/>
      <c r="E2" s="1673"/>
      <c r="F2" s="1736"/>
      <c r="G2" s="1735"/>
      <c r="H2" s="1735"/>
      <c r="I2" s="1735"/>
      <c r="J2" s="1735"/>
      <c r="K2" s="1735"/>
      <c r="L2" s="1738"/>
      <c r="M2" s="1739"/>
      <c r="N2" s="1739"/>
      <c r="O2" s="1739"/>
      <c r="P2" s="2773"/>
      <c r="Q2" s="1739"/>
      <c r="R2" s="1739"/>
      <c r="S2" s="1739"/>
      <c r="T2" s="1739"/>
      <c r="U2" s="1739"/>
      <c r="V2" s="1739"/>
      <c r="W2" s="1739"/>
      <c r="X2" s="1739"/>
      <c r="Y2" s="1739"/>
      <c r="Z2" s="1739"/>
      <c r="AA2" s="1739"/>
      <c r="AB2" s="1739"/>
      <c r="AC2" s="1673"/>
    </row>
    <row r="3" spans="1:29" s="1131" customFormat="1" ht="28.5" customHeight="1" thickBot="1">
      <c r="A3" s="460" t="s">
        <v>468</v>
      </c>
      <c r="B3" s="461" t="e">
        <f>C50</f>
        <v>#DIV/0!</v>
      </c>
      <c r="C3" s="786" t="s">
        <v>669</v>
      </c>
      <c r="D3" s="785">
        <f>SUMIF('数据-汇总表'!$C19:$C33,D1,'数据-汇总表'!$E19:$E33)</f>
        <v>0</v>
      </c>
      <c r="E3" s="1673"/>
      <c r="F3" s="1736"/>
      <c r="G3" s="1735"/>
      <c r="H3" s="1735"/>
      <c r="I3" s="1735"/>
      <c r="J3" s="1735"/>
      <c r="K3" s="1737"/>
      <c r="L3" s="1738"/>
      <c r="M3" s="1739"/>
      <c r="N3" s="1739"/>
      <c r="O3" s="1739"/>
      <c r="P3" s="2773"/>
      <c r="Q3" s="1739"/>
      <c r="R3" s="1739"/>
      <c r="S3" s="1739"/>
      <c r="T3" s="1739"/>
      <c r="U3" s="1739"/>
      <c r="V3" s="1739"/>
      <c r="W3" s="1739"/>
      <c r="X3" s="1739"/>
      <c r="Y3" s="1739"/>
      <c r="Z3" s="1739"/>
      <c r="AA3" s="1739"/>
      <c r="AB3" s="1739"/>
      <c r="AC3" s="1673"/>
    </row>
    <row r="4" spans="1:29" ht="14.4">
      <c r="A4" s="463" t="s">
        <v>470</v>
      </c>
      <c r="B4" s="464"/>
      <c r="C4" s="3635" t="s">
        <v>471</v>
      </c>
      <c r="D4" s="3636"/>
      <c r="E4" s="3657" t="s">
        <v>472</v>
      </c>
      <c r="F4" s="3658"/>
      <c r="G4" s="3635" t="s">
        <v>473</v>
      </c>
      <c r="H4" s="3636"/>
      <c r="I4" s="3635" t="s">
        <v>474</v>
      </c>
      <c r="J4" s="3636"/>
      <c r="K4" s="465" t="s">
        <v>475</v>
      </c>
      <c r="L4" s="1740"/>
      <c r="M4" s="1741"/>
      <c r="N4" s="1741"/>
      <c r="O4" s="1741"/>
      <c r="P4" s="3744" t="s">
        <v>476</v>
      </c>
      <c r="Q4" s="3638"/>
      <c r="R4" s="3621" t="s">
        <v>472</v>
      </c>
      <c r="S4" s="3622"/>
      <c r="T4" s="3621" t="s">
        <v>473</v>
      </c>
      <c r="U4" s="3622"/>
      <c r="V4" s="3643" t="s">
        <v>474</v>
      </c>
      <c r="W4" s="3643"/>
      <c r="X4" s="1301"/>
      <c r="Y4" s="3621" t="s">
        <v>476</v>
      </c>
      <c r="Z4" s="3622"/>
      <c r="AA4" s="3616" t="s">
        <v>472</v>
      </c>
      <c r="AB4" s="3616" t="s">
        <v>473</v>
      </c>
      <c r="AC4" s="3616" t="s">
        <v>474</v>
      </c>
    </row>
    <row r="5" spans="1:29">
      <c r="A5" s="466"/>
      <c r="B5" s="467"/>
      <c r="C5" s="3646" t="s">
        <v>2192</v>
      </c>
      <c r="D5" s="3647"/>
      <c r="E5" s="3659" t="s">
        <v>2193</v>
      </c>
      <c r="F5" s="3660"/>
      <c r="G5" s="3646" t="s">
        <v>2194</v>
      </c>
      <c r="H5" s="3647"/>
      <c r="I5" s="3646" t="s">
        <v>2195</v>
      </c>
      <c r="J5" s="3647"/>
      <c r="K5" s="465"/>
      <c r="L5" s="1740"/>
      <c r="M5" s="1741"/>
      <c r="N5" s="1741"/>
      <c r="O5" s="1741"/>
      <c r="P5" s="3745"/>
      <c r="Q5" s="3640"/>
      <c r="R5" s="3623"/>
      <c r="S5" s="3624"/>
      <c r="T5" s="3623"/>
      <c r="U5" s="3624"/>
      <c r="V5" s="3643"/>
      <c r="W5" s="3643"/>
      <c r="X5" s="1301"/>
      <c r="Y5" s="3623"/>
      <c r="Z5" s="3624"/>
      <c r="AA5" s="3617"/>
      <c r="AB5" s="3617"/>
      <c r="AC5" s="3617"/>
    </row>
    <row r="6" spans="1:29" ht="15" thickBot="1">
      <c r="A6" s="468"/>
      <c r="B6" s="469"/>
      <c r="C6" s="3644" t="s">
        <v>2196</v>
      </c>
      <c r="D6" s="3645"/>
      <c r="E6" s="3661" t="s">
        <v>2196</v>
      </c>
      <c r="F6" s="3662"/>
      <c r="G6" s="3644" t="s">
        <v>2196</v>
      </c>
      <c r="H6" s="3645"/>
      <c r="I6" s="3644" t="s">
        <v>2196</v>
      </c>
      <c r="J6" s="3645"/>
      <c r="K6" s="465" t="s">
        <v>477</v>
      </c>
      <c r="L6" s="1740"/>
      <c r="M6" s="1741"/>
      <c r="N6" s="1741"/>
      <c r="O6" s="1741"/>
      <c r="P6" s="3746"/>
      <c r="Q6" s="3642"/>
      <c r="R6" s="3623"/>
      <c r="S6" s="3624"/>
      <c r="T6" s="3625"/>
      <c r="U6" s="3626"/>
      <c r="V6" s="3643"/>
      <c r="W6" s="3643"/>
      <c r="X6" s="1301"/>
      <c r="Y6" s="3625"/>
      <c r="Z6" s="3626"/>
      <c r="AA6" s="3618"/>
      <c r="AB6" s="3618"/>
      <c r="AC6" s="3618"/>
    </row>
    <row r="7" spans="1:29" s="1060" customFormat="1" ht="15" thickBot="1">
      <c r="A7" s="2208"/>
      <c r="B7" s="2215" t="s">
        <v>478</v>
      </c>
      <c r="C7" s="470">
        <f>'数据-取费表'!B2</f>
        <v>45849</v>
      </c>
      <c r="D7" s="471">
        <v>100</v>
      </c>
      <c r="E7" s="472"/>
      <c r="F7" s="473">
        <f>SUMIF(59:59,YEAR(E7)&amp;"-"&amp;MONTH(E7),60:60)</f>
        <v>0</v>
      </c>
      <c r="G7" s="472"/>
      <c r="H7" s="471">
        <f>SUMIF(59:59,YEAR(G7)&amp;"-"&amp;MONTH(G7),60:60)</f>
        <v>0</v>
      </c>
      <c r="I7" s="472"/>
      <c r="J7" s="471">
        <f>SUMIF(59:59,YEAR(I7)&amp;"-"&amp;MONTH(I7),60:60)</f>
        <v>0</v>
      </c>
      <c r="K7" s="88"/>
      <c r="L7" s="1742"/>
      <c r="M7" s="1639"/>
      <c r="N7" s="1639"/>
      <c r="O7" s="1639"/>
      <c r="P7" s="3628" t="s">
        <v>479</v>
      </c>
      <c r="Q7" s="3628"/>
      <c r="R7" s="1302" t="s">
        <v>5</v>
      </c>
      <c r="S7" s="1303">
        <f t="shared" ref="S7:S15" si="0">F7</f>
        <v>0</v>
      </c>
      <c r="T7" s="1302" t="s">
        <v>5</v>
      </c>
      <c r="U7" s="1303">
        <f t="shared" ref="U7:U15" si="1">H7</f>
        <v>0</v>
      </c>
      <c r="V7" s="1302" t="s">
        <v>5</v>
      </c>
      <c r="W7" s="1303">
        <f t="shared" ref="W7:W15" si="2">J7</f>
        <v>0</v>
      </c>
      <c r="X7" s="1304"/>
      <c r="Y7" s="3619" t="s">
        <v>479</v>
      </c>
      <c r="Z7" s="3620"/>
      <c r="AA7" s="997" t="e">
        <f>D7/F7</f>
        <v>#DIV/0!</v>
      </c>
      <c r="AB7" s="997" t="e">
        <f>D7/H7</f>
        <v>#DIV/0!</v>
      </c>
      <c r="AC7" s="997" t="e">
        <f>D7/J7</f>
        <v>#DIV/0!</v>
      </c>
    </row>
    <row r="8" spans="1:29" s="1060" customFormat="1" ht="1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2"/>
      <c r="M8" s="1639"/>
      <c r="N8" s="1639"/>
      <c r="O8" s="1639"/>
      <c r="P8" s="3628" t="s">
        <v>482</v>
      </c>
      <c r="Q8" s="3620"/>
      <c r="R8" s="1302" t="s">
        <v>5</v>
      </c>
      <c r="S8" s="1303">
        <f t="shared" si="0"/>
        <v>0</v>
      </c>
      <c r="T8" s="1302" t="s">
        <v>5</v>
      </c>
      <c r="U8" s="1303">
        <f t="shared" si="1"/>
        <v>0</v>
      </c>
      <c r="V8" s="1302" t="s">
        <v>5</v>
      </c>
      <c r="W8" s="1303">
        <f t="shared" si="2"/>
        <v>0</v>
      </c>
      <c r="X8" s="1304"/>
      <c r="Y8" s="3619" t="s">
        <v>482</v>
      </c>
      <c r="Z8" s="3620"/>
      <c r="AA8" s="997" t="e">
        <f t="shared" ref="AA8:AA47" si="3">D8/F8</f>
        <v>#DIV/0!</v>
      </c>
      <c r="AB8" s="997" t="e">
        <f t="shared" ref="AB8:AB47" si="4">D8/H8</f>
        <v>#DIV/0!</v>
      </c>
      <c r="AC8" s="997" t="e">
        <f t="shared" ref="AC8:AC47" si="5">D8/J8</f>
        <v>#DIV/0!</v>
      </c>
    </row>
    <row r="9" spans="1:29" s="1060" customFormat="1" ht="14.4">
      <c r="A9" s="2210"/>
      <c r="B9" s="2217" t="s">
        <v>2038</v>
      </c>
      <c r="C9" s="791"/>
      <c r="D9" s="154">
        <v>100</v>
      </c>
      <c r="E9" s="793"/>
      <c r="F9" s="154">
        <f>SUMIF(64:64,E9,65:65)-SUMIF(64:64,C9,65:65)+100</f>
        <v>100</v>
      </c>
      <c r="G9" s="792"/>
      <c r="H9" s="154">
        <f>SUMIF(64:64,G9,65:65)-SUMIF(64:64,C9,65:65)+100</f>
        <v>100</v>
      </c>
      <c r="I9" s="792"/>
      <c r="J9" s="154">
        <f>SUMIF(64:64,I9,65:65)-SUMIF(64:64,C9,65:65)+100</f>
        <v>100</v>
      </c>
      <c r="K9" s="88"/>
      <c r="L9" s="1742"/>
      <c r="M9" s="1639"/>
      <c r="N9" s="1639"/>
      <c r="O9" s="1639"/>
      <c r="P9" s="3627" t="s">
        <v>484</v>
      </c>
      <c r="Q9" s="818" t="str">
        <f t="shared" ref="Q9:Q15" si="6">B9</f>
        <v>用途</v>
      </c>
      <c r="R9" s="1302" t="s">
        <v>5</v>
      </c>
      <c r="S9" s="1303">
        <f t="shared" si="0"/>
        <v>100</v>
      </c>
      <c r="T9" s="1302" t="s">
        <v>5</v>
      </c>
      <c r="U9" s="1303">
        <f t="shared" si="1"/>
        <v>100</v>
      </c>
      <c r="V9" s="1302" t="s">
        <v>5</v>
      </c>
      <c r="W9" s="1303">
        <f t="shared" si="2"/>
        <v>100</v>
      </c>
      <c r="X9" s="1304"/>
      <c r="Y9" s="3575" t="s">
        <v>485</v>
      </c>
      <c r="Z9" s="997" t="str">
        <f t="shared" ref="Z9:Z15" si="7">Q9</f>
        <v>用途</v>
      </c>
      <c r="AA9" s="997">
        <f t="shared" si="3"/>
        <v>1</v>
      </c>
      <c r="AB9" s="997">
        <f t="shared" si="4"/>
        <v>1</v>
      </c>
      <c r="AC9" s="997">
        <f t="shared" si="5"/>
        <v>1</v>
      </c>
    </row>
    <row r="10" spans="1:29" s="1133" customFormat="1" ht="28.8">
      <c r="A10" s="2211"/>
      <c r="B10" s="2216" t="s">
        <v>2039</v>
      </c>
      <c r="C10" s="3385"/>
      <c r="D10" s="235">
        <v>100</v>
      </c>
      <c r="E10" s="3385"/>
      <c r="F10" s="235">
        <f>SUMIF(66:66,E10,67:67)-SUMIF(66:66,C10,67:67)+100</f>
        <v>100</v>
      </c>
      <c r="G10" s="3386"/>
      <c r="H10" s="235">
        <f>SUMIF(66:66,G10,67:67)-SUMIF(66:66,C10,67:67)+100</f>
        <v>100</v>
      </c>
      <c r="I10" s="3385"/>
      <c r="J10" s="235">
        <f>SUMIF(66:66,I10,67:67)-SUMIF(66:66,C10,67:67)+100</f>
        <v>100</v>
      </c>
      <c r="K10" s="88"/>
      <c r="L10" s="1744"/>
      <c r="M10" s="1777"/>
      <c r="N10" s="1777"/>
      <c r="O10" s="1777"/>
      <c r="P10" s="3627"/>
      <c r="Q10" s="818" t="str">
        <f t="shared" si="6"/>
        <v>土地使用年限（年）</v>
      </c>
      <c r="R10" s="1302" t="s">
        <v>5</v>
      </c>
      <c r="S10" s="1303">
        <f t="shared" si="0"/>
        <v>100</v>
      </c>
      <c r="T10" s="1302" t="s">
        <v>5</v>
      </c>
      <c r="U10" s="1303">
        <f t="shared" si="1"/>
        <v>100</v>
      </c>
      <c r="V10" s="1302" t="s">
        <v>5</v>
      </c>
      <c r="W10" s="1303">
        <f t="shared" si="2"/>
        <v>100</v>
      </c>
      <c r="X10" s="1304"/>
      <c r="Y10" s="3575"/>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6"/>
      <c r="M11" s="1741"/>
      <c r="N11" s="1741"/>
      <c r="O11" s="1741"/>
      <c r="P11" s="3627"/>
      <c r="Q11" s="818" t="str">
        <f t="shared" si="6"/>
        <v>容积率</v>
      </c>
      <c r="R11" s="1302" t="s">
        <v>5</v>
      </c>
      <c r="S11" s="1303" t="e">
        <f t="shared" si="0"/>
        <v>#N/A</v>
      </c>
      <c r="T11" s="1302" t="s">
        <v>5</v>
      </c>
      <c r="U11" s="1303" t="e">
        <f t="shared" si="1"/>
        <v>#N/A</v>
      </c>
      <c r="V11" s="1302" t="s">
        <v>5</v>
      </c>
      <c r="W11" s="1303" t="e">
        <f t="shared" si="2"/>
        <v>#N/A</v>
      </c>
      <c r="X11" s="1304"/>
      <c r="Y11" s="3575"/>
      <c r="Z11" s="997" t="str">
        <f t="shared" si="7"/>
        <v>容积率</v>
      </c>
      <c r="AA11" s="997" t="e">
        <f t="shared" si="3"/>
        <v>#N/A</v>
      </c>
      <c r="AB11" s="997" t="e">
        <f t="shared" si="4"/>
        <v>#N/A</v>
      </c>
      <c r="AC11" s="997" t="e">
        <f t="shared" si="5"/>
        <v>#N/A</v>
      </c>
    </row>
    <row r="12" spans="1:29" s="1060" customFormat="1" ht="15">
      <c r="A12" s="2213"/>
      <c r="B12" s="2219">
        <v>111</v>
      </c>
      <c r="C12" s="478"/>
      <c r="D12" s="488">
        <v>100</v>
      </c>
      <c r="E12" s="478"/>
      <c r="F12" s="235">
        <f>SUMIF(71:71,E12,72:72)-SUMIF(71:71,C12,72:72)+100</f>
        <v>100</v>
      </c>
      <c r="G12" s="833"/>
      <c r="H12" s="235">
        <f>SUMIF(71:71,G12,72:72)-SUMIF(71:71,C12,72:72)+100</f>
        <v>100</v>
      </c>
      <c r="I12" s="478"/>
      <c r="J12" s="235">
        <f>SUMIF(71:71,I12,72:72)-SUMIF(71:71,C12,72:72)+100</f>
        <v>100</v>
      </c>
      <c r="K12" s="531"/>
      <c r="L12" s="1742"/>
      <c r="M12" s="1639"/>
      <c r="N12" s="1639"/>
      <c r="O12" s="1639"/>
      <c r="P12" s="3627"/>
      <c r="Q12" s="818">
        <f t="shared" si="6"/>
        <v>111</v>
      </c>
      <c r="R12" s="1302" t="s">
        <v>5</v>
      </c>
      <c r="S12" s="1303">
        <f t="shared" si="0"/>
        <v>100</v>
      </c>
      <c r="T12" s="1302" t="s">
        <v>5</v>
      </c>
      <c r="U12" s="1303">
        <f t="shared" si="1"/>
        <v>100</v>
      </c>
      <c r="V12" s="1302" t="s">
        <v>5</v>
      </c>
      <c r="W12" s="1303">
        <f t="shared" si="2"/>
        <v>100</v>
      </c>
      <c r="X12" s="1304"/>
      <c r="Y12" s="3575"/>
      <c r="Z12" s="997">
        <f t="shared" si="7"/>
        <v>111</v>
      </c>
      <c r="AA12" s="997">
        <f>D12/F12</f>
        <v>1</v>
      </c>
      <c r="AB12" s="997">
        <f>D12/H12</f>
        <v>1</v>
      </c>
      <c r="AC12" s="997">
        <f>D12/J12</f>
        <v>1</v>
      </c>
    </row>
    <row r="13" spans="1:29" ht="15">
      <c r="A13" s="2213"/>
      <c r="B13" s="2219">
        <v>111</v>
      </c>
      <c r="C13" s="489"/>
      <c r="D13" s="490">
        <v>100</v>
      </c>
      <c r="E13" s="478"/>
      <c r="F13" s="235">
        <f>SUMIF(73:73,E13,74:74)-SUMIF(73:73,C13,74:74)+100</f>
        <v>100</v>
      </c>
      <c r="G13" s="833"/>
      <c r="H13" s="490">
        <f>SUMIF(73:73,G13,74:74)-SUMIF(73:73,C13,74:74)+100</f>
        <v>100</v>
      </c>
      <c r="I13" s="478"/>
      <c r="J13" s="490">
        <f>SUMIF(73:73,I13,74:74)-SUMIF(73:73,C13,74:74)+100</f>
        <v>100</v>
      </c>
      <c r="K13" s="531"/>
      <c r="L13" s="1748"/>
      <c r="M13" s="1741"/>
      <c r="N13" s="1741"/>
      <c r="O13" s="1741"/>
      <c r="P13" s="3627"/>
      <c r="Q13" s="818">
        <f t="shared" si="6"/>
        <v>111</v>
      </c>
      <c r="R13" s="1302" t="s">
        <v>5</v>
      </c>
      <c r="S13" s="1303">
        <f t="shared" si="0"/>
        <v>100</v>
      </c>
      <c r="T13" s="1302" t="s">
        <v>5</v>
      </c>
      <c r="U13" s="1303">
        <f t="shared" si="1"/>
        <v>100</v>
      </c>
      <c r="V13" s="1302" t="s">
        <v>5</v>
      </c>
      <c r="W13" s="1303">
        <f t="shared" si="2"/>
        <v>100</v>
      </c>
      <c r="X13" s="1304"/>
      <c r="Y13" s="3575"/>
      <c r="Z13" s="997">
        <f t="shared" si="7"/>
        <v>111</v>
      </c>
      <c r="AA13" s="997">
        <f t="shared" si="3"/>
        <v>1</v>
      </c>
      <c r="AB13" s="997">
        <f t="shared" si="4"/>
        <v>1</v>
      </c>
      <c r="AC13" s="997">
        <f t="shared" si="5"/>
        <v>1</v>
      </c>
    </row>
    <row r="14" spans="1:29" ht="15.6" thickBot="1">
      <c r="A14" s="2214"/>
      <c r="B14" s="2220">
        <v>111</v>
      </c>
      <c r="C14" s="495"/>
      <c r="D14" s="496">
        <v>100</v>
      </c>
      <c r="E14" s="834"/>
      <c r="F14" s="496">
        <f>SUMIF(75:75,E14,76:76)-SUMIF(75:75,C14,76:76)+100</f>
        <v>100</v>
      </c>
      <c r="G14" s="833"/>
      <c r="H14" s="496">
        <f>SUMIF(75:75,G14,76:76)-SUMIF(75:75,C14,76:76)+100</f>
        <v>100</v>
      </c>
      <c r="I14" s="478"/>
      <c r="J14" s="496">
        <f>SUMIF(75:75,I14,76:76)-SUMIF(75:75,C14,76:76)+100</f>
        <v>100</v>
      </c>
      <c r="K14" s="531"/>
      <c r="L14" s="1748"/>
      <c r="M14" s="1741"/>
      <c r="N14" s="1741"/>
      <c r="O14" s="1741"/>
      <c r="P14" s="3627"/>
      <c r="Q14" s="818">
        <f t="shared" si="6"/>
        <v>111</v>
      </c>
      <c r="R14" s="1302" t="s">
        <v>5</v>
      </c>
      <c r="S14" s="1303">
        <f t="shared" si="0"/>
        <v>100</v>
      </c>
      <c r="T14" s="1302" t="s">
        <v>5</v>
      </c>
      <c r="U14" s="1303">
        <f t="shared" si="1"/>
        <v>100</v>
      </c>
      <c r="V14" s="1302" t="s">
        <v>5</v>
      </c>
      <c r="W14" s="1303">
        <f t="shared" si="2"/>
        <v>100</v>
      </c>
      <c r="X14" s="1304"/>
      <c r="Y14" s="3575"/>
      <c r="Z14" s="997">
        <f t="shared" si="7"/>
        <v>111</v>
      </c>
      <c r="AA14" s="997">
        <f t="shared" si="3"/>
        <v>1</v>
      </c>
      <c r="AB14" s="997">
        <f t="shared" si="4"/>
        <v>1</v>
      </c>
      <c r="AC14" s="997">
        <f t="shared" si="5"/>
        <v>1</v>
      </c>
    </row>
    <row r="15" spans="1:29" ht="82.8">
      <c r="A15" s="2206" t="s">
        <v>2036</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2"/>
      <c r="L15" s="1748"/>
      <c r="M15" s="1741"/>
      <c r="N15" s="1741"/>
      <c r="O15" s="1741"/>
      <c r="P15" s="3629" t="s">
        <v>489</v>
      </c>
      <c r="Q15" s="1305" t="str">
        <f t="shared" si="6"/>
        <v>办公集聚程度</v>
      </c>
      <c r="R15" s="1306" t="s">
        <v>5</v>
      </c>
      <c r="S15" s="1307">
        <f t="shared" si="0"/>
        <v>100</v>
      </c>
      <c r="T15" s="1306" t="s">
        <v>5</v>
      </c>
      <c r="U15" s="1307">
        <f t="shared" si="1"/>
        <v>100</v>
      </c>
      <c r="V15" s="1306" t="s">
        <v>5</v>
      </c>
      <c r="W15" s="1307">
        <f t="shared" si="2"/>
        <v>100</v>
      </c>
      <c r="X15" s="1301"/>
      <c r="Y15" s="3629" t="s">
        <v>489</v>
      </c>
      <c r="Z15" s="1308" t="str">
        <f t="shared" si="7"/>
        <v>办公集聚程度</v>
      </c>
      <c r="AA15" s="1308">
        <f t="shared" si="3"/>
        <v>1</v>
      </c>
      <c r="AB15" s="1308">
        <f t="shared" si="4"/>
        <v>1</v>
      </c>
      <c r="AC15" s="1308">
        <f t="shared" si="5"/>
        <v>1</v>
      </c>
    </row>
    <row r="16" spans="1:29" ht="15">
      <c r="A16" s="482"/>
      <c r="B16" s="503"/>
      <c r="C16" s="504"/>
      <c r="D16" s="505"/>
      <c r="E16" s="526"/>
      <c r="F16" s="505"/>
      <c r="G16" s="504"/>
      <c r="H16" s="509"/>
      <c r="I16" s="526"/>
      <c r="J16" s="505"/>
      <c r="K16" s="823"/>
      <c r="L16" s="1748"/>
      <c r="M16" s="1741"/>
      <c r="N16" s="1741"/>
      <c r="O16" s="1741"/>
      <c r="P16" s="3630"/>
      <c r="Q16" s="1305"/>
      <c r="R16" s="1306"/>
      <c r="S16" s="1307"/>
      <c r="T16" s="1306"/>
      <c r="U16" s="1307"/>
      <c r="V16" s="1306"/>
      <c r="W16" s="1307"/>
      <c r="X16" s="1301"/>
      <c r="Y16" s="3630"/>
      <c r="Z16" s="1308"/>
      <c r="AA16" s="1308">
        <v>1</v>
      </c>
      <c r="AB16" s="1308">
        <v>1</v>
      </c>
      <c r="AC16" s="1308">
        <v>1</v>
      </c>
    </row>
    <row r="17" spans="1:29" ht="96.6">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2"/>
      <c r="L17" s="1748"/>
      <c r="M17" s="1741"/>
      <c r="N17" s="1741"/>
      <c r="O17" s="1741"/>
      <c r="P17" s="3630"/>
      <c r="Q17" s="1305" t="str">
        <f>B17</f>
        <v>交通便捷度</v>
      </c>
      <c r="R17" s="1306" t="s">
        <v>5</v>
      </c>
      <c r="S17" s="1307">
        <f>F17</f>
        <v>100</v>
      </c>
      <c r="T17" s="1306" t="s">
        <v>5</v>
      </c>
      <c r="U17" s="1307">
        <f>H17</f>
        <v>100</v>
      </c>
      <c r="V17" s="1306" t="s">
        <v>5</v>
      </c>
      <c r="W17" s="1307">
        <f>J17</f>
        <v>100</v>
      </c>
      <c r="X17" s="1301"/>
      <c r="Y17" s="3630"/>
      <c r="Z17" s="1308" t="str">
        <f>Q17</f>
        <v>交通便捷度</v>
      </c>
      <c r="AA17" s="1308">
        <f t="shared" si="3"/>
        <v>1</v>
      </c>
      <c r="AB17" s="1308">
        <f t="shared" si="4"/>
        <v>1</v>
      </c>
      <c r="AC17" s="1308">
        <f t="shared" si="5"/>
        <v>1</v>
      </c>
    </row>
    <row r="18" spans="1:29" ht="15">
      <c r="A18" s="482"/>
      <c r="B18" s="516"/>
      <c r="C18" s="517"/>
      <c r="D18" s="509"/>
      <c r="E18" s="519"/>
      <c r="F18" s="509"/>
      <c r="G18" s="518"/>
      <c r="H18" s="505"/>
      <c r="I18" s="518"/>
      <c r="J18" s="505"/>
      <c r="K18" s="823"/>
      <c r="L18" s="1748"/>
      <c r="M18" s="1741"/>
      <c r="N18" s="1741"/>
      <c r="O18" s="1741"/>
      <c r="P18" s="3630"/>
      <c r="Q18" s="1305"/>
      <c r="R18" s="1306"/>
      <c r="S18" s="1307"/>
      <c r="T18" s="1306"/>
      <c r="U18" s="1307"/>
      <c r="V18" s="1306"/>
      <c r="W18" s="1307"/>
      <c r="X18" s="1301"/>
      <c r="Y18" s="3630"/>
      <c r="Z18" s="1308"/>
      <c r="AA18" s="1308">
        <v>1</v>
      </c>
      <c r="AB18" s="1308">
        <v>1</v>
      </c>
      <c r="AC18" s="1308">
        <v>1</v>
      </c>
    </row>
    <row r="19" spans="1:29" ht="41.4">
      <c r="A19" s="482"/>
      <c r="B19" s="2061" t="s">
        <v>1829</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2"/>
      <c r="L19" s="1748"/>
      <c r="M19" s="1741"/>
      <c r="N19" s="1741"/>
      <c r="O19" s="1741"/>
      <c r="P19" s="3630"/>
      <c r="Q19" s="1305" t="str">
        <f>B19</f>
        <v>公共配套设施</v>
      </c>
      <c r="R19" s="1306" t="s">
        <v>5</v>
      </c>
      <c r="S19" s="1307">
        <f>F19</f>
        <v>100</v>
      </c>
      <c r="T19" s="1306" t="s">
        <v>5</v>
      </c>
      <c r="U19" s="1307">
        <f>H19</f>
        <v>100</v>
      </c>
      <c r="V19" s="1306" t="s">
        <v>5</v>
      </c>
      <c r="W19" s="1307">
        <f>J19</f>
        <v>100</v>
      </c>
      <c r="X19" s="1301"/>
      <c r="Y19" s="3630"/>
      <c r="Z19" s="1308" t="str">
        <f>Q19</f>
        <v>公共配套设施</v>
      </c>
      <c r="AA19" s="1308">
        <f t="shared" si="3"/>
        <v>1</v>
      </c>
      <c r="AB19" s="1308">
        <f t="shared" si="4"/>
        <v>1</v>
      </c>
      <c r="AC19" s="1308">
        <f t="shared" si="5"/>
        <v>1</v>
      </c>
    </row>
    <row r="20" spans="1:29" ht="15">
      <c r="A20" s="482"/>
      <c r="B20" s="516"/>
      <c r="C20" s="504"/>
      <c r="D20" s="505"/>
      <c r="E20" s="508"/>
      <c r="F20" s="505"/>
      <c r="G20" s="506"/>
      <c r="H20" s="505"/>
      <c r="I20" s="506"/>
      <c r="J20" s="505"/>
      <c r="K20" s="823"/>
      <c r="L20" s="1748"/>
      <c r="M20" s="1741"/>
      <c r="N20" s="1741"/>
      <c r="O20" s="1741"/>
      <c r="P20" s="3630"/>
      <c r="Q20" s="1305"/>
      <c r="R20" s="1306"/>
      <c r="S20" s="1307"/>
      <c r="T20" s="1306"/>
      <c r="U20" s="1307"/>
      <c r="V20" s="1306"/>
      <c r="W20" s="1307"/>
      <c r="X20" s="1301"/>
      <c r="Y20" s="3630"/>
      <c r="Z20" s="1308"/>
      <c r="AA20" s="1308">
        <v>1</v>
      </c>
      <c r="AB20" s="1308">
        <v>1</v>
      </c>
      <c r="AC20" s="1308">
        <v>1</v>
      </c>
    </row>
    <row r="21" spans="1:29" ht="41.4">
      <c r="A21" s="482"/>
      <c r="B21" s="2049" t="s">
        <v>1841</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2"/>
      <c r="L21" s="1748"/>
      <c r="M21" s="1741"/>
      <c r="N21" s="1741"/>
      <c r="O21" s="1741"/>
      <c r="P21" s="3630"/>
      <c r="Q21" s="1305" t="str">
        <f>B21</f>
        <v>基础设施水平</v>
      </c>
      <c r="R21" s="1306" t="s">
        <v>5</v>
      </c>
      <c r="S21" s="1307">
        <f>F21</f>
        <v>100</v>
      </c>
      <c r="T21" s="1306" t="s">
        <v>5</v>
      </c>
      <c r="U21" s="1307">
        <f>H21</f>
        <v>100</v>
      </c>
      <c r="V21" s="1306" t="s">
        <v>5</v>
      </c>
      <c r="W21" s="1307">
        <f>J21</f>
        <v>100</v>
      </c>
      <c r="X21" s="1301"/>
      <c r="Y21" s="3630"/>
      <c r="Z21" s="1308" t="str">
        <f>Q21</f>
        <v>基础设施水平</v>
      </c>
      <c r="AA21" s="1308">
        <f>D21/F21</f>
        <v>1</v>
      </c>
      <c r="AB21" s="1308">
        <f>D21/H21</f>
        <v>1</v>
      </c>
      <c r="AC21" s="1308">
        <f>D21/J21</f>
        <v>1</v>
      </c>
    </row>
    <row r="22" spans="1:29" ht="15">
      <c r="A22" s="482"/>
      <c r="B22" s="528"/>
      <c r="C22" s="517"/>
      <c r="D22" s="505"/>
      <c r="E22" s="526"/>
      <c r="F22" s="505"/>
      <c r="G22" s="504"/>
      <c r="H22" s="505"/>
      <c r="I22" s="504"/>
      <c r="J22" s="505"/>
      <c r="K22" s="2060"/>
      <c r="L22" s="1748"/>
      <c r="M22" s="1741"/>
      <c r="N22" s="1741"/>
      <c r="O22" s="1741"/>
      <c r="P22" s="3630"/>
      <c r="Q22" s="1305"/>
      <c r="R22" s="1306"/>
      <c r="S22" s="1307"/>
      <c r="T22" s="1306"/>
      <c r="U22" s="1307"/>
      <c r="V22" s="1306"/>
      <c r="W22" s="1307"/>
      <c r="X22" s="1301"/>
      <c r="Y22" s="3630"/>
      <c r="Z22" s="1308"/>
      <c r="AA22" s="1308">
        <v>1</v>
      </c>
      <c r="AB22" s="1308">
        <v>1</v>
      </c>
      <c r="AC22" s="1308">
        <v>1</v>
      </c>
    </row>
    <row r="23" spans="1:29" ht="55.2">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2"/>
      <c r="L23" s="1748"/>
      <c r="M23" s="1741"/>
      <c r="N23" s="1741"/>
      <c r="O23" s="1741"/>
      <c r="P23" s="3630"/>
      <c r="Q23" s="1305" t="str">
        <f>B23</f>
        <v>环境质量</v>
      </c>
      <c r="R23" s="1306" t="s">
        <v>5</v>
      </c>
      <c r="S23" s="1307">
        <f>F23</f>
        <v>100</v>
      </c>
      <c r="T23" s="1306" t="s">
        <v>5</v>
      </c>
      <c r="U23" s="1307">
        <f>H23</f>
        <v>100</v>
      </c>
      <c r="V23" s="1306" t="s">
        <v>5</v>
      </c>
      <c r="W23" s="1307">
        <f>J23</f>
        <v>100</v>
      </c>
      <c r="X23" s="1301"/>
      <c r="Y23" s="3630"/>
      <c r="Z23" s="1308" t="str">
        <f>Q23</f>
        <v>环境质量</v>
      </c>
      <c r="AA23" s="1308">
        <f t="shared" si="3"/>
        <v>1</v>
      </c>
      <c r="AB23" s="1308">
        <f t="shared" si="4"/>
        <v>1</v>
      </c>
      <c r="AC23" s="1308">
        <f t="shared" si="5"/>
        <v>1</v>
      </c>
    </row>
    <row r="24" spans="1:29" ht="15">
      <c r="A24" s="482"/>
      <c r="B24" s="528"/>
      <c r="C24" s="504"/>
      <c r="D24" s="505"/>
      <c r="E24" s="508"/>
      <c r="F24" s="505"/>
      <c r="G24" s="506"/>
      <c r="H24" s="505"/>
      <c r="I24" s="506"/>
      <c r="J24" s="505"/>
      <c r="K24" s="823"/>
      <c r="L24" s="1748"/>
      <c r="M24" s="1741"/>
      <c r="N24" s="1741"/>
      <c r="O24" s="1741"/>
      <c r="P24" s="3630"/>
      <c r="Q24" s="1305"/>
      <c r="R24" s="1306"/>
      <c r="S24" s="1307"/>
      <c r="T24" s="1306"/>
      <c r="U24" s="1307"/>
      <c r="V24" s="1306"/>
      <c r="W24" s="1307"/>
      <c r="X24" s="1301"/>
      <c r="Y24" s="3630"/>
      <c r="Z24" s="1308"/>
      <c r="AA24" s="1308">
        <v>1</v>
      </c>
      <c r="AB24" s="1308">
        <v>1</v>
      </c>
      <c r="AC24" s="1308">
        <v>1</v>
      </c>
    </row>
    <row r="25" spans="1:29" ht="28.8">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48"/>
      <c r="M25" s="1741"/>
      <c r="N25" s="1741"/>
      <c r="O25" s="1741"/>
      <c r="P25" s="3630"/>
      <c r="Q25" s="1305" t="str">
        <f>B25</f>
        <v>毗邻道路的类型与等级</v>
      </c>
      <c r="R25" s="1306" t="s">
        <v>5</v>
      </c>
      <c r="S25" s="1307">
        <f>F25</f>
        <v>100</v>
      </c>
      <c r="T25" s="1306" t="s">
        <v>5</v>
      </c>
      <c r="U25" s="1307">
        <f>H25</f>
        <v>100</v>
      </c>
      <c r="V25" s="1306" t="s">
        <v>5</v>
      </c>
      <c r="W25" s="1307">
        <f>J25</f>
        <v>100</v>
      </c>
      <c r="X25" s="1301"/>
      <c r="Y25" s="3630"/>
      <c r="Z25" s="1308" t="str">
        <f>Q25</f>
        <v>毗邻道路的类型与等级</v>
      </c>
      <c r="AA25" s="1308">
        <f t="shared" si="3"/>
        <v>1</v>
      </c>
      <c r="AB25" s="1308">
        <f t="shared" si="4"/>
        <v>1</v>
      </c>
      <c r="AC25" s="1308">
        <f t="shared" si="5"/>
        <v>1</v>
      </c>
    </row>
    <row r="26" spans="1:29" ht="15">
      <c r="A26" s="466"/>
      <c r="B26" s="516"/>
      <c r="C26" s="530"/>
      <c r="D26" s="490"/>
      <c r="E26" s="532"/>
      <c r="F26" s="490"/>
      <c r="G26" s="530"/>
      <c r="H26" s="490"/>
      <c r="I26" s="532"/>
      <c r="J26" s="490"/>
      <c r="K26" s="823"/>
      <c r="L26" s="1748"/>
      <c r="M26" s="1741"/>
      <c r="N26" s="1741"/>
      <c r="O26" s="1741"/>
      <c r="P26" s="3630"/>
      <c r="Q26" s="1305"/>
      <c r="R26" s="1306"/>
      <c r="S26" s="1307"/>
      <c r="T26" s="1306"/>
      <c r="U26" s="1307"/>
      <c r="V26" s="1306"/>
      <c r="W26" s="1307"/>
      <c r="X26" s="1301"/>
      <c r="Y26" s="3630"/>
      <c r="Z26" s="1308"/>
      <c r="AA26" s="1308">
        <v>1</v>
      </c>
      <c r="AB26" s="1308">
        <v>1</v>
      </c>
      <c r="AC26" s="1308">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8"/>
      <c r="M27" s="1741"/>
      <c r="N27" s="1741"/>
      <c r="O27" s="1741"/>
      <c r="P27" s="3630"/>
      <c r="Q27" s="1305" t="str">
        <f t="shared" ref="Q27:Q47" si="8">B27</f>
        <v>楼层</v>
      </c>
      <c r="R27" s="1306" t="s">
        <v>5</v>
      </c>
      <c r="S27" s="1307">
        <f>F27</f>
        <v>100</v>
      </c>
      <c r="T27" s="1306" t="s">
        <v>5</v>
      </c>
      <c r="U27" s="1307">
        <f>H27</f>
        <v>100</v>
      </c>
      <c r="V27" s="1306" t="s">
        <v>5</v>
      </c>
      <c r="W27" s="1307">
        <f>J27</f>
        <v>100</v>
      </c>
      <c r="X27" s="1301"/>
      <c r="Y27" s="3630"/>
      <c r="Z27" s="1308" t="str">
        <f>Q27</f>
        <v>楼层</v>
      </c>
      <c r="AA27" s="1308">
        <f t="shared" si="3"/>
        <v>1</v>
      </c>
      <c r="AB27" s="1308">
        <f t="shared" si="4"/>
        <v>1</v>
      </c>
      <c r="AC27" s="1308">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2"/>
      <c r="M28" s="1639"/>
      <c r="N28" s="1639"/>
      <c r="O28" s="1639"/>
      <c r="P28" s="3630"/>
      <c r="Q28" s="818" t="str">
        <f t="shared" si="8"/>
        <v>朝向</v>
      </c>
      <c r="R28" s="1302" t="s">
        <v>5</v>
      </c>
      <c r="S28" s="1303">
        <f>F28</f>
        <v>100</v>
      </c>
      <c r="T28" s="1302" t="s">
        <v>5</v>
      </c>
      <c r="U28" s="1303">
        <f>H28</f>
        <v>100</v>
      </c>
      <c r="V28" s="1302" t="s">
        <v>5</v>
      </c>
      <c r="W28" s="1303">
        <f>J28</f>
        <v>100</v>
      </c>
      <c r="X28" s="1304"/>
      <c r="Y28" s="3630"/>
      <c r="Z28" s="997" t="str">
        <f>Q28</f>
        <v>朝向</v>
      </c>
      <c r="AA28" s="1308">
        <f>D28/F28</f>
        <v>1</v>
      </c>
      <c r="AB28" s="1308">
        <f>D28/H28</f>
        <v>1</v>
      </c>
      <c r="AC28" s="1308">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8"/>
      <c r="M29" s="1741"/>
      <c r="N29" s="1741"/>
      <c r="O29" s="1741"/>
      <c r="P29" s="3630"/>
      <c r="Q29" s="1305">
        <f t="shared" si="8"/>
        <v>111</v>
      </c>
      <c r="R29" s="1306" t="s">
        <v>5</v>
      </c>
      <c r="S29" s="1307">
        <f t="shared" ref="S29:S47" si="9">F29</f>
        <v>100</v>
      </c>
      <c r="T29" s="1306" t="s">
        <v>5</v>
      </c>
      <c r="U29" s="1307">
        <f t="shared" ref="U29:U47" si="10">H29</f>
        <v>100</v>
      </c>
      <c r="V29" s="1306" t="s">
        <v>5</v>
      </c>
      <c r="W29" s="1307">
        <f t="shared" ref="W29:W47" si="11">J29</f>
        <v>100</v>
      </c>
      <c r="X29" s="1301"/>
      <c r="Y29" s="3630"/>
      <c r="Z29" s="1308">
        <f t="shared" ref="Z29:Z47" si="12">Q29</f>
        <v>111</v>
      </c>
      <c r="AA29" s="1308">
        <f t="shared" si="3"/>
        <v>1</v>
      </c>
      <c r="AB29" s="1308">
        <f t="shared" si="4"/>
        <v>1</v>
      </c>
      <c r="AC29" s="1308">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8"/>
      <c r="M30" s="1741"/>
      <c r="N30" s="1741"/>
      <c r="O30" s="1741"/>
      <c r="P30" s="3630"/>
      <c r="Q30" s="1305">
        <f t="shared" si="8"/>
        <v>111</v>
      </c>
      <c r="R30" s="1306" t="s">
        <v>5</v>
      </c>
      <c r="S30" s="1307">
        <f t="shared" si="9"/>
        <v>100</v>
      </c>
      <c r="T30" s="1306" t="s">
        <v>5</v>
      </c>
      <c r="U30" s="1307">
        <f t="shared" si="10"/>
        <v>100</v>
      </c>
      <c r="V30" s="1306" t="s">
        <v>5</v>
      </c>
      <c r="W30" s="1307">
        <f t="shared" si="11"/>
        <v>100</v>
      </c>
      <c r="X30" s="1301"/>
      <c r="Y30" s="3630"/>
      <c r="Z30" s="1308">
        <f t="shared" si="12"/>
        <v>111</v>
      </c>
      <c r="AA30" s="1308">
        <f t="shared" si="3"/>
        <v>1</v>
      </c>
      <c r="AB30" s="1308">
        <f t="shared" si="4"/>
        <v>1</v>
      </c>
      <c r="AC30" s="1308">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8"/>
      <c r="M31" s="1741"/>
      <c r="N31" s="1741"/>
      <c r="O31" s="1741"/>
      <c r="P31" s="3630"/>
      <c r="Q31" s="1305">
        <f t="shared" si="8"/>
        <v>111</v>
      </c>
      <c r="R31" s="1306" t="s">
        <v>5</v>
      </c>
      <c r="S31" s="1307">
        <f t="shared" si="9"/>
        <v>100</v>
      </c>
      <c r="T31" s="1306" t="s">
        <v>5</v>
      </c>
      <c r="U31" s="1307">
        <f t="shared" si="10"/>
        <v>100</v>
      </c>
      <c r="V31" s="1306" t="s">
        <v>5</v>
      </c>
      <c r="W31" s="1307">
        <f t="shared" si="11"/>
        <v>100</v>
      </c>
      <c r="X31" s="1301"/>
      <c r="Y31" s="3630"/>
      <c r="Z31" s="1308">
        <f t="shared" si="12"/>
        <v>111</v>
      </c>
      <c r="AA31" s="1308">
        <f t="shared" si="3"/>
        <v>1</v>
      </c>
      <c r="AB31" s="1308">
        <f t="shared" si="4"/>
        <v>1</v>
      </c>
      <c r="AC31" s="1308">
        <f t="shared" si="5"/>
        <v>1</v>
      </c>
    </row>
    <row r="32" spans="1:29" ht="15.6"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8"/>
      <c r="M32" s="1741"/>
      <c r="N32" s="1741"/>
      <c r="O32" s="1741"/>
      <c r="P32" s="3630"/>
      <c r="Q32" s="1305">
        <f t="shared" si="8"/>
        <v>111</v>
      </c>
      <c r="R32" s="1306" t="s">
        <v>5</v>
      </c>
      <c r="S32" s="1307">
        <f t="shared" si="9"/>
        <v>100</v>
      </c>
      <c r="T32" s="1306" t="s">
        <v>5</v>
      </c>
      <c r="U32" s="1307">
        <f t="shared" si="10"/>
        <v>100</v>
      </c>
      <c r="V32" s="1306" t="s">
        <v>5</v>
      </c>
      <c r="W32" s="1307">
        <f t="shared" si="11"/>
        <v>100</v>
      </c>
      <c r="X32" s="1301"/>
      <c r="Y32" s="3630"/>
      <c r="Z32" s="1308">
        <f t="shared" si="12"/>
        <v>111</v>
      </c>
      <c r="AA32" s="1308">
        <f t="shared" si="3"/>
        <v>1</v>
      </c>
      <c r="AB32" s="1308">
        <f t="shared" si="4"/>
        <v>1</v>
      </c>
      <c r="AC32" s="1308">
        <f t="shared" si="5"/>
        <v>1</v>
      </c>
    </row>
    <row r="33" spans="1:29" ht="15">
      <c r="A33" s="2203"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8"/>
      <c r="M33" s="1741"/>
      <c r="N33" s="1741"/>
      <c r="O33" s="1741"/>
      <c r="P33" s="3631" t="s">
        <v>499</v>
      </c>
      <c r="Q33" s="1305" t="str">
        <f t="shared" si="8"/>
        <v>建筑类型</v>
      </c>
      <c r="R33" s="1306" t="s">
        <v>5</v>
      </c>
      <c r="S33" s="1307">
        <f t="shared" si="9"/>
        <v>100</v>
      </c>
      <c r="T33" s="1306" t="s">
        <v>5</v>
      </c>
      <c r="U33" s="1307">
        <f t="shared" si="10"/>
        <v>100</v>
      </c>
      <c r="V33" s="1306" t="s">
        <v>5</v>
      </c>
      <c r="W33" s="1307">
        <f t="shared" si="11"/>
        <v>100</v>
      </c>
      <c r="X33" s="1301"/>
      <c r="Y33" s="3632" t="s">
        <v>499</v>
      </c>
      <c r="Z33" s="1308" t="str">
        <f t="shared" si="12"/>
        <v>建筑类型</v>
      </c>
      <c r="AA33" s="1308">
        <f t="shared" si="3"/>
        <v>1</v>
      </c>
      <c r="AB33" s="1308">
        <f t="shared" si="4"/>
        <v>1</v>
      </c>
      <c r="AC33" s="1308">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6"/>
      <c r="M34" s="1770"/>
      <c r="N34" s="1770"/>
      <c r="O34" s="1770"/>
      <c r="P34" s="3632"/>
      <c r="Q34" s="819" t="str">
        <f t="shared" si="8"/>
        <v>项目建筑规模</v>
      </c>
      <c r="R34" s="1309" t="s">
        <v>5</v>
      </c>
      <c r="S34" s="1310" t="e">
        <f t="shared" si="9"/>
        <v>#N/A</v>
      </c>
      <c r="T34" s="1309" t="s">
        <v>5</v>
      </c>
      <c r="U34" s="1310" t="e">
        <f t="shared" si="10"/>
        <v>#N/A</v>
      </c>
      <c r="V34" s="1309" t="s">
        <v>5</v>
      </c>
      <c r="W34" s="1310" t="e">
        <f t="shared" si="11"/>
        <v>#N/A</v>
      </c>
      <c r="X34" s="1311"/>
      <c r="Y34" s="3632"/>
      <c r="Z34" s="1312" t="str">
        <f t="shared" si="12"/>
        <v>项目建筑规模</v>
      </c>
      <c r="AA34" s="1308" t="e">
        <f t="shared" si="3"/>
        <v>#N/A</v>
      </c>
      <c r="AB34" s="1308" t="e">
        <f t="shared" si="4"/>
        <v>#N/A</v>
      </c>
      <c r="AC34" s="1308"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8"/>
      <c r="M35" s="1741"/>
      <c r="N35" s="1741"/>
      <c r="O35" s="1741"/>
      <c r="P35" s="3632"/>
      <c r="Q35" s="1305" t="str">
        <f t="shared" si="8"/>
        <v>建筑结构</v>
      </c>
      <c r="R35" s="1306" t="s">
        <v>5</v>
      </c>
      <c r="S35" s="1307">
        <f t="shared" si="9"/>
        <v>100</v>
      </c>
      <c r="T35" s="1306" t="s">
        <v>5</v>
      </c>
      <c r="U35" s="1307">
        <f t="shared" si="10"/>
        <v>100</v>
      </c>
      <c r="V35" s="1306" t="s">
        <v>5</v>
      </c>
      <c r="W35" s="1307">
        <f t="shared" si="11"/>
        <v>100</v>
      </c>
      <c r="X35" s="1301"/>
      <c r="Y35" s="3632"/>
      <c r="Z35" s="1308" t="str">
        <f t="shared" si="12"/>
        <v>建筑结构</v>
      </c>
      <c r="AA35" s="1308">
        <f t="shared" si="3"/>
        <v>1</v>
      </c>
      <c r="AB35" s="1308">
        <f t="shared" si="4"/>
        <v>1</v>
      </c>
      <c r="AC35" s="1308">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8"/>
      <c r="M36" s="1741"/>
      <c r="N36" s="1741"/>
      <c r="O36" s="1741"/>
      <c r="P36" s="3632"/>
      <c r="Q36" s="1305" t="str">
        <f t="shared" si="8"/>
        <v>公共部分装修</v>
      </c>
      <c r="R36" s="1306" t="s">
        <v>5</v>
      </c>
      <c r="S36" s="1307">
        <f t="shared" si="9"/>
        <v>100</v>
      </c>
      <c r="T36" s="1306" t="s">
        <v>5</v>
      </c>
      <c r="U36" s="1307">
        <f t="shared" si="10"/>
        <v>100</v>
      </c>
      <c r="V36" s="1306" t="s">
        <v>5</v>
      </c>
      <c r="W36" s="1307">
        <f t="shared" si="11"/>
        <v>100</v>
      </c>
      <c r="X36" s="1301"/>
      <c r="Y36" s="3632"/>
      <c r="Z36" s="1308" t="str">
        <f t="shared" si="12"/>
        <v>公共部分装修</v>
      </c>
      <c r="AA36" s="1308">
        <f t="shared" si="3"/>
        <v>1</v>
      </c>
      <c r="AB36" s="1308">
        <f t="shared" si="4"/>
        <v>1</v>
      </c>
      <c r="AC36" s="1308">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8"/>
      <c r="M37" s="1741"/>
      <c r="N37" s="1741"/>
      <c r="O37" s="1741"/>
      <c r="P37" s="3632"/>
      <c r="Q37" s="1305" t="str">
        <f t="shared" si="8"/>
        <v>成新度</v>
      </c>
      <c r="R37" s="1306" t="s">
        <v>5</v>
      </c>
      <c r="S37" s="1307" t="e">
        <f t="shared" si="9"/>
        <v>#N/A</v>
      </c>
      <c r="T37" s="1306" t="s">
        <v>5</v>
      </c>
      <c r="U37" s="1307" t="e">
        <f t="shared" si="10"/>
        <v>#N/A</v>
      </c>
      <c r="V37" s="1306" t="s">
        <v>5</v>
      </c>
      <c r="W37" s="1307" t="e">
        <f t="shared" si="11"/>
        <v>#N/A</v>
      </c>
      <c r="X37" s="1301"/>
      <c r="Y37" s="3632"/>
      <c r="Z37" s="1308" t="str">
        <f t="shared" si="12"/>
        <v>成新度</v>
      </c>
      <c r="AA37" s="1308" t="e">
        <f t="shared" si="3"/>
        <v>#N/A</v>
      </c>
      <c r="AB37" s="1308" t="e">
        <f t="shared" si="4"/>
        <v>#N/A</v>
      </c>
      <c r="AC37" s="1308"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2"/>
      <c r="M38" s="1639"/>
      <c r="N38" s="1639"/>
      <c r="O38" s="1639"/>
      <c r="P38" s="3632"/>
      <c r="Q38" s="818" t="str">
        <f t="shared" si="8"/>
        <v>写字楼等级</v>
      </c>
      <c r="R38" s="1302" t="s">
        <v>5</v>
      </c>
      <c r="S38" s="1303">
        <f t="shared" si="9"/>
        <v>100</v>
      </c>
      <c r="T38" s="1302" t="s">
        <v>5</v>
      </c>
      <c r="U38" s="1303">
        <f t="shared" si="10"/>
        <v>100</v>
      </c>
      <c r="V38" s="1302" t="s">
        <v>5</v>
      </c>
      <c r="W38" s="1303">
        <f t="shared" si="11"/>
        <v>100</v>
      </c>
      <c r="X38" s="1304"/>
      <c r="Y38" s="3632"/>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8"/>
      <c r="M39" s="1741"/>
      <c r="N39" s="1741"/>
      <c r="O39" s="1741"/>
      <c r="P39" s="3632" t="s">
        <v>499</v>
      </c>
      <c r="Q39" s="1305" t="str">
        <f t="shared" si="8"/>
        <v>物业管理</v>
      </c>
      <c r="R39" s="1306" t="s">
        <v>5</v>
      </c>
      <c r="S39" s="1307">
        <f t="shared" si="9"/>
        <v>100</v>
      </c>
      <c r="T39" s="1306" t="s">
        <v>5</v>
      </c>
      <c r="U39" s="1307">
        <f t="shared" si="10"/>
        <v>100</v>
      </c>
      <c r="V39" s="1306" t="s">
        <v>5</v>
      </c>
      <c r="W39" s="1307">
        <f t="shared" si="11"/>
        <v>100</v>
      </c>
      <c r="X39" s="1301"/>
      <c r="Y39" s="3632" t="s">
        <v>499</v>
      </c>
      <c r="Z39" s="1308" t="str">
        <f t="shared" si="12"/>
        <v>物业管理</v>
      </c>
      <c r="AA39" s="1308">
        <f t="shared" si="3"/>
        <v>1</v>
      </c>
      <c r="AB39" s="1308">
        <f t="shared" si="4"/>
        <v>1</v>
      </c>
      <c r="AC39" s="1308">
        <f t="shared" si="5"/>
        <v>1</v>
      </c>
    </row>
    <row r="40" spans="1:29" ht="15">
      <c r="A40" s="543"/>
      <c r="B40" s="1553"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8"/>
      <c r="M40" s="1741"/>
      <c r="N40" s="1741"/>
      <c r="O40" s="1741"/>
      <c r="P40" s="3632"/>
      <c r="Q40" s="1305" t="str">
        <f t="shared" si="8"/>
        <v>市政基础设施</v>
      </c>
      <c r="R40" s="1306" t="s">
        <v>5</v>
      </c>
      <c r="S40" s="1307">
        <f t="shared" si="9"/>
        <v>100</v>
      </c>
      <c r="T40" s="1306" t="s">
        <v>5</v>
      </c>
      <c r="U40" s="1307">
        <f t="shared" si="10"/>
        <v>100</v>
      </c>
      <c r="V40" s="1306" t="s">
        <v>5</v>
      </c>
      <c r="W40" s="1307">
        <f t="shared" si="11"/>
        <v>100</v>
      </c>
      <c r="X40" s="1301"/>
      <c r="Y40" s="3632"/>
      <c r="Z40" s="1308" t="str">
        <f t="shared" si="12"/>
        <v>市政基础设施</v>
      </c>
      <c r="AA40" s="1308">
        <f t="shared" si="3"/>
        <v>1</v>
      </c>
      <c r="AB40" s="1308">
        <f t="shared" si="4"/>
        <v>1</v>
      </c>
      <c r="AC40" s="1308">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8"/>
      <c r="M41" s="1741"/>
      <c r="N41" s="1741"/>
      <c r="O41" s="1741"/>
      <c r="P41" s="3632"/>
      <c r="Q41" s="1305" t="str">
        <f t="shared" si="8"/>
        <v>层高</v>
      </c>
      <c r="R41" s="1306" t="s">
        <v>5</v>
      </c>
      <c r="S41" s="1307">
        <f t="shared" si="9"/>
        <v>100</v>
      </c>
      <c r="T41" s="1306" t="s">
        <v>5</v>
      </c>
      <c r="U41" s="1307">
        <f t="shared" si="10"/>
        <v>100</v>
      </c>
      <c r="V41" s="1306" t="s">
        <v>5</v>
      </c>
      <c r="W41" s="1307">
        <f t="shared" si="11"/>
        <v>100</v>
      </c>
      <c r="X41" s="1301"/>
      <c r="Y41" s="3632"/>
      <c r="Z41" s="1308" t="str">
        <f t="shared" si="12"/>
        <v>层高</v>
      </c>
      <c r="AA41" s="1308">
        <f t="shared" si="3"/>
        <v>1</v>
      </c>
      <c r="AB41" s="1308">
        <f t="shared" si="4"/>
        <v>1</v>
      </c>
      <c r="AC41" s="1308">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6"/>
      <c r="M42" s="1770"/>
      <c r="N42" s="1770"/>
      <c r="O42" s="1770"/>
      <c r="P42" s="3632"/>
      <c r="Q42" s="819" t="str">
        <f t="shared" si="8"/>
        <v>单套建筑面积</v>
      </c>
      <c r="R42" s="1309" t="s">
        <v>5</v>
      </c>
      <c r="S42" s="1310">
        <f t="shared" si="9"/>
        <v>100</v>
      </c>
      <c r="T42" s="1309" t="s">
        <v>5</v>
      </c>
      <c r="U42" s="1310">
        <f t="shared" si="10"/>
        <v>100</v>
      </c>
      <c r="V42" s="1309" t="s">
        <v>5</v>
      </c>
      <c r="W42" s="1310">
        <f t="shared" si="11"/>
        <v>100</v>
      </c>
      <c r="X42" s="1311"/>
      <c r="Y42" s="3632"/>
      <c r="Z42" s="1312" t="str">
        <f t="shared" si="12"/>
        <v>单套建筑面积</v>
      </c>
      <c r="AA42" s="1308">
        <f t="shared" si="3"/>
        <v>1</v>
      </c>
      <c r="AB42" s="1308">
        <f t="shared" si="4"/>
        <v>1</v>
      </c>
      <c r="AC42" s="1308">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8"/>
      <c r="M43" s="1741"/>
      <c r="N43" s="1741"/>
      <c r="O43" s="1741"/>
      <c r="P43" s="3632"/>
      <c r="Q43" s="1305" t="str">
        <f t="shared" si="8"/>
        <v>内部装修</v>
      </c>
      <c r="R43" s="1306" t="s">
        <v>5</v>
      </c>
      <c r="S43" s="1307">
        <f t="shared" si="9"/>
        <v>100</v>
      </c>
      <c r="T43" s="1306" t="s">
        <v>5</v>
      </c>
      <c r="U43" s="1307">
        <f t="shared" si="10"/>
        <v>100</v>
      </c>
      <c r="V43" s="1306" t="s">
        <v>5</v>
      </c>
      <c r="W43" s="1307">
        <f t="shared" si="11"/>
        <v>100</v>
      </c>
      <c r="X43" s="1301"/>
      <c r="Y43" s="3632"/>
      <c r="Z43" s="1308" t="str">
        <f t="shared" si="12"/>
        <v>内部装修</v>
      </c>
      <c r="AA43" s="1308">
        <f t="shared" si="3"/>
        <v>1</v>
      </c>
      <c r="AB43" s="1308">
        <f t="shared" si="4"/>
        <v>1</v>
      </c>
      <c r="AC43" s="1308">
        <f t="shared" si="5"/>
        <v>1</v>
      </c>
    </row>
    <row r="44" spans="1:29" ht="28.8">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8"/>
      <c r="M44" s="1741"/>
      <c r="N44" s="1741"/>
      <c r="O44" s="1741"/>
      <c r="P44" s="3632"/>
      <c r="Q44" s="1305" t="str">
        <f t="shared" si="8"/>
        <v>内部装修维护情况</v>
      </c>
      <c r="R44" s="1306" t="s">
        <v>5</v>
      </c>
      <c r="S44" s="1307">
        <f t="shared" si="9"/>
        <v>100</v>
      </c>
      <c r="T44" s="1306" t="s">
        <v>5</v>
      </c>
      <c r="U44" s="1307">
        <f t="shared" si="10"/>
        <v>100</v>
      </c>
      <c r="V44" s="1306" t="s">
        <v>5</v>
      </c>
      <c r="W44" s="1307">
        <f t="shared" si="11"/>
        <v>100</v>
      </c>
      <c r="X44" s="1301"/>
      <c r="Y44" s="3632"/>
      <c r="Z44" s="1308" t="str">
        <f t="shared" si="12"/>
        <v>内部装修维护情况</v>
      </c>
      <c r="AA44" s="1308">
        <f t="shared" si="3"/>
        <v>1</v>
      </c>
      <c r="AB44" s="1308">
        <f t="shared" si="4"/>
        <v>1</v>
      </c>
      <c r="AC44" s="1308">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2"/>
      <c r="M45" s="1639"/>
      <c r="N45" s="1639"/>
      <c r="O45" s="1639"/>
      <c r="P45" s="3632"/>
      <c r="Q45" s="818">
        <f t="shared" si="8"/>
        <v>111</v>
      </c>
      <c r="R45" s="1302" t="s">
        <v>5</v>
      </c>
      <c r="S45" s="1303">
        <f t="shared" si="9"/>
        <v>100</v>
      </c>
      <c r="T45" s="1302" t="s">
        <v>5</v>
      </c>
      <c r="U45" s="1303">
        <f t="shared" si="10"/>
        <v>100</v>
      </c>
      <c r="V45" s="1302" t="s">
        <v>5</v>
      </c>
      <c r="W45" s="1303">
        <f t="shared" si="11"/>
        <v>100</v>
      </c>
      <c r="X45" s="1304"/>
      <c r="Y45" s="3632"/>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8"/>
      <c r="M46" s="1741"/>
      <c r="N46" s="1741"/>
      <c r="O46" s="1741"/>
      <c r="P46" s="3632"/>
      <c r="Q46" s="1305">
        <f t="shared" si="8"/>
        <v>111</v>
      </c>
      <c r="R46" s="1306" t="s">
        <v>5</v>
      </c>
      <c r="S46" s="1307">
        <f t="shared" si="9"/>
        <v>100</v>
      </c>
      <c r="T46" s="1306" t="s">
        <v>5</v>
      </c>
      <c r="U46" s="1307">
        <f t="shared" si="10"/>
        <v>100</v>
      </c>
      <c r="V46" s="1306" t="s">
        <v>5</v>
      </c>
      <c r="W46" s="1307">
        <f t="shared" si="11"/>
        <v>100</v>
      </c>
      <c r="X46" s="1301"/>
      <c r="Y46" s="3632"/>
      <c r="Z46" s="1308">
        <f t="shared" si="12"/>
        <v>111</v>
      </c>
      <c r="AA46" s="1308">
        <f t="shared" si="3"/>
        <v>1</v>
      </c>
      <c r="AB46" s="1308">
        <f t="shared" si="4"/>
        <v>1</v>
      </c>
      <c r="AC46" s="1308">
        <f t="shared" si="5"/>
        <v>1</v>
      </c>
    </row>
    <row r="47" spans="1:29" ht="15.6"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8"/>
      <c r="M47" s="1741"/>
      <c r="N47" s="1741"/>
      <c r="O47" s="1741"/>
      <c r="P47" s="3741"/>
      <c r="Q47" s="1305">
        <f t="shared" si="8"/>
        <v>111</v>
      </c>
      <c r="R47" s="1306" t="s">
        <v>5</v>
      </c>
      <c r="S47" s="1307">
        <f t="shared" si="9"/>
        <v>100</v>
      </c>
      <c r="T47" s="1306" t="s">
        <v>5</v>
      </c>
      <c r="U47" s="1307">
        <f t="shared" si="10"/>
        <v>100</v>
      </c>
      <c r="V47" s="1306" t="s">
        <v>5</v>
      </c>
      <c r="W47" s="1307">
        <f t="shared" si="11"/>
        <v>100</v>
      </c>
      <c r="X47" s="1301"/>
      <c r="Y47" s="3741"/>
      <c r="Z47" s="1308">
        <f t="shared" si="12"/>
        <v>111</v>
      </c>
      <c r="AA47" s="1308">
        <f t="shared" si="3"/>
        <v>1</v>
      </c>
      <c r="AB47" s="1308">
        <f t="shared" si="4"/>
        <v>1</v>
      </c>
      <c r="AC47" s="1308">
        <f t="shared" si="5"/>
        <v>1</v>
      </c>
    </row>
    <row r="48" spans="1:29" ht="14.4">
      <c r="A48" s="556" t="s">
        <v>683</v>
      </c>
      <c r="B48" s="812"/>
      <c r="C48" s="2080" t="s">
        <v>0</v>
      </c>
      <c r="D48" s="559"/>
      <c r="E48" s="560"/>
      <c r="F48" s="561"/>
      <c r="G48" s="562"/>
      <c r="H48" s="563"/>
      <c r="I48" s="560"/>
      <c r="J48" s="563"/>
      <c r="K48" s="1334"/>
      <c r="L48" s="1750"/>
      <c r="M48" s="1741"/>
      <c r="N48" s="1741"/>
      <c r="O48" s="1741"/>
      <c r="P48" s="3634" t="str">
        <f>A48</f>
        <v>成交单价（元/平方米）</v>
      </c>
      <c r="Q48" s="3627"/>
      <c r="R48" s="3643">
        <f>E48</f>
        <v>0</v>
      </c>
      <c r="S48" s="3643"/>
      <c r="T48" s="3643">
        <f>G48</f>
        <v>0</v>
      </c>
      <c r="U48" s="3643"/>
      <c r="V48" s="3643">
        <f>I48</f>
        <v>0</v>
      </c>
      <c r="W48" s="3643"/>
      <c r="X48" s="799"/>
      <c r="Y48" s="1313"/>
      <c r="Z48" s="799"/>
      <c r="AA48" s="799"/>
      <c r="AB48" s="799"/>
      <c r="AC48" s="799"/>
    </row>
    <row r="49" spans="1:29" ht="15" thickBot="1">
      <c r="A49" s="564" t="s">
        <v>2042</v>
      </c>
      <c r="B49" s="813"/>
      <c r="C49" s="2081" t="e">
        <f>R50</f>
        <v>#DIV/0!</v>
      </c>
      <c r="D49" s="2549" t="s">
        <v>2261</v>
      </c>
      <c r="E49" s="2082" t="e">
        <f>R49</f>
        <v>#DIV/0!</v>
      </c>
      <c r="F49" s="2550"/>
      <c r="G49" s="2081" t="e">
        <f>T49</f>
        <v>#DIV/0!</v>
      </c>
      <c r="H49" s="2550"/>
      <c r="I49" s="2082" t="e">
        <f>V49</f>
        <v>#DIV/0!</v>
      </c>
      <c r="J49" s="2550"/>
      <c r="K49" s="2557">
        <f>F49+H49+J49</f>
        <v>0</v>
      </c>
      <c r="L49" s="1750"/>
      <c r="M49" s="1741"/>
      <c r="N49" s="1741"/>
      <c r="O49" s="1741"/>
      <c r="P49" s="3634" t="str">
        <f>A49</f>
        <v>比较价格（元/平方米）</v>
      </c>
      <c r="Q49" s="3627"/>
      <c r="R49" s="3643" t="e">
        <f>IF(F1="售价",ROUND(PRODUCT(R48,AA7:AA47),0),ROUND(PRODUCT(R48,AA7:AA47),1))</f>
        <v>#DIV/0!</v>
      </c>
      <c r="S49" s="3643"/>
      <c r="T49" s="3643" t="e">
        <f>IF(F1="售价",ROUND(PRODUCT(T48,AB7:AB47),0),ROUND(PRODUCT(T48,AB7:AB47),1))</f>
        <v>#DIV/0!</v>
      </c>
      <c r="U49" s="3643"/>
      <c r="V49" s="3643" t="e">
        <f>IF(F1="售价",ROUND(PRODUCT(V48,AC7:AC47),0),ROUND(PRODUCT(V48,AC7:AC47),1))</f>
        <v>#DIV/0!</v>
      </c>
      <c r="W49" s="3643"/>
      <c r="X49" s="799"/>
      <c r="Y49" s="799"/>
      <c r="Z49" s="799"/>
      <c r="AA49" s="799"/>
      <c r="AB49" s="799"/>
      <c r="AC49" s="799"/>
    </row>
    <row r="50" spans="1:29" ht="15" thickBot="1">
      <c r="A50" s="568" t="s">
        <v>2198</v>
      </c>
      <c r="B50" s="569"/>
      <c r="C50" s="469" t="e">
        <f>R50</f>
        <v>#DIV/0!</v>
      </c>
      <c r="D50" s="469"/>
      <c r="E50" s="469"/>
      <c r="F50" s="469"/>
      <c r="G50" s="469"/>
      <c r="H50" s="469"/>
      <c r="I50" s="469"/>
      <c r="J50" s="469"/>
      <c r="K50" s="1335"/>
      <c r="L50" s="1750"/>
      <c r="M50" s="1741"/>
      <c r="N50" s="1741"/>
      <c r="O50" s="1741"/>
      <c r="P50" s="3747" t="str">
        <f>A50</f>
        <v>估价对象XX用房的比较价格（楼面单价，元/平方米）</v>
      </c>
      <c r="Q50" s="3634"/>
      <c r="R50" s="3740" t="e">
        <f>IF(F1="售价",ROUND(IF(D49="简单平均",AVERAGE(R49:V49),R49*F49+T49*H49+V49*J49),0),ROUND(IF(D49="简单平均",AVERAGE(R49:V49),R49*F49+T49*H49+V49*J49),1))</f>
        <v>#DIV/0!</v>
      </c>
      <c r="S50" s="3740"/>
      <c r="T50" s="3740"/>
      <c r="U50" s="3740"/>
      <c r="V50" s="3740"/>
      <c r="W50" s="3740"/>
      <c r="X50" s="799"/>
      <c r="Y50" s="799"/>
      <c r="Z50" s="799"/>
      <c r="AA50" s="799"/>
      <c r="AB50" s="799"/>
      <c r="AC50" s="799"/>
    </row>
    <row r="51" spans="1:29">
      <c r="A51" s="2720"/>
      <c r="B51" s="2720"/>
      <c r="C51" s="2720"/>
      <c r="D51" s="2720"/>
      <c r="E51" s="2720"/>
      <c r="F51" s="2720"/>
      <c r="G51" s="2722"/>
      <c r="H51" s="2720"/>
      <c r="I51" s="2720"/>
      <c r="J51" s="2720"/>
      <c r="K51" s="2723"/>
      <c r="L51" s="1754"/>
      <c r="M51" s="1741"/>
      <c r="N51" s="1741"/>
      <c r="O51" s="1741"/>
      <c r="P51" s="1803"/>
      <c r="Q51" s="1741"/>
      <c r="R51" s="1741"/>
      <c r="S51" s="1741"/>
      <c r="T51" s="1741"/>
      <c r="U51" s="1741"/>
      <c r="V51" s="1741"/>
      <c r="W51" s="1741"/>
      <c r="X51" s="1741"/>
      <c r="Y51" s="1741"/>
      <c r="Z51" s="1741"/>
      <c r="AA51" s="1741"/>
      <c r="AB51" s="1741"/>
      <c r="AC51" s="1741"/>
    </row>
    <row r="52" spans="1:29">
      <c r="A52" s="2720"/>
      <c r="B52" s="2720"/>
      <c r="C52" s="2720"/>
      <c r="D52" s="2720"/>
      <c r="E52" s="2720"/>
      <c r="F52" s="2720"/>
      <c r="G52" s="2720"/>
      <c r="H52" s="2720"/>
      <c r="I52" s="2720"/>
      <c r="J52" s="2720"/>
      <c r="K52" s="2723"/>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4"/>
      <c r="M54" s="1741"/>
      <c r="N54" s="1741"/>
      <c r="O54" s="1741"/>
      <c r="P54" s="1803"/>
      <c r="Q54" s="1741"/>
      <c r="R54" s="1741"/>
      <c r="S54" s="1741"/>
      <c r="T54" s="1741"/>
      <c r="U54" s="1741"/>
      <c r="V54" s="1741"/>
      <c r="W54" s="1741"/>
      <c r="X54" s="1741"/>
      <c r="Y54" s="1741"/>
      <c r="Z54" s="1741"/>
      <c r="AA54" s="1741"/>
      <c r="AB54" s="1741"/>
      <c r="AC54" s="1741"/>
    </row>
    <row r="55" spans="1:29" s="1139"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7"/>
      <c r="M55" s="1751"/>
      <c r="N55" s="1751"/>
      <c r="O55" s="1751"/>
      <c r="P55" s="1804"/>
      <c r="Q55" s="1751"/>
      <c r="R55" s="1751"/>
      <c r="S55" s="1751"/>
      <c r="T55" s="1751"/>
      <c r="U55" s="1751"/>
      <c r="V55" s="1751"/>
      <c r="W55" s="1751"/>
      <c r="X55" s="1751"/>
      <c r="Y55" s="1751"/>
      <c r="Z55" s="1751"/>
      <c r="AA55" s="1751"/>
      <c r="AB55" s="1751"/>
      <c r="AC55" s="1751"/>
    </row>
    <row r="56" spans="1:29" s="1139"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2.2" thickBot="1">
      <c r="A58" s="1316" t="s">
        <v>522</v>
      </c>
      <c r="B58" s="799"/>
      <c r="C58" s="1315"/>
      <c r="D58" s="1315"/>
      <c r="E58" s="1315"/>
      <c r="F58" s="1317"/>
      <c r="G58" s="1317"/>
      <c r="H58" s="1315"/>
      <c r="I58" s="1315"/>
      <c r="J58" s="1315"/>
      <c r="K58" s="1318"/>
      <c r="L58" s="1314"/>
      <c r="M58" s="1315"/>
      <c r="N58" s="1761"/>
      <c r="O58" s="1761"/>
      <c r="P58" s="1805"/>
      <c r="Q58" s="1762"/>
      <c r="R58" s="1741"/>
      <c r="S58" s="1741"/>
      <c r="T58" s="1741"/>
      <c r="U58" s="1741"/>
      <c r="V58" s="1741"/>
      <c r="W58" s="1741"/>
      <c r="X58" s="1741"/>
      <c r="Y58" s="1741"/>
      <c r="Z58" s="1741"/>
      <c r="AA58" s="1741"/>
      <c r="AB58" s="1741"/>
      <c r="AC58" s="1741"/>
    </row>
    <row r="59" spans="1:29" s="1141" customFormat="1" ht="14.4">
      <c r="A59" s="592" t="s">
        <v>478</v>
      </c>
      <c r="B59" s="593"/>
      <c r="C59" s="2112" t="str">
        <f>YEAR(C7)&amp;"-"&amp;MONTH(C7)</f>
        <v>2025-7</v>
      </c>
      <c r="D59" s="2114">
        <f>EDATE(C59,-1)</f>
        <v>45809</v>
      </c>
      <c r="E59" s="2114">
        <f t="shared" ref="E59:O59" si="13">EDATE(D59,-1)</f>
        <v>45778</v>
      </c>
      <c r="F59" s="2114">
        <f t="shared" si="13"/>
        <v>45748</v>
      </c>
      <c r="G59" s="2114">
        <f t="shared" si="13"/>
        <v>45717</v>
      </c>
      <c r="H59" s="2114">
        <f t="shared" si="13"/>
        <v>45689</v>
      </c>
      <c r="I59" s="2114">
        <f t="shared" si="13"/>
        <v>45658</v>
      </c>
      <c r="J59" s="2114">
        <f t="shared" si="13"/>
        <v>45627</v>
      </c>
      <c r="K59" s="2114">
        <f t="shared" si="13"/>
        <v>45597</v>
      </c>
      <c r="L59" s="2114">
        <f t="shared" si="13"/>
        <v>45566</v>
      </c>
      <c r="M59" s="2114">
        <f t="shared" si="13"/>
        <v>45536</v>
      </c>
      <c r="N59" s="2114">
        <f t="shared" si="13"/>
        <v>45505</v>
      </c>
      <c r="O59" s="2114">
        <f t="shared" si="13"/>
        <v>45474</v>
      </c>
      <c r="P59" s="1806"/>
      <c r="Q59" s="1764"/>
      <c r="R59" s="1764"/>
      <c r="S59" s="1764"/>
      <c r="T59" s="1764"/>
      <c r="U59" s="1764"/>
      <c r="V59" s="1764"/>
      <c r="W59" s="1764"/>
      <c r="X59" s="1764"/>
      <c r="Y59" s="1764"/>
      <c r="Z59" s="1764"/>
      <c r="AA59" s="1764"/>
      <c r="AB59" s="1764"/>
      <c r="AC59" s="1764"/>
    </row>
    <row r="60" spans="1:29" s="1060" customFormat="1">
      <c r="A60" s="527"/>
      <c r="B60" s="594"/>
      <c r="C60" s="595">
        <v>100</v>
      </c>
      <c r="D60" s="596"/>
      <c r="E60" s="596"/>
      <c r="F60" s="596"/>
      <c r="G60" s="596"/>
      <c r="H60" s="596"/>
      <c r="I60" s="596"/>
      <c r="J60" s="596"/>
      <c r="K60" s="596"/>
      <c r="L60" s="596"/>
      <c r="M60" s="487"/>
      <c r="N60" s="596"/>
      <c r="O60" s="487"/>
      <c r="P60" s="1807"/>
      <c r="Q60" s="1639"/>
      <c r="R60" s="1639"/>
      <c r="S60" s="1639"/>
      <c r="T60" s="1639"/>
      <c r="U60" s="1639"/>
      <c r="V60" s="1639"/>
      <c r="W60" s="1639"/>
      <c r="X60" s="1639"/>
      <c r="Y60" s="1639"/>
      <c r="Z60" s="1639"/>
      <c r="AA60" s="1639"/>
      <c r="AB60" s="1639"/>
      <c r="AC60" s="1639"/>
    </row>
    <row r="61" spans="1:29" s="1060" customFormat="1" ht="15" thickBot="1">
      <c r="A61" s="262" t="s">
        <v>523</v>
      </c>
      <c r="B61" s="598"/>
      <c r="C61" s="599"/>
      <c r="D61" s="600"/>
      <c r="E61" s="600"/>
      <c r="F61" s="600"/>
      <c r="G61" s="600"/>
      <c r="H61" s="600"/>
      <c r="I61" s="600"/>
      <c r="J61" s="600"/>
      <c r="K61" s="600"/>
      <c r="L61" s="600"/>
      <c r="M61" s="601"/>
      <c r="N61" s="600"/>
      <c r="O61" s="601"/>
      <c r="P61" s="1807"/>
      <c r="Q61" s="1762"/>
      <c r="R61" s="1639"/>
      <c r="S61" s="1639"/>
      <c r="T61" s="1639"/>
      <c r="U61" s="1639"/>
      <c r="V61" s="1639"/>
      <c r="W61" s="1639"/>
      <c r="X61" s="1639"/>
      <c r="Y61" s="1639"/>
      <c r="Z61" s="1639"/>
      <c r="AA61" s="1639"/>
      <c r="AB61" s="1639"/>
      <c r="AC61" s="1639"/>
    </row>
    <row r="62" spans="1:29" s="1060" customFormat="1" ht="14.4">
      <c r="A62" s="603" t="s">
        <v>480</v>
      </c>
      <c r="B62" s="594"/>
      <c r="C62" s="604" t="s">
        <v>524</v>
      </c>
      <c r="D62" s="80"/>
      <c r="E62" s="80"/>
      <c r="F62" s="80"/>
      <c r="G62" s="80"/>
      <c r="H62" s="80"/>
      <c r="I62" s="80"/>
      <c r="J62" s="80"/>
      <c r="K62" s="80"/>
      <c r="L62" s="605"/>
      <c r="M62" s="606"/>
      <c r="N62" s="1765"/>
      <c r="O62" s="1765"/>
      <c r="P62" s="1808"/>
      <c r="Q62" s="1762"/>
      <c r="R62" s="1639"/>
      <c r="S62" s="1639"/>
      <c r="T62" s="1639"/>
      <c r="U62" s="1639"/>
      <c r="V62" s="1639"/>
      <c r="W62" s="1639"/>
      <c r="X62" s="1639"/>
      <c r="Y62" s="1639"/>
      <c r="Z62" s="1639"/>
      <c r="AA62" s="1639"/>
      <c r="AB62" s="1639"/>
      <c r="AC62" s="1639"/>
    </row>
    <row r="63" spans="1:29" s="1060" customFormat="1" ht="14.4" thickBot="1">
      <c r="A63" s="603"/>
      <c r="B63" s="594"/>
      <c r="C63" s="814">
        <v>100</v>
      </c>
      <c r="D63" s="596"/>
      <c r="E63" s="596"/>
      <c r="F63" s="596"/>
      <c r="G63" s="596"/>
      <c r="H63" s="596"/>
      <c r="I63" s="596"/>
      <c r="J63" s="596"/>
      <c r="K63" s="596"/>
      <c r="L63" s="596"/>
      <c r="M63" s="597"/>
      <c r="N63" s="1765"/>
      <c r="O63" s="1765"/>
      <c r="P63" s="1807"/>
      <c r="Q63" s="1762"/>
      <c r="R63" s="1639"/>
      <c r="S63" s="1639"/>
      <c r="T63" s="1639"/>
      <c r="U63" s="1639"/>
      <c r="V63" s="1639"/>
      <c r="W63" s="1639"/>
      <c r="X63" s="1639"/>
      <c r="Y63" s="1639"/>
      <c r="Z63" s="1639"/>
      <c r="AA63" s="1639"/>
      <c r="AB63" s="1639"/>
      <c r="AC63" s="1639"/>
    </row>
    <row r="64" spans="1:29" ht="14.4">
      <c r="A64" s="607" t="s">
        <v>525</v>
      </c>
      <c r="B64" s="608" t="s">
        <v>483</v>
      </c>
      <c r="C64" s="645">
        <f>C9</f>
        <v>0</v>
      </c>
      <c r="D64" s="547"/>
      <c r="E64" s="547"/>
      <c r="F64" s="547"/>
      <c r="G64" s="547"/>
      <c r="H64" s="547"/>
      <c r="I64" s="547"/>
      <c r="J64" s="547"/>
      <c r="K64" s="609"/>
      <c r="L64" s="610"/>
      <c r="M64" s="611"/>
      <c r="N64" s="1766"/>
      <c r="O64" s="1766"/>
      <c r="P64" s="1809"/>
      <c r="Q64" s="1762"/>
      <c r="R64" s="1741"/>
      <c r="S64" s="1741"/>
      <c r="T64" s="1741"/>
      <c r="U64" s="1741"/>
      <c r="V64" s="1741"/>
      <c r="W64" s="1741"/>
      <c r="X64" s="1741"/>
      <c r="Y64" s="1741"/>
      <c r="Z64" s="1741"/>
      <c r="AA64" s="1741"/>
      <c r="AB64" s="1741"/>
      <c r="AC64" s="1741"/>
    </row>
    <row r="65" spans="1:29" ht="14.4" thickBot="1">
      <c r="A65" s="482"/>
      <c r="B65" s="612"/>
      <c r="C65" s="613"/>
      <c r="D65" s="613"/>
      <c r="E65" s="613"/>
      <c r="F65" s="613"/>
      <c r="G65" s="613"/>
      <c r="H65" s="613"/>
      <c r="I65" s="613"/>
      <c r="J65" s="613"/>
      <c r="K65" s="613"/>
      <c r="L65" s="613"/>
      <c r="M65" s="614"/>
      <c r="N65" s="1767"/>
      <c r="O65" s="1767"/>
      <c r="P65" s="1809"/>
      <c r="Q65" s="1762"/>
      <c r="R65" s="1741"/>
      <c r="S65" s="1741"/>
      <c r="T65" s="1741"/>
      <c r="U65" s="1741"/>
      <c r="V65" s="1741"/>
      <c r="W65" s="1741"/>
      <c r="X65" s="1741"/>
      <c r="Y65" s="1741"/>
      <c r="Z65" s="1741"/>
      <c r="AA65" s="1741"/>
      <c r="AB65" s="1741"/>
      <c r="AC65" s="1741"/>
    </row>
    <row r="66" spans="1:29" ht="29.4" thickTop="1">
      <c r="A66" s="482"/>
      <c r="B66" s="615" t="s">
        <v>486</v>
      </c>
      <c r="C66" s="658"/>
      <c r="D66" s="658"/>
      <c r="E66" s="658"/>
      <c r="F66" s="658"/>
      <c r="G66" s="658"/>
      <c r="H66" s="658"/>
      <c r="I66" s="658"/>
      <c r="J66" s="658"/>
      <c r="K66" s="659"/>
      <c r="L66" s="660"/>
      <c r="M66" s="661"/>
      <c r="N66" s="1766"/>
      <c r="O66" s="1766"/>
      <c r="P66" s="1809"/>
      <c r="Q66" s="1762"/>
      <c r="R66" s="1741"/>
      <c r="S66" s="1741"/>
      <c r="T66" s="1741"/>
      <c r="U66" s="1741"/>
      <c r="V66" s="1741"/>
      <c r="W66" s="1741"/>
      <c r="X66" s="1741"/>
      <c r="Y66" s="1741"/>
      <c r="Z66" s="1741"/>
      <c r="AA66" s="1741"/>
      <c r="AB66" s="1741"/>
      <c r="AC66" s="1741"/>
    </row>
    <row r="67" spans="1:29" ht="14.4" thickBot="1">
      <c r="A67" s="482"/>
      <c r="B67" s="620"/>
      <c r="C67" s="613"/>
      <c r="D67" s="613"/>
      <c r="E67" s="613"/>
      <c r="F67" s="613"/>
      <c r="G67" s="613"/>
      <c r="H67" s="613"/>
      <c r="I67" s="613"/>
      <c r="J67" s="613"/>
      <c r="K67" s="613"/>
      <c r="L67" s="613"/>
      <c r="M67" s="614"/>
      <c r="N67" s="1767"/>
      <c r="O67" s="1767"/>
      <c r="P67" s="1809"/>
      <c r="Q67" s="1762"/>
      <c r="R67" s="1741"/>
      <c r="S67" s="1741"/>
      <c r="T67" s="1741"/>
      <c r="U67" s="1741"/>
      <c r="V67" s="1741"/>
      <c r="W67" s="1741"/>
      <c r="X67" s="1741"/>
      <c r="Y67" s="1741"/>
      <c r="Z67" s="1741"/>
      <c r="AA67" s="1741"/>
      <c r="AB67" s="1741"/>
      <c r="AC67" s="1741"/>
    </row>
    <row r="68" spans="1:29" ht="1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7"/>
      <c r="O68" s="1767"/>
      <c r="P68" s="1809"/>
      <c r="Q68" s="1762"/>
      <c r="R68" s="1741"/>
      <c r="S68" s="1741"/>
      <c r="T68" s="1741"/>
      <c r="U68" s="1741"/>
      <c r="V68" s="1741"/>
      <c r="W68" s="1741"/>
      <c r="X68" s="1741"/>
      <c r="Y68" s="1741"/>
      <c r="Z68" s="1741"/>
      <c r="AA68" s="1741"/>
      <c r="AB68" s="1741"/>
      <c r="AC68" s="1741"/>
    </row>
    <row r="69" spans="1:29">
      <c r="A69" s="482"/>
      <c r="B69" s="625"/>
      <c r="C69" s="491"/>
      <c r="D69" s="491"/>
      <c r="E69" s="491"/>
      <c r="F69" s="491"/>
      <c r="G69" s="491"/>
      <c r="H69" s="491"/>
      <c r="I69" s="491"/>
      <c r="J69" s="491"/>
      <c r="K69" s="626"/>
      <c r="L69" s="627"/>
      <c r="M69" s="628"/>
      <c r="N69" s="1766"/>
      <c r="O69" s="1766"/>
      <c r="P69" s="1809"/>
      <c r="Q69" s="1762"/>
      <c r="R69" s="1741"/>
      <c r="S69" s="1741"/>
      <c r="T69" s="1741"/>
      <c r="U69" s="1741"/>
      <c r="V69" s="1741"/>
      <c r="W69" s="1741"/>
      <c r="X69" s="1741"/>
      <c r="Y69" s="1741"/>
      <c r="Z69" s="1741"/>
      <c r="AA69" s="1741"/>
      <c r="AB69" s="1741"/>
      <c r="AC69" s="1741"/>
    </row>
    <row r="70" spans="1:29" ht="14.4"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7"/>
      <c r="O70" s="1767"/>
      <c r="P70" s="1809"/>
      <c r="Q70" s="1762"/>
      <c r="R70" s="1741"/>
      <c r="S70" s="1741"/>
      <c r="T70" s="1741"/>
      <c r="U70" s="1741"/>
      <c r="V70" s="1741"/>
      <c r="W70" s="1741"/>
      <c r="X70" s="1741"/>
      <c r="Y70" s="1741"/>
      <c r="Z70" s="1741"/>
      <c r="AA70" s="1741"/>
      <c r="AB70" s="1741"/>
      <c r="AC70" s="1741"/>
    </row>
    <row r="71" spans="1:29" s="1134" customFormat="1" ht="14.4" thickTop="1">
      <c r="A71" s="629"/>
      <c r="B71" s="615">
        <f>B12</f>
        <v>111</v>
      </c>
      <c r="C71" s="630"/>
      <c r="D71" s="630"/>
      <c r="E71" s="630"/>
      <c r="F71" s="630"/>
      <c r="G71" s="630"/>
      <c r="H71" s="631"/>
      <c r="I71" s="631"/>
      <c r="J71" s="631"/>
      <c r="K71" s="631"/>
      <c r="L71" s="632"/>
      <c r="M71" s="633"/>
      <c r="N71" s="1768"/>
      <c r="O71" s="1768"/>
      <c r="P71" s="1810"/>
      <c r="Q71" s="1769"/>
      <c r="R71" s="1770"/>
      <c r="S71" s="1770"/>
      <c r="T71" s="1770"/>
      <c r="U71" s="1770"/>
      <c r="V71" s="1770"/>
      <c r="W71" s="1770"/>
      <c r="X71" s="1770"/>
      <c r="Y71" s="1770"/>
      <c r="Z71" s="1770"/>
      <c r="AA71" s="1770"/>
      <c r="AB71" s="1770"/>
      <c r="AC71" s="1770"/>
    </row>
    <row r="72" spans="1:29" s="1134" customFormat="1" ht="14.4" thickBot="1">
      <c r="A72" s="629"/>
      <c r="B72" s="620"/>
      <c r="C72" s="634"/>
      <c r="D72" s="613"/>
      <c r="E72" s="613"/>
      <c r="F72" s="613"/>
      <c r="G72" s="613"/>
      <c r="H72" s="613"/>
      <c r="I72" s="613"/>
      <c r="J72" s="613"/>
      <c r="K72" s="613"/>
      <c r="L72" s="613"/>
      <c r="M72" s="614"/>
      <c r="N72" s="1767"/>
      <c r="O72" s="1767"/>
      <c r="P72" s="1810"/>
      <c r="Q72" s="1769"/>
      <c r="R72" s="1770"/>
      <c r="S72" s="1770"/>
      <c r="T72" s="1770"/>
      <c r="U72" s="1770"/>
      <c r="V72" s="1770"/>
      <c r="W72" s="1770"/>
      <c r="X72" s="1770"/>
      <c r="Y72" s="1770"/>
      <c r="Z72" s="1770"/>
      <c r="AA72" s="1770"/>
      <c r="AB72" s="1770"/>
      <c r="AC72" s="1770"/>
    </row>
    <row r="73" spans="1:29" s="1134" customFormat="1" ht="14.4" thickTop="1">
      <c r="A73" s="629"/>
      <c r="B73" s="615">
        <f>B13</f>
        <v>111</v>
      </c>
      <c r="C73" s="630"/>
      <c r="D73" s="630"/>
      <c r="E73" s="630"/>
      <c r="F73" s="630"/>
      <c r="G73" s="630"/>
      <c r="H73" s="631"/>
      <c r="I73" s="631"/>
      <c r="J73" s="631"/>
      <c r="K73" s="631"/>
      <c r="L73" s="632"/>
      <c r="M73" s="633"/>
      <c r="N73" s="1768"/>
      <c r="O73" s="1768"/>
      <c r="P73" s="1811"/>
      <c r="Q73" s="1771"/>
      <c r="R73" s="1770"/>
      <c r="S73" s="1770"/>
      <c r="T73" s="1770"/>
      <c r="U73" s="1770"/>
      <c r="V73" s="1770"/>
      <c r="W73" s="1770"/>
      <c r="X73" s="1770"/>
      <c r="Y73" s="1770"/>
      <c r="Z73" s="1770"/>
      <c r="AA73" s="1770"/>
      <c r="AB73" s="1770"/>
      <c r="AC73" s="1770"/>
    </row>
    <row r="74" spans="1:29" s="1134" customFormat="1" ht="14.4" thickBot="1">
      <c r="A74" s="629"/>
      <c r="B74" s="620"/>
      <c r="C74" s="634"/>
      <c r="D74" s="634"/>
      <c r="E74" s="634"/>
      <c r="F74" s="634"/>
      <c r="G74" s="634"/>
      <c r="H74" s="635"/>
      <c r="I74" s="635"/>
      <c r="J74" s="635"/>
      <c r="K74" s="635"/>
      <c r="L74" s="635"/>
      <c r="M74" s="636"/>
      <c r="N74" s="1768"/>
      <c r="O74" s="1768"/>
      <c r="P74" s="1810"/>
      <c r="Q74" s="1769"/>
      <c r="R74" s="1770"/>
      <c r="S74" s="1770"/>
      <c r="T74" s="1770"/>
      <c r="U74" s="1770"/>
      <c r="V74" s="1770"/>
      <c r="W74" s="1770"/>
      <c r="X74" s="1770"/>
      <c r="Y74" s="1770"/>
      <c r="Z74" s="1770"/>
      <c r="AA74" s="1770"/>
      <c r="AB74" s="1770"/>
      <c r="AC74" s="1770"/>
    </row>
    <row r="75" spans="1:29" s="1134" customFormat="1" ht="14.4" thickTop="1">
      <c r="A75" s="629"/>
      <c r="B75" s="623">
        <f>B14</f>
        <v>111</v>
      </c>
      <c r="C75" s="80"/>
      <c r="D75" s="80"/>
      <c r="E75" s="80"/>
      <c r="F75" s="80"/>
      <c r="G75" s="80"/>
      <c r="H75" s="637"/>
      <c r="I75" s="637"/>
      <c r="J75" s="637"/>
      <c r="K75" s="637"/>
      <c r="L75" s="638"/>
      <c r="M75" s="639"/>
      <c r="N75" s="1768"/>
      <c r="O75" s="1768"/>
      <c r="P75" s="1812"/>
      <c r="Q75" s="1769"/>
      <c r="R75" s="1770"/>
      <c r="S75" s="1770"/>
      <c r="T75" s="1770"/>
      <c r="U75" s="1770"/>
      <c r="V75" s="1770"/>
      <c r="W75" s="1770"/>
      <c r="X75" s="1770"/>
      <c r="Y75" s="1770"/>
      <c r="Z75" s="1770"/>
      <c r="AA75" s="1770"/>
      <c r="AB75" s="1770"/>
      <c r="AC75" s="1770"/>
    </row>
    <row r="76" spans="1:29" s="1134" customFormat="1" ht="14.4" thickBot="1">
      <c r="A76" s="640"/>
      <c r="B76" s="641"/>
      <c r="C76" s="642"/>
      <c r="D76" s="642"/>
      <c r="E76" s="642"/>
      <c r="F76" s="642"/>
      <c r="G76" s="642"/>
      <c r="H76" s="643"/>
      <c r="I76" s="643"/>
      <c r="J76" s="643"/>
      <c r="K76" s="643"/>
      <c r="L76" s="643"/>
      <c r="M76" s="644"/>
      <c r="N76" s="1768"/>
      <c r="O76" s="1768"/>
      <c r="P76" s="1810"/>
      <c r="Q76" s="1769"/>
      <c r="R76" s="1770"/>
      <c r="S76" s="1770"/>
      <c r="T76" s="1770"/>
      <c r="U76" s="1770"/>
      <c r="V76" s="1770"/>
      <c r="W76" s="1770"/>
      <c r="X76" s="1770"/>
      <c r="Y76" s="1770"/>
      <c r="Z76" s="1770"/>
      <c r="AA76" s="1770"/>
      <c r="AB76" s="1770"/>
      <c r="AC76" s="1770"/>
    </row>
    <row r="77" spans="1:29" ht="14.4">
      <c r="A77" s="607" t="s">
        <v>488</v>
      </c>
      <c r="B77" s="608" t="s">
        <v>533</v>
      </c>
      <c r="C77" s="143" t="s">
        <v>527</v>
      </c>
      <c r="D77" s="143" t="s">
        <v>528</v>
      </c>
      <c r="E77" s="143" t="s">
        <v>529</v>
      </c>
      <c r="F77" s="143" t="s">
        <v>530</v>
      </c>
      <c r="G77" s="143" t="s">
        <v>531</v>
      </c>
      <c r="H77" s="645"/>
      <c r="I77" s="645"/>
      <c r="J77" s="645"/>
      <c r="K77" s="646"/>
      <c r="L77" s="647"/>
      <c r="M77" s="648"/>
      <c r="N77" s="1766"/>
      <c r="O77" s="1766"/>
      <c r="P77" s="1813"/>
      <c r="Q77" s="1762"/>
      <c r="R77" s="1741"/>
      <c r="S77" s="1741"/>
      <c r="T77" s="1741"/>
      <c r="U77" s="1741"/>
      <c r="V77" s="1741"/>
      <c r="W77" s="1741"/>
      <c r="X77" s="1741"/>
      <c r="Y77" s="1741"/>
      <c r="Z77" s="1741"/>
      <c r="AA77" s="1741"/>
      <c r="AB77" s="1741"/>
      <c r="AC77" s="1741"/>
    </row>
    <row r="78" spans="1:29" ht="14.4" thickBot="1">
      <c r="A78" s="482"/>
      <c r="B78" s="620"/>
      <c r="C78" s="621">
        <v>100</v>
      </c>
      <c r="D78" s="621">
        <f>C78-$K15</f>
        <v>100</v>
      </c>
      <c r="E78" s="621">
        <f>D78-$K15</f>
        <v>100</v>
      </c>
      <c r="F78" s="621">
        <f>E78-$K15</f>
        <v>100</v>
      </c>
      <c r="G78" s="621">
        <f>F78-$K15</f>
        <v>100</v>
      </c>
      <c r="H78" s="621"/>
      <c r="I78" s="621"/>
      <c r="J78" s="621"/>
      <c r="K78" s="621"/>
      <c r="L78" s="621"/>
      <c r="M78" s="622"/>
      <c r="N78" s="1767"/>
      <c r="O78" s="1767"/>
      <c r="P78" s="1809"/>
      <c r="Q78" s="1762"/>
      <c r="R78" s="1741"/>
      <c r="S78" s="1741"/>
      <c r="T78" s="1741"/>
      <c r="U78" s="1741"/>
      <c r="V78" s="1741"/>
      <c r="W78" s="1741"/>
      <c r="X78" s="1741"/>
      <c r="Y78" s="1741"/>
      <c r="Z78" s="1741"/>
      <c r="AA78" s="1741"/>
      <c r="AB78" s="1741"/>
      <c r="AC78" s="1741"/>
    </row>
    <row r="79" spans="1:29" ht="15" thickTop="1">
      <c r="A79" s="482"/>
      <c r="B79" s="615" t="s">
        <v>534</v>
      </c>
      <c r="C79" s="649" t="s">
        <v>527</v>
      </c>
      <c r="D79" s="649" t="s">
        <v>528</v>
      </c>
      <c r="E79" s="649" t="s">
        <v>529</v>
      </c>
      <c r="F79" s="649" t="s">
        <v>530</v>
      </c>
      <c r="G79" s="649" t="s">
        <v>531</v>
      </c>
      <c r="H79" s="616"/>
      <c r="I79" s="616"/>
      <c r="J79" s="616"/>
      <c r="K79" s="617"/>
      <c r="L79" s="618"/>
      <c r="M79" s="619"/>
      <c r="N79" s="1766"/>
      <c r="O79" s="1766"/>
      <c r="P79" s="1809"/>
      <c r="Q79" s="1762"/>
      <c r="R79" s="1741"/>
      <c r="S79" s="1741"/>
      <c r="T79" s="1741"/>
      <c r="U79" s="1741"/>
      <c r="V79" s="1741"/>
      <c r="W79" s="1741"/>
      <c r="X79" s="1741"/>
      <c r="Y79" s="1741"/>
      <c r="Z79" s="1741"/>
      <c r="AA79" s="1741"/>
      <c r="AB79" s="1741"/>
      <c r="AC79" s="1741"/>
    </row>
    <row r="80" spans="1:29" ht="14.4" thickBot="1">
      <c r="A80" s="482"/>
      <c r="B80" s="620"/>
      <c r="C80" s="621">
        <v>100</v>
      </c>
      <c r="D80" s="621">
        <f>C80-$K17</f>
        <v>100</v>
      </c>
      <c r="E80" s="621">
        <f>D80-$K17</f>
        <v>100</v>
      </c>
      <c r="F80" s="621">
        <f>E80-$K17</f>
        <v>100</v>
      </c>
      <c r="G80" s="621">
        <f>F80-$K17</f>
        <v>100</v>
      </c>
      <c r="H80" s="621"/>
      <c r="I80" s="621"/>
      <c r="J80" s="621"/>
      <c r="K80" s="621"/>
      <c r="L80" s="621"/>
      <c r="M80" s="622"/>
      <c r="N80" s="1767"/>
      <c r="O80" s="1767"/>
      <c r="P80" s="1809"/>
      <c r="Q80" s="1762"/>
      <c r="R80" s="1741"/>
      <c r="S80" s="1741"/>
      <c r="T80" s="1741"/>
      <c r="U80" s="1741"/>
      <c r="V80" s="1741"/>
      <c r="W80" s="1741"/>
      <c r="X80" s="1741"/>
      <c r="Y80" s="1741"/>
      <c r="Z80" s="1741"/>
      <c r="AA80" s="1741"/>
      <c r="AB80" s="1741"/>
      <c r="AC80" s="1741"/>
    </row>
    <row r="81" spans="1:29" ht="15" thickTop="1">
      <c r="A81" s="482"/>
      <c r="B81" s="1554" t="s">
        <v>1840</v>
      </c>
      <c r="C81" s="649" t="s">
        <v>527</v>
      </c>
      <c r="D81" s="649" t="s">
        <v>528</v>
      </c>
      <c r="E81" s="649" t="s">
        <v>529</v>
      </c>
      <c r="F81" s="649" t="s">
        <v>530</v>
      </c>
      <c r="G81" s="649" t="s">
        <v>531</v>
      </c>
      <c r="H81" s="616"/>
      <c r="I81" s="616"/>
      <c r="J81" s="616"/>
      <c r="K81" s="617"/>
      <c r="L81" s="618"/>
      <c r="M81" s="619"/>
      <c r="N81" s="1766"/>
      <c r="O81" s="1766"/>
      <c r="P81" s="1809"/>
      <c r="Q81" s="1762"/>
      <c r="R81" s="1741"/>
      <c r="S81" s="1741"/>
      <c r="T81" s="1741"/>
      <c r="U81" s="1741"/>
      <c r="V81" s="1741"/>
      <c r="W81" s="1741"/>
      <c r="X81" s="1741"/>
      <c r="Y81" s="1741"/>
      <c r="Z81" s="1741"/>
      <c r="AA81" s="1741"/>
      <c r="AB81" s="1741"/>
      <c r="AC81" s="1741"/>
    </row>
    <row r="82" spans="1:29" ht="14.4" thickBot="1">
      <c r="A82" s="482"/>
      <c r="B82" s="620"/>
      <c r="C82" s="621">
        <v>100</v>
      </c>
      <c r="D82" s="621">
        <f>C82-$K19</f>
        <v>100</v>
      </c>
      <c r="E82" s="621">
        <f>D82-$K19</f>
        <v>100</v>
      </c>
      <c r="F82" s="621">
        <f>E82-$K19</f>
        <v>100</v>
      </c>
      <c r="G82" s="621">
        <f>F82-$K19</f>
        <v>100</v>
      </c>
      <c r="H82" s="621"/>
      <c r="I82" s="621"/>
      <c r="J82" s="621"/>
      <c r="K82" s="621"/>
      <c r="L82" s="621"/>
      <c r="M82" s="622"/>
      <c r="N82" s="1767"/>
      <c r="O82" s="1767"/>
      <c r="P82" s="1809"/>
      <c r="Q82" s="1762"/>
      <c r="R82" s="1741"/>
      <c r="S82" s="1741"/>
      <c r="T82" s="1741"/>
      <c r="U82" s="1741"/>
      <c r="V82" s="1741"/>
      <c r="W82" s="1741"/>
      <c r="X82" s="1741"/>
      <c r="Y82" s="1741"/>
      <c r="Z82" s="1741"/>
      <c r="AA82" s="1741"/>
      <c r="AB82" s="1741"/>
      <c r="AC82" s="1741"/>
    </row>
    <row r="83" spans="1:29" ht="15" thickTop="1">
      <c r="A83" s="482"/>
      <c r="B83" s="2055" t="s">
        <v>1841</v>
      </c>
      <c r="C83" s="2056" t="s">
        <v>1842</v>
      </c>
      <c r="D83" s="2056" t="s">
        <v>1843</v>
      </c>
      <c r="E83" s="2056" t="s">
        <v>1844</v>
      </c>
      <c r="F83" s="2056" t="s">
        <v>1845</v>
      </c>
      <c r="G83" s="2056" t="s">
        <v>1846</v>
      </c>
      <c r="H83" s="616"/>
      <c r="I83" s="616"/>
      <c r="J83" s="616"/>
      <c r="K83" s="616"/>
      <c r="L83" s="616"/>
      <c r="M83" s="2059"/>
      <c r="N83" s="1767"/>
      <c r="O83" s="1767"/>
      <c r="P83" s="1809"/>
      <c r="Q83" s="1762"/>
      <c r="R83" s="1741"/>
      <c r="S83" s="1741"/>
      <c r="T83" s="1741"/>
      <c r="U83" s="1741"/>
      <c r="V83" s="1741"/>
      <c r="W83" s="1741"/>
      <c r="X83" s="1741"/>
      <c r="Y83" s="1741"/>
      <c r="Z83" s="1741"/>
      <c r="AA83" s="1741"/>
      <c r="AB83" s="1741"/>
      <c r="AC83" s="1741"/>
    </row>
    <row r="84" spans="1:29" ht="14.4" thickBot="1">
      <c r="A84" s="482"/>
      <c r="B84" s="623"/>
      <c r="C84" s="621">
        <v>100</v>
      </c>
      <c r="D84" s="621">
        <f>C84-$K21</f>
        <v>100</v>
      </c>
      <c r="E84" s="621">
        <f>D84-$K21</f>
        <v>100</v>
      </c>
      <c r="F84" s="621">
        <f>E84-$K21</f>
        <v>100</v>
      </c>
      <c r="G84" s="621">
        <f>F84-$K21</f>
        <v>100</v>
      </c>
      <c r="H84" s="856"/>
      <c r="I84" s="856"/>
      <c r="J84" s="856"/>
      <c r="K84" s="856"/>
      <c r="L84" s="856"/>
      <c r="M84" s="509"/>
      <c r="N84" s="1767"/>
      <c r="O84" s="1767"/>
      <c r="P84" s="1809"/>
      <c r="Q84" s="1762"/>
      <c r="R84" s="1741"/>
      <c r="S84" s="1741"/>
      <c r="T84" s="1741"/>
      <c r="U84" s="1741"/>
      <c r="V84" s="1741"/>
      <c r="W84" s="1741"/>
      <c r="X84" s="1741"/>
      <c r="Y84" s="1741"/>
      <c r="Z84" s="1741"/>
      <c r="AA84" s="1741"/>
      <c r="AB84" s="1741"/>
      <c r="AC84" s="1741"/>
    </row>
    <row r="85" spans="1:29" ht="15" thickTop="1">
      <c r="A85" s="482"/>
      <c r="B85" s="615" t="s">
        <v>724</v>
      </c>
      <c r="C85" s="649" t="s">
        <v>527</v>
      </c>
      <c r="D85" s="649" t="s">
        <v>528</v>
      </c>
      <c r="E85" s="649" t="s">
        <v>529</v>
      </c>
      <c r="F85" s="649" t="s">
        <v>530</v>
      </c>
      <c r="G85" s="649" t="s">
        <v>531</v>
      </c>
      <c r="H85" s="616"/>
      <c r="I85" s="616"/>
      <c r="J85" s="616"/>
      <c r="K85" s="617"/>
      <c r="L85" s="618"/>
      <c r="M85" s="619"/>
      <c r="N85" s="1766"/>
      <c r="O85" s="1766"/>
      <c r="P85" s="1809"/>
      <c r="Q85" s="1762"/>
      <c r="R85" s="1741"/>
      <c r="S85" s="1741"/>
      <c r="T85" s="1741"/>
      <c r="U85" s="1741"/>
      <c r="V85" s="1741"/>
      <c r="W85" s="1741"/>
      <c r="X85" s="1741"/>
      <c r="Y85" s="1741"/>
      <c r="Z85" s="1741"/>
      <c r="AA85" s="1741"/>
      <c r="AB85" s="1741"/>
      <c r="AC85" s="1741"/>
    </row>
    <row r="86" spans="1:29" ht="14.4" thickBot="1">
      <c r="A86" s="482"/>
      <c r="B86" s="620"/>
      <c r="C86" s="621">
        <v>100</v>
      </c>
      <c r="D86" s="621">
        <f>C86-$K23</f>
        <v>100</v>
      </c>
      <c r="E86" s="621">
        <f>D86-$K23</f>
        <v>100</v>
      </c>
      <c r="F86" s="621">
        <f>E86-$K23</f>
        <v>100</v>
      </c>
      <c r="G86" s="621">
        <f>F86-$K23</f>
        <v>100</v>
      </c>
      <c r="H86" s="621"/>
      <c r="I86" s="621"/>
      <c r="J86" s="621"/>
      <c r="K86" s="621"/>
      <c r="L86" s="621"/>
      <c r="M86" s="622"/>
      <c r="N86" s="1767"/>
      <c r="O86" s="1767"/>
      <c r="P86" s="1809"/>
      <c r="Q86" s="1762"/>
      <c r="R86" s="1741"/>
      <c r="S86" s="1741"/>
      <c r="T86" s="1741"/>
      <c r="U86" s="1741"/>
      <c r="V86" s="1741"/>
      <c r="W86" s="1741"/>
      <c r="X86" s="1741"/>
      <c r="Y86" s="1741"/>
      <c r="Z86" s="1741"/>
      <c r="AA86" s="1741"/>
      <c r="AB86" s="1741"/>
      <c r="AC86" s="1741"/>
    </row>
    <row r="87" spans="1:29" s="1060" customFormat="1" ht="29.4" thickTop="1">
      <c r="A87" s="486"/>
      <c r="B87" s="615" t="s">
        <v>725</v>
      </c>
      <c r="C87" s="630"/>
      <c r="D87" s="630"/>
      <c r="E87" s="630"/>
      <c r="F87" s="630"/>
      <c r="G87" s="630"/>
      <c r="H87" s="630"/>
      <c r="I87" s="630"/>
      <c r="J87" s="630"/>
      <c r="K87" s="630"/>
      <c r="L87" s="815"/>
      <c r="M87" s="816"/>
      <c r="N87" s="1765"/>
      <c r="O87" s="1765"/>
      <c r="P87" s="1809"/>
      <c r="Q87" s="1762"/>
      <c r="R87" s="1639"/>
      <c r="S87" s="1639"/>
      <c r="T87" s="1639"/>
      <c r="U87" s="1639"/>
      <c r="V87" s="1639"/>
      <c r="W87" s="1639"/>
      <c r="X87" s="1639"/>
      <c r="Y87" s="1639"/>
      <c r="Z87" s="1639"/>
      <c r="AA87" s="1639"/>
      <c r="AB87" s="1639"/>
      <c r="AC87" s="1639"/>
    </row>
    <row r="88" spans="1:29" s="1060" customFormat="1" ht="14.4"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7"/>
      <c r="O88" s="1767"/>
      <c r="P88" s="1809"/>
      <c r="Q88" s="1762"/>
      <c r="R88" s="1639"/>
      <c r="S88" s="1639"/>
      <c r="T88" s="1639"/>
      <c r="U88" s="1639"/>
      <c r="V88" s="1639"/>
      <c r="W88" s="1639"/>
      <c r="X88" s="1639"/>
      <c r="Y88" s="1639"/>
      <c r="Z88" s="1639"/>
      <c r="AA88" s="1639"/>
      <c r="AB88" s="1639"/>
      <c r="AC88" s="1639"/>
    </row>
    <row r="89" spans="1:29" s="1060" customFormat="1" ht="14.4" thickTop="1">
      <c r="A89" s="486"/>
      <c r="B89" s="615" t="str">
        <f>B27</f>
        <v>楼层</v>
      </c>
      <c r="C89" s="630"/>
      <c r="D89" s="630"/>
      <c r="E89" s="630"/>
      <c r="F89" s="817"/>
      <c r="G89" s="630"/>
      <c r="H89" s="630"/>
      <c r="I89" s="630"/>
      <c r="J89" s="630"/>
      <c r="K89" s="630"/>
      <c r="L89" s="630"/>
      <c r="M89" s="816"/>
      <c r="N89" s="1765"/>
      <c r="O89" s="1765"/>
      <c r="P89" s="1809"/>
      <c r="Q89" s="1762"/>
      <c r="R89" s="1639"/>
      <c r="S89" s="1639"/>
      <c r="T89" s="1639"/>
      <c r="U89" s="1639"/>
      <c r="V89" s="1639"/>
      <c r="W89" s="1639"/>
      <c r="X89" s="1639"/>
      <c r="Y89" s="1639"/>
      <c r="Z89" s="1639"/>
      <c r="AA89" s="1639"/>
      <c r="AB89" s="1639"/>
      <c r="AC89" s="1639"/>
    </row>
    <row r="90" spans="1:29" s="1060" customFormat="1" ht="14.4"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7"/>
      <c r="O90" s="1767"/>
      <c r="P90" s="1809"/>
      <c r="Q90" s="1762"/>
      <c r="R90" s="1639"/>
      <c r="S90" s="1639"/>
      <c r="T90" s="1639"/>
      <c r="U90" s="1639"/>
      <c r="V90" s="1639"/>
      <c r="W90" s="1639"/>
      <c r="X90" s="1639"/>
      <c r="Y90" s="1639"/>
      <c r="Z90" s="1639"/>
      <c r="AA90" s="1639"/>
      <c r="AB90" s="1639"/>
      <c r="AC90" s="1639"/>
    </row>
    <row r="91" spans="1:29" s="1134" customFormat="1" ht="14.4" thickTop="1">
      <c r="A91" s="629"/>
      <c r="B91" s="615" t="str">
        <f>B28</f>
        <v>朝向</v>
      </c>
      <c r="C91" s="630"/>
      <c r="D91" s="630"/>
      <c r="E91" s="630"/>
      <c r="F91" s="630"/>
      <c r="G91" s="630"/>
      <c r="H91" s="631"/>
      <c r="I91" s="631"/>
      <c r="J91" s="631"/>
      <c r="K91" s="631"/>
      <c r="L91" s="632"/>
      <c r="M91" s="633"/>
      <c r="N91" s="1768"/>
      <c r="O91" s="1768"/>
      <c r="P91" s="1810"/>
      <c r="Q91" s="1769"/>
      <c r="R91" s="1770"/>
      <c r="S91" s="1770"/>
      <c r="T91" s="1770"/>
      <c r="U91" s="1770"/>
      <c r="V91" s="1770"/>
      <c r="W91" s="1770"/>
      <c r="X91" s="1770"/>
      <c r="Y91" s="1770"/>
      <c r="Z91" s="1770"/>
      <c r="AA91" s="1770"/>
      <c r="AB91" s="1770"/>
      <c r="AC91" s="1770"/>
    </row>
    <row r="92" spans="1:29" s="1134" customFormat="1" ht="14.4"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8"/>
      <c r="O92" s="1768"/>
      <c r="P92" s="1810"/>
      <c r="Q92" s="1769"/>
      <c r="R92" s="1770"/>
      <c r="S92" s="1770"/>
      <c r="T92" s="1770"/>
      <c r="U92" s="1770"/>
      <c r="V92" s="1770"/>
      <c r="W92" s="1770"/>
      <c r="X92" s="1770"/>
      <c r="Y92" s="1770"/>
      <c r="Z92" s="1770"/>
      <c r="AA92" s="1770"/>
      <c r="AB92" s="1770"/>
      <c r="AC92" s="1770"/>
    </row>
    <row r="93" spans="1:29" ht="14.4" thickTop="1">
      <c r="A93" s="482"/>
      <c r="B93" s="615">
        <f>B29</f>
        <v>111</v>
      </c>
      <c r="C93" s="630"/>
      <c r="D93" s="630"/>
      <c r="E93" s="630"/>
      <c r="F93" s="630"/>
      <c r="G93" s="630"/>
      <c r="H93" s="630"/>
      <c r="I93" s="630"/>
      <c r="J93" s="630"/>
      <c r="K93" s="630"/>
      <c r="L93" s="815"/>
      <c r="M93" s="816"/>
      <c r="N93" s="1766"/>
      <c r="O93" s="1766"/>
      <c r="P93" s="1809"/>
      <c r="Q93" s="1762"/>
      <c r="R93" s="1741"/>
      <c r="S93" s="1741"/>
      <c r="T93" s="1741"/>
      <c r="U93" s="1741"/>
      <c r="V93" s="1741"/>
      <c r="W93" s="1741"/>
      <c r="X93" s="1741"/>
      <c r="Y93" s="1741"/>
      <c r="Z93" s="1741"/>
      <c r="AA93" s="1741"/>
      <c r="AB93" s="1741"/>
      <c r="AC93" s="1741"/>
    </row>
    <row r="94" spans="1:29" ht="14.4" thickBot="1">
      <c r="A94" s="482"/>
      <c r="B94" s="620"/>
      <c r="C94" s="634"/>
      <c r="D94" s="613"/>
      <c r="E94" s="613"/>
      <c r="F94" s="613"/>
      <c r="G94" s="613"/>
      <c r="H94" s="613"/>
      <c r="I94" s="613"/>
      <c r="J94" s="613"/>
      <c r="K94" s="613"/>
      <c r="L94" s="613"/>
      <c r="M94" s="614"/>
      <c r="N94" s="1767"/>
      <c r="O94" s="1767"/>
      <c r="P94" s="1809"/>
      <c r="Q94" s="1762"/>
      <c r="R94" s="1741"/>
      <c r="S94" s="1741"/>
      <c r="T94" s="1741"/>
      <c r="U94" s="1741"/>
      <c r="V94" s="1741"/>
      <c r="W94" s="1741"/>
      <c r="X94" s="1741"/>
      <c r="Y94" s="1741"/>
      <c r="Z94" s="1741"/>
      <c r="AA94" s="1741"/>
      <c r="AB94" s="1741"/>
      <c r="AC94" s="1741"/>
    </row>
    <row r="95" spans="1:29" ht="14.4" thickTop="1">
      <c r="A95" s="482"/>
      <c r="B95" s="615">
        <f>B30</f>
        <v>111</v>
      </c>
      <c r="C95" s="630"/>
      <c r="D95" s="630"/>
      <c r="E95" s="630"/>
      <c r="F95" s="630"/>
      <c r="G95" s="658"/>
      <c r="H95" s="658"/>
      <c r="I95" s="658"/>
      <c r="J95" s="658"/>
      <c r="K95" s="659"/>
      <c r="L95" s="660"/>
      <c r="M95" s="661"/>
      <c r="N95" s="1766"/>
      <c r="O95" s="1766"/>
      <c r="P95" s="1809"/>
      <c r="Q95" s="1762"/>
      <c r="R95" s="1741"/>
      <c r="S95" s="1741"/>
      <c r="T95" s="1741"/>
      <c r="U95" s="1741"/>
      <c r="V95" s="1741"/>
      <c r="W95" s="1741"/>
      <c r="X95" s="1741"/>
      <c r="Y95" s="1741"/>
      <c r="Z95" s="1741"/>
      <c r="AA95" s="1741"/>
      <c r="AB95" s="1741"/>
      <c r="AC95" s="1741"/>
    </row>
    <row r="96" spans="1:29" ht="14.4" thickBot="1">
      <c r="A96" s="482"/>
      <c r="B96" s="620"/>
      <c r="C96" s="634"/>
      <c r="D96" s="634"/>
      <c r="E96" s="634"/>
      <c r="F96" s="634"/>
      <c r="G96" s="613"/>
      <c r="H96" s="613"/>
      <c r="I96" s="613"/>
      <c r="J96" s="613"/>
      <c r="K96" s="613"/>
      <c r="L96" s="613"/>
      <c r="M96" s="614"/>
      <c r="N96" s="1767"/>
      <c r="O96" s="1767"/>
      <c r="P96" s="1809"/>
      <c r="Q96" s="1762"/>
      <c r="R96" s="1741"/>
      <c r="S96" s="1741"/>
      <c r="T96" s="1741"/>
      <c r="U96" s="1741"/>
      <c r="V96" s="1741"/>
      <c r="W96" s="1741"/>
      <c r="X96" s="1741"/>
      <c r="Y96" s="1741"/>
      <c r="Z96" s="1741"/>
      <c r="AA96" s="1741"/>
      <c r="AB96" s="1741"/>
      <c r="AC96" s="1741"/>
    </row>
    <row r="97" spans="1:29" ht="14.4" thickTop="1">
      <c r="A97" s="482"/>
      <c r="B97" s="615">
        <f>B31</f>
        <v>111</v>
      </c>
      <c r="C97" s="630"/>
      <c r="D97" s="630"/>
      <c r="E97" s="630"/>
      <c r="F97" s="630"/>
      <c r="G97" s="658"/>
      <c r="H97" s="658"/>
      <c r="I97" s="658"/>
      <c r="J97" s="658"/>
      <c r="K97" s="659"/>
      <c r="L97" s="660"/>
      <c r="M97" s="661"/>
      <c r="N97" s="1766"/>
      <c r="O97" s="1766"/>
      <c r="P97" s="1809"/>
      <c r="Q97" s="1762"/>
      <c r="R97" s="1741"/>
      <c r="S97" s="1741"/>
      <c r="T97" s="1741"/>
      <c r="U97" s="1741"/>
      <c r="V97" s="1741"/>
      <c r="W97" s="1741"/>
      <c r="X97" s="1741"/>
      <c r="Y97" s="1741"/>
      <c r="Z97" s="1741"/>
      <c r="AA97" s="1741"/>
      <c r="AB97" s="1741"/>
      <c r="AC97" s="1741"/>
    </row>
    <row r="98" spans="1:29" ht="14.4" thickBot="1">
      <c r="A98" s="482"/>
      <c r="B98" s="620"/>
      <c r="C98" s="634"/>
      <c r="D98" s="613"/>
      <c r="E98" s="613"/>
      <c r="F98" s="613"/>
      <c r="G98" s="613"/>
      <c r="H98" s="613"/>
      <c r="I98" s="613"/>
      <c r="J98" s="613"/>
      <c r="K98" s="613"/>
      <c r="L98" s="613"/>
      <c r="M98" s="614"/>
      <c r="N98" s="1767"/>
      <c r="O98" s="1767"/>
      <c r="P98" s="1809"/>
      <c r="Q98" s="1762"/>
      <c r="R98" s="1741"/>
      <c r="S98" s="1741"/>
      <c r="T98" s="1741"/>
      <c r="U98" s="1741"/>
      <c r="V98" s="1741"/>
      <c r="W98" s="1741"/>
      <c r="X98" s="1741"/>
      <c r="Y98" s="1741"/>
      <c r="Z98" s="1741"/>
      <c r="AA98" s="1741"/>
      <c r="AB98" s="1741"/>
      <c r="AC98" s="1741"/>
    </row>
    <row r="99" spans="1:29" ht="14.4" thickTop="1">
      <c r="A99" s="482"/>
      <c r="B99" s="623">
        <f>B32</f>
        <v>111</v>
      </c>
      <c r="C99" s="80"/>
      <c r="D99" s="80"/>
      <c r="E99" s="80"/>
      <c r="F99" s="80"/>
      <c r="G99" s="662"/>
      <c r="H99" s="662"/>
      <c r="I99" s="662"/>
      <c r="J99" s="662"/>
      <c r="K99" s="663"/>
      <c r="L99" s="664"/>
      <c r="M99" s="665"/>
      <c r="N99" s="1766"/>
      <c r="O99" s="1766"/>
      <c r="P99" s="1809"/>
      <c r="Q99" s="1762"/>
      <c r="R99" s="1741"/>
      <c r="S99" s="1741"/>
      <c r="T99" s="1741"/>
      <c r="U99" s="1741"/>
      <c r="V99" s="1741"/>
      <c r="W99" s="1741"/>
      <c r="X99" s="1741"/>
      <c r="Y99" s="1741"/>
      <c r="Z99" s="1741"/>
      <c r="AA99" s="1741"/>
      <c r="AB99" s="1741"/>
      <c r="AC99" s="1741"/>
    </row>
    <row r="100" spans="1:29" ht="14.4" thickBot="1">
      <c r="A100" s="493"/>
      <c r="B100" s="641"/>
      <c r="C100" s="642"/>
      <c r="D100" s="642"/>
      <c r="E100" s="642"/>
      <c r="F100" s="642"/>
      <c r="G100" s="666"/>
      <c r="H100" s="666"/>
      <c r="I100" s="666"/>
      <c r="J100" s="666"/>
      <c r="K100" s="666"/>
      <c r="L100" s="666"/>
      <c r="M100" s="667"/>
      <c r="N100" s="1767"/>
      <c r="O100" s="1767"/>
      <c r="P100" s="1809"/>
      <c r="Q100" s="1762"/>
      <c r="R100" s="1741"/>
      <c r="S100" s="1741"/>
      <c r="T100" s="1741"/>
      <c r="U100" s="1741"/>
      <c r="V100" s="1741"/>
      <c r="W100" s="1741"/>
      <c r="X100" s="1741"/>
      <c r="Y100" s="1741"/>
      <c r="Z100" s="1741"/>
      <c r="AA100" s="1741"/>
      <c r="AB100" s="1741"/>
      <c r="AC100" s="1741"/>
    </row>
    <row r="101" spans="1:29" ht="14.4">
      <c r="A101" s="607" t="s">
        <v>500</v>
      </c>
      <c r="B101" s="608" t="s">
        <v>687</v>
      </c>
      <c r="C101" s="547"/>
      <c r="D101" s="547"/>
      <c r="E101" s="547"/>
      <c r="F101" s="547"/>
      <c r="G101" s="547"/>
      <c r="H101" s="547"/>
      <c r="I101" s="547"/>
      <c r="J101" s="547"/>
      <c r="K101" s="609"/>
      <c r="L101" s="610"/>
      <c r="M101" s="611"/>
      <c r="N101" s="1766"/>
      <c r="O101" s="1766"/>
      <c r="P101" s="1809"/>
      <c r="Q101" s="1762"/>
      <c r="R101" s="1741"/>
      <c r="S101" s="1741"/>
      <c r="T101" s="1741"/>
      <c r="U101" s="1741"/>
      <c r="V101" s="1741"/>
      <c r="W101" s="1741"/>
      <c r="X101" s="1741"/>
      <c r="Y101" s="1741"/>
      <c r="Z101" s="1741"/>
      <c r="AA101" s="1741"/>
      <c r="AB101" s="1741"/>
      <c r="AC101" s="1741"/>
    </row>
    <row r="102" spans="1:29" ht="14.4"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7"/>
      <c r="O102" s="1767"/>
      <c r="P102" s="1809"/>
      <c r="Q102" s="1762"/>
      <c r="R102" s="1741"/>
      <c r="S102" s="1741"/>
      <c r="T102" s="1741"/>
      <c r="U102" s="1741"/>
      <c r="V102" s="1741"/>
      <c r="W102" s="1741"/>
      <c r="X102" s="1741"/>
      <c r="Y102" s="1741"/>
      <c r="Z102" s="1741"/>
      <c r="AA102" s="1741"/>
      <c r="AB102" s="1741"/>
      <c r="AC102" s="1741"/>
    </row>
    <row r="103" spans="1:29" ht="1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4" customFormat="1">
      <c r="A104" s="552"/>
      <c r="B104" s="668"/>
      <c r="C104" s="79"/>
      <c r="D104" s="79"/>
      <c r="E104" s="79"/>
      <c r="F104" s="79"/>
      <c r="G104" s="79"/>
      <c r="H104" s="79"/>
      <c r="I104" s="79"/>
      <c r="J104" s="669"/>
      <c r="K104" s="669"/>
      <c r="L104" s="670"/>
      <c r="M104" s="671"/>
      <c r="N104" s="1768"/>
      <c r="O104" s="1768"/>
      <c r="P104" s="1810"/>
      <c r="Q104" s="1769"/>
      <c r="R104" s="1770"/>
      <c r="S104" s="1770"/>
      <c r="T104" s="1770"/>
      <c r="U104" s="1770"/>
      <c r="V104" s="1770"/>
      <c r="W104" s="1770"/>
      <c r="X104" s="1770"/>
      <c r="Y104" s="1770"/>
      <c r="Z104" s="1770"/>
      <c r="AA104" s="1770"/>
      <c r="AB104" s="1770"/>
      <c r="AC104" s="1770"/>
    </row>
    <row r="105" spans="1:29" s="1134" customFormat="1" ht="14.4" thickBot="1">
      <c r="A105" s="629"/>
      <c r="B105" s="620"/>
      <c r="C105" s="634"/>
      <c r="D105" s="613"/>
      <c r="E105" s="613"/>
      <c r="F105" s="613"/>
      <c r="G105" s="613"/>
      <c r="H105" s="613"/>
      <c r="I105" s="613"/>
      <c r="J105" s="613"/>
      <c r="K105" s="613"/>
      <c r="L105" s="613"/>
      <c r="M105" s="614"/>
      <c r="N105" s="1767"/>
      <c r="O105" s="1767"/>
      <c r="P105" s="1810"/>
      <c r="Q105" s="1769"/>
      <c r="R105" s="1770"/>
      <c r="S105" s="1770"/>
      <c r="T105" s="1770"/>
      <c r="U105" s="1770"/>
      <c r="V105" s="1770"/>
      <c r="W105" s="1770"/>
      <c r="X105" s="1770"/>
      <c r="Y105" s="1770"/>
      <c r="Z105" s="1770"/>
      <c r="AA105" s="1770"/>
      <c r="AB105" s="1770"/>
      <c r="AC105" s="1770"/>
    </row>
    <row r="106" spans="1:29" ht="15" thickTop="1">
      <c r="A106" s="543"/>
      <c r="B106" s="615" t="s">
        <v>689</v>
      </c>
      <c r="C106" s="630"/>
      <c r="D106" s="630"/>
      <c r="E106" s="658"/>
      <c r="F106" s="658"/>
      <c r="G106" s="658"/>
      <c r="H106" s="658"/>
      <c r="I106" s="658"/>
      <c r="J106" s="658"/>
      <c r="K106" s="659"/>
      <c r="L106" s="660"/>
      <c r="M106" s="661"/>
      <c r="N106" s="1766"/>
      <c r="O106" s="1766"/>
      <c r="P106" s="1809"/>
      <c r="Q106" s="1762"/>
      <c r="R106" s="1741"/>
      <c r="S106" s="1741"/>
      <c r="T106" s="1741"/>
      <c r="U106" s="1741"/>
      <c r="V106" s="1741"/>
      <c r="W106" s="1741"/>
      <c r="X106" s="1741"/>
      <c r="Y106" s="1741"/>
      <c r="Z106" s="1741"/>
      <c r="AA106" s="1741"/>
      <c r="AB106" s="1741"/>
      <c r="AC106" s="1741"/>
    </row>
    <row r="107" spans="1:29" ht="14.4"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3"/>
      <c r="B108" s="615" t="s">
        <v>691</v>
      </c>
      <c r="C108" s="630"/>
      <c r="D108" s="630"/>
      <c r="E108" s="630"/>
      <c r="F108" s="658"/>
      <c r="G108" s="658"/>
      <c r="H108" s="658"/>
      <c r="I108" s="658"/>
      <c r="J108" s="658"/>
      <c r="K108" s="659"/>
      <c r="L108" s="660"/>
      <c r="M108" s="661"/>
      <c r="N108" s="1766"/>
      <c r="O108" s="1766"/>
      <c r="P108" s="1809"/>
      <c r="Q108" s="1762"/>
      <c r="R108" s="1741"/>
      <c r="S108" s="1741"/>
      <c r="T108" s="1741"/>
      <c r="U108" s="1741"/>
      <c r="V108" s="1741"/>
      <c r="W108" s="1741"/>
      <c r="X108" s="1741"/>
      <c r="Y108" s="1741"/>
      <c r="Z108" s="1741"/>
      <c r="AA108" s="1741"/>
      <c r="AB108" s="1741"/>
      <c r="AC108" s="1741"/>
    </row>
    <row r="109" spans="1:29" ht="14.4"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6"/>
      <c r="O110" s="1766"/>
      <c r="P110" s="1809"/>
      <c r="Q110" s="1762"/>
      <c r="R110" s="1741"/>
      <c r="S110" s="1741"/>
      <c r="T110" s="1741"/>
      <c r="U110" s="1741"/>
      <c r="V110" s="1741"/>
      <c r="W110" s="1741"/>
      <c r="X110" s="1741"/>
      <c r="Y110" s="1741"/>
      <c r="Z110" s="1741"/>
      <c r="AA110" s="1741"/>
      <c r="AB110" s="1741"/>
      <c r="AC110" s="1741"/>
    </row>
    <row r="111" spans="1:29">
      <c r="A111" s="543"/>
      <c r="B111" s="623"/>
      <c r="C111" s="818">
        <v>0.5</v>
      </c>
      <c r="D111" s="818">
        <v>0.6</v>
      </c>
      <c r="E111" s="818">
        <v>0.7</v>
      </c>
      <c r="F111" s="818">
        <v>0.8</v>
      </c>
      <c r="G111" s="818">
        <v>0.9</v>
      </c>
      <c r="H111" s="818">
        <v>1.0001</v>
      </c>
      <c r="I111" s="828"/>
      <c r="J111" s="828"/>
      <c r="K111" s="829"/>
      <c r="L111" s="830"/>
      <c r="M111" s="831"/>
      <c r="N111" s="1766"/>
      <c r="O111" s="1766"/>
      <c r="P111" s="1809"/>
      <c r="Q111" s="1762"/>
      <c r="R111" s="1741"/>
      <c r="S111" s="1741"/>
      <c r="T111" s="1741"/>
      <c r="U111" s="1741"/>
      <c r="V111" s="1741"/>
      <c r="W111" s="1741"/>
      <c r="X111" s="1741"/>
      <c r="Y111" s="1741"/>
      <c r="Z111" s="1741"/>
      <c r="AA111" s="1741"/>
      <c r="AB111" s="1741"/>
      <c r="AC111" s="1741"/>
    </row>
    <row r="112" spans="1:29" ht="14.4"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7"/>
      <c r="O112" s="1767"/>
      <c r="P112" s="1809"/>
      <c r="Q112" s="1762"/>
      <c r="R112" s="1741"/>
      <c r="S112" s="1741"/>
      <c r="T112" s="1741"/>
      <c r="U112" s="1741"/>
      <c r="V112" s="1741"/>
      <c r="W112" s="1741"/>
      <c r="X112" s="1741"/>
      <c r="Y112" s="1741"/>
      <c r="Z112" s="1741"/>
      <c r="AA112" s="1741"/>
      <c r="AB112" s="1741"/>
      <c r="AC112" s="1741"/>
    </row>
    <row r="113" spans="1:29" s="1134" customFormat="1" ht="15" thickTop="1">
      <c r="A113" s="552"/>
      <c r="B113" s="615" t="s">
        <v>726</v>
      </c>
      <c r="C113" s="630"/>
      <c r="D113" s="630"/>
      <c r="E113" s="630"/>
      <c r="F113" s="630"/>
      <c r="G113" s="630"/>
      <c r="H113" s="658"/>
      <c r="I113" s="658"/>
      <c r="J113" s="658"/>
      <c r="K113" s="659"/>
      <c r="L113" s="660"/>
      <c r="M113" s="661"/>
      <c r="N113" s="1768"/>
      <c r="O113" s="1768"/>
      <c r="P113" s="1810"/>
      <c r="Q113" s="1769"/>
      <c r="R113" s="1770"/>
      <c r="S113" s="1770"/>
      <c r="T113" s="1770"/>
      <c r="U113" s="1770"/>
      <c r="V113" s="1770"/>
      <c r="W113" s="1770"/>
      <c r="X113" s="1770"/>
      <c r="Y113" s="1770"/>
      <c r="Z113" s="1770"/>
      <c r="AA113" s="1770"/>
      <c r="AB113" s="1770"/>
      <c r="AC113" s="1770"/>
    </row>
    <row r="114" spans="1:29" s="1134" customFormat="1" ht="14.4"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3"/>
      <c r="B115" s="615" t="s">
        <v>693</v>
      </c>
      <c r="C115" s="630"/>
      <c r="D115" s="630"/>
      <c r="E115" s="658"/>
      <c r="F115" s="658"/>
      <c r="G115" s="658"/>
      <c r="H115" s="658"/>
      <c r="I115" s="658"/>
      <c r="J115" s="658"/>
      <c r="K115" s="659"/>
      <c r="L115" s="660"/>
      <c r="M115" s="661"/>
      <c r="N115" s="1766"/>
      <c r="O115" s="1766"/>
      <c r="P115" s="1809"/>
      <c r="Q115" s="1762"/>
      <c r="R115" s="1741"/>
      <c r="S115" s="1741"/>
      <c r="T115" s="1741"/>
      <c r="U115" s="1741"/>
      <c r="V115" s="1741"/>
      <c r="W115" s="1741"/>
      <c r="X115" s="1741"/>
      <c r="Y115" s="1741"/>
      <c r="Z115" s="1741"/>
      <c r="AA115" s="1741"/>
      <c r="AB115" s="1741"/>
      <c r="AC115" s="1741"/>
    </row>
    <row r="116" spans="1:29" ht="14.4"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3"/>
      <c r="B117" s="1554" t="s">
        <v>1839</v>
      </c>
      <c r="C117" s="630"/>
      <c r="D117" s="630"/>
      <c r="E117" s="630"/>
      <c r="F117" s="630"/>
      <c r="G117" s="630"/>
      <c r="H117" s="658"/>
      <c r="I117" s="658"/>
      <c r="J117" s="658"/>
      <c r="K117" s="659"/>
      <c r="L117" s="660"/>
      <c r="M117" s="661"/>
      <c r="N117" s="1766"/>
      <c r="O117" s="1766"/>
      <c r="P117" s="1809"/>
      <c r="Q117" s="1762"/>
      <c r="R117" s="1741"/>
      <c r="S117" s="1741"/>
      <c r="T117" s="1741"/>
      <c r="U117" s="1741"/>
      <c r="V117" s="1741"/>
      <c r="W117" s="1741"/>
      <c r="X117" s="1741"/>
      <c r="Y117" s="1741"/>
      <c r="Z117" s="1741"/>
      <c r="AA117" s="1741"/>
      <c r="AB117" s="1741"/>
      <c r="AC117" s="1741"/>
    </row>
    <row r="118" spans="1:29" ht="14.4" thickBot="1">
      <c r="A118" s="482"/>
      <c r="B118" s="620"/>
      <c r="C118" s="621">
        <v>100</v>
      </c>
      <c r="D118" s="621">
        <f>C118-$K40</f>
        <v>100</v>
      </c>
      <c r="E118" s="621">
        <f>D118-$K40</f>
        <v>100</v>
      </c>
      <c r="F118" s="621">
        <f>E118-$K40</f>
        <v>100</v>
      </c>
      <c r="G118" s="621">
        <f>F118-$K40</f>
        <v>100</v>
      </c>
      <c r="H118" s="621"/>
      <c r="I118" s="621"/>
      <c r="J118" s="621"/>
      <c r="K118" s="621"/>
      <c r="L118" s="621"/>
      <c r="M118" s="622"/>
      <c r="N118" s="1767"/>
      <c r="O118" s="1767"/>
      <c r="P118" s="1809"/>
      <c r="Q118" s="1762"/>
      <c r="R118" s="1741"/>
      <c r="S118" s="1741"/>
      <c r="T118" s="1741"/>
      <c r="U118" s="1741"/>
      <c r="V118" s="1741"/>
      <c r="W118" s="1741"/>
      <c r="X118" s="1741"/>
      <c r="Y118" s="1741"/>
      <c r="Z118" s="1741"/>
      <c r="AA118" s="1741"/>
      <c r="AB118" s="1741"/>
      <c r="AC118" s="1741"/>
    </row>
    <row r="119" spans="1:29" ht="15" thickTop="1">
      <c r="A119" s="543"/>
      <c r="B119" s="839" t="s">
        <v>727</v>
      </c>
      <c r="C119" s="658"/>
      <c r="D119" s="658"/>
      <c r="E119" s="658"/>
      <c r="F119" s="658"/>
      <c r="G119" s="658"/>
      <c r="H119" s="658"/>
      <c r="I119" s="658"/>
      <c r="J119" s="658"/>
      <c r="K119" s="658"/>
      <c r="L119" s="840"/>
      <c r="M119" s="841"/>
      <c r="N119" s="1767"/>
      <c r="O119" s="1767"/>
      <c r="P119" s="1814"/>
      <c r="Q119" s="1802"/>
      <c r="R119" s="1741"/>
      <c r="S119" s="1741"/>
      <c r="T119" s="1741"/>
      <c r="U119" s="1741"/>
      <c r="V119" s="1741"/>
      <c r="W119" s="1741"/>
      <c r="X119" s="1741"/>
      <c r="Y119" s="1741"/>
      <c r="Z119" s="1741"/>
      <c r="AA119" s="1741"/>
      <c r="AB119" s="1741"/>
      <c r="AC119" s="1741"/>
    </row>
    <row r="120" spans="1:29" ht="14.4"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7"/>
      <c r="O120" s="1767"/>
      <c r="P120" s="1809"/>
      <c r="Q120" s="1762"/>
      <c r="R120" s="1741"/>
      <c r="S120" s="1741"/>
      <c r="T120" s="1741"/>
      <c r="U120" s="1741"/>
      <c r="V120" s="1741"/>
      <c r="W120" s="1741"/>
      <c r="X120" s="1741"/>
      <c r="Y120" s="1741"/>
      <c r="Z120" s="1741"/>
      <c r="AA120" s="1741"/>
      <c r="AB120" s="1741"/>
      <c r="AC120" s="1741"/>
    </row>
    <row r="121" spans="1:29" s="1134" customFormat="1" ht="15" thickTop="1">
      <c r="A121" s="552"/>
      <c r="B121" s="615" t="s">
        <v>715</v>
      </c>
      <c r="C121" s="630"/>
      <c r="D121" s="630"/>
      <c r="E121" s="630"/>
      <c r="F121" s="658"/>
      <c r="G121" s="631"/>
      <c r="H121" s="631"/>
      <c r="I121" s="631"/>
      <c r="J121" s="631"/>
      <c r="K121" s="631"/>
      <c r="L121" s="632"/>
      <c r="M121" s="633"/>
      <c r="N121" s="1768"/>
      <c r="O121" s="1768"/>
      <c r="P121" s="1810"/>
      <c r="Q121" s="1769"/>
      <c r="R121" s="1770"/>
      <c r="S121" s="1770"/>
      <c r="T121" s="1770"/>
      <c r="U121" s="1770"/>
      <c r="V121" s="1770"/>
      <c r="W121" s="1770"/>
      <c r="X121" s="1770"/>
      <c r="Y121" s="1770"/>
      <c r="Z121" s="1770"/>
      <c r="AA121" s="1770"/>
      <c r="AB121" s="1770"/>
      <c r="AC121" s="1770"/>
    </row>
    <row r="122" spans="1:29" s="1134" customFormat="1" ht="14.4" thickBot="1">
      <c r="A122" s="629"/>
      <c r="B122" s="612"/>
      <c r="C122" s="634"/>
      <c r="D122" s="634"/>
      <c r="E122" s="634"/>
      <c r="F122" s="634"/>
      <c r="G122" s="634"/>
      <c r="H122" s="634"/>
      <c r="I122" s="634"/>
      <c r="J122" s="634"/>
      <c r="K122" s="634"/>
      <c r="L122" s="634"/>
      <c r="M122" s="634"/>
      <c r="N122" s="1768"/>
      <c r="O122" s="1768"/>
      <c r="P122" s="1810"/>
      <c r="Q122" s="1769"/>
      <c r="R122" s="1770"/>
      <c r="S122" s="1770"/>
      <c r="T122" s="1770"/>
      <c r="U122" s="1770"/>
      <c r="V122" s="1770"/>
      <c r="W122" s="1770"/>
      <c r="X122" s="1770"/>
      <c r="Y122" s="1770"/>
      <c r="Z122" s="1770"/>
      <c r="AA122" s="1770"/>
      <c r="AB122" s="1770"/>
      <c r="AC122" s="1770"/>
    </row>
    <row r="123" spans="1:29" ht="15" thickTop="1">
      <c r="A123" s="543"/>
      <c r="B123" s="615" t="s">
        <v>695</v>
      </c>
      <c r="C123" s="630"/>
      <c r="D123" s="630"/>
      <c r="E123" s="630"/>
      <c r="F123" s="658"/>
      <c r="G123" s="658"/>
      <c r="H123" s="658"/>
      <c r="I123" s="658"/>
      <c r="J123" s="658"/>
      <c r="K123" s="659"/>
      <c r="L123" s="660"/>
      <c r="M123" s="661"/>
      <c r="N123" s="1766"/>
      <c r="O123" s="1766"/>
      <c r="P123" s="1809"/>
      <c r="Q123" s="1762"/>
      <c r="R123" s="1741"/>
      <c r="S123" s="1741"/>
      <c r="T123" s="1741"/>
      <c r="U123" s="1741"/>
      <c r="V123" s="1741"/>
      <c r="W123" s="1741"/>
      <c r="X123" s="1741"/>
      <c r="Y123" s="1741"/>
      <c r="Z123" s="1741"/>
      <c r="AA123" s="1741"/>
      <c r="AB123" s="1741"/>
      <c r="AC123" s="1741"/>
    </row>
    <row r="124" spans="1:29" ht="14.4"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7"/>
      <c r="O124" s="1767"/>
      <c r="P124" s="1809"/>
      <c r="Q124" s="1762"/>
      <c r="R124" s="1741"/>
      <c r="S124" s="1741"/>
      <c r="T124" s="1741"/>
      <c r="U124" s="1741"/>
      <c r="V124" s="1741"/>
      <c r="W124" s="1741"/>
      <c r="X124" s="1741"/>
      <c r="Y124" s="1741"/>
      <c r="Z124" s="1741"/>
      <c r="AA124" s="1741"/>
      <c r="AB124" s="1741"/>
      <c r="AC124" s="1741"/>
    </row>
    <row r="125" spans="1:29" ht="29.4" thickTop="1">
      <c r="A125" s="543"/>
      <c r="B125" s="615" t="s">
        <v>696</v>
      </c>
      <c r="C125" s="649" t="s">
        <v>527</v>
      </c>
      <c r="D125" s="649" t="s">
        <v>528</v>
      </c>
      <c r="E125" s="649" t="s">
        <v>529</v>
      </c>
      <c r="F125" s="649" t="s">
        <v>530</v>
      </c>
      <c r="G125" s="649" t="s">
        <v>531</v>
      </c>
      <c r="H125" s="616"/>
      <c r="I125" s="616"/>
      <c r="J125" s="616"/>
      <c r="K125" s="617"/>
      <c r="L125" s="618"/>
      <c r="M125" s="619"/>
      <c r="N125" s="1766"/>
      <c r="O125" s="1766"/>
      <c r="P125" s="1810"/>
      <c r="Q125" s="1762"/>
      <c r="R125" s="1741"/>
      <c r="S125" s="1741"/>
      <c r="T125" s="1741"/>
      <c r="U125" s="1741"/>
      <c r="V125" s="1741"/>
      <c r="W125" s="1741"/>
      <c r="X125" s="1741"/>
      <c r="Y125" s="1741"/>
      <c r="Z125" s="1741"/>
      <c r="AA125" s="1741"/>
      <c r="AB125" s="1741"/>
      <c r="AC125" s="1741"/>
    </row>
    <row r="126" spans="1:29" ht="14.4" thickBot="1">
      <c r="A126" s="482"/>
      <c r="B126" s="620"/>
      <c r="C126" s="621">
        <v>100</v>
      </c>
      <c r="D126" s="621">
        <f>C126-$K44</f>
        <v>100</v>
      </c>
      <c r="E126" s="621">
        <f>D126-$K44</f>
        <v>100</v>
      </c>
      <c r="F126" s="621">
        <f>E126-$K44</f>
        <v>100</v>
      </c>
      <c r="G126" s="621">
        <f>F126-$K44</f>
        <v>100</v>
      </c>
      <c r="H126" s="621"/>
      <c r="I126" s="621"/>
      <c r="J126" s="621"/>
      <c r="K126" s="621"/>
      <c r="L126" s="621"/>
      <c r="M126" s="622"/>
      <c r="N126" s="1767"/>
      <c r="O126" s="1767"/>
      <c r="P126" s="1809"/>
      <c r="Q126" s="1762"/>
      <c r="R126" s="1741"/>
      <c r="S126" s="1741"/>
      <c r="T126" s="1741"/>
      <c r="U126" s="1741"/>
      <c r="V126" s="1741"/>
      <c r="W126" s="1741"/>
      <c r="X126" s="1741"/>
      <c r="Y126" s="1741"/>
      <c r="Z126" s="1741"/>
      <c r="AA126" s="1741"/>
      <c r="AB126" s="1741"/>
      <c r="AC126" s="1741"/>
    </row>
    <row r="127" spans="1:29" s="1134" customFormat="1" ht="14.4" thickTop="1">
      <c r="A127" s="552"/>
      <c r="B127" s="615">
        <f>B45</f>
        <v>111</v>
      </c>
      <c r="C127" s="630"/>
      <c r="D127" s="630"/>
      <c r="E127" s="630"/>
      <c r="F127" s="630"/>
      <c r="G127" s="630"/>
      <c r="H127" s="631"/>
      <c r="I127" s="631"/>
      <c r="J127" s="631"/>
      <c r="K127" s="631"/>
      <c r="L127" s="632"/>
      <c r="M127" s="633"/>
      <c r="N127" s="1768"/>
      <c r="O127" s="1768"/>
      <c r="P127" s="1810"/>
      <c r="Q127" s="1769"/>
      <c r="R127" s="1770"/>
      <c r="S127" s="1770"/>
      <c r="T127" s="1770"/>
      <c r="U127" s="1770"/>
      <c r="V127" s="1770"/>
      <c r="W127" s="1770"/>
      <c r="X127" s="1770"/>
      <c r="Y127" s="1770"/>
      <c r="Z127" s="1770"/>
      <c r="AA127" s="1770"/>
      <c r="AB127" s="1770"/>
      <c r="AC127" s="1770"/>
    </row>
    <row r="128" spans="1:29" s="1134" customFormat="1" ht="14.4" thickBot="1">
      <c r="A128" s="629"/>
      <c r="B128" s="620"/>
      <c r="C128" s="634"/>
      <c r="D128" s="613"/>
      <c r="E128" s="613"/>
      <c r="F128" s="613"/>
      <c r="G128" s="634"/>
      <c r="H128" s="635"/>
      <c r="I128" s="635"/>
      <c r="J128" s="635"/>
      <c r="K128" s="635"/>
      <c r="L128" s="635"/>
      <c r="M128" s="636"/>
      <c r="N128" s="1768"/>
      <c r="O128" s="1768"/>
      <c r="P128" s="1810"/>
      <c r="Q128" s="1769"/>
      <c r="R128" s="1770"/>
      <c r="S128" s="1770"/>
      <c r="T128" s="1770"/>
      <c r="U128" s="1770"/>
      <c r="V128" s="1770"/>
      <c r="W128" s="1770"/>
      <c r="X128" s="1770"/>
      <c r="Y128" s="1770"/>
      <c r="Z128" s="1770"/>
      <c r="AA128" s="1770"/>
      <c r="AB128" s="1770"/>
      <c r="AC128" s="1770"/>
    </row>
    <row r="129" spans="1:29" ht="14.4" thickTop="1">
      <c r="A129" s="543"/>
      <c r="B129" s="615">
        <f>B46</f>
        <v>111</v>
      </c>
      <c r="C129" s="630"/>
      <c r="D129" s="630"/>
      <c r="E129" s="630"/>
      <c r="F129" s="630"/>
      <c r="G129" s="658"/>
      <c r="H129" s="658"/>
      <c r="I129" s="658"/>
      <c r="J129" s="658"/>
      <c r="K129" s="659"/>
      <c r="L129" s="660"/>
      <c r="M129" s="661"/>
      <c r="N129" s="1766"/>
      <c r="O129" s="1766"/>
      <c r="P129" s="1809"/>
      <c r="Q129" s="1762"/>
      <c r="R129" s="1741"/>
      <c r="S129" s="1741"/>
      <c r="T129" s="1741"/>
      <c r="U129" s="1741"/>
      <c r="V129" s="1741"/>
      <c r="W129" s="1741"/>
      <c r="X129" s="1741"/>
      <c r="Y129" s="1741"/>
      <c r="Z129" s="1741"/>
      <c r="AA129" s="1741"/>
      <c r="AB129" s="1741"/>
      <c r="AC129" s="1741"/>
    </row>
    <row r="130" spans="1:29" ht="14.4" thickBot="1">
      <c r="A130" s="482"/>
      <c r="B130" s="620"/>
      <c r="C130" s="634"/>
      <c r="D130" s="634"/>
      <c r="E130" s="634"/>
      <c r="F130" s="634"/>
      <c r="G130" s="613"/>
      <c r="H130" s="613"/>
      <c r="I130" s="613"/>
      <c r="J130" s="613"/>
      <c r="K130" s="613"/>
      <c r="L130" s="613"/>
      <c r="M130" s="614"/>
      <c r="N130" s="1767"/>
      <c r="O130" s="1767"/>
      <c r="P130" s="1809"/>
      <c r="Q130" s="1762"/>
      <c r="R130" s="1741"/>
      <c r="S130" s="1741"/>
      <c r="T130" s="1741"/>
      <c r="U130" s="1741"/>
      <c r="V130" s="1741"/>
      <c r="W130" s="1741"/>
      <c r="X130" s="1741"/>
      <c r="Y130" s="1741"/>
      <c r="Z130" s="1741"/>
      <c r="AA130" s="1741"/>
      <c r="AB130" s="1741"/>
      <c r="AC130" s="1741"/>
    </row>
    <row r="131" spans="1:29" ht="14.4" thickTop="1">
      <c r="A131" s="543"/>
      <c r="B131" s="623">
        <f>B47</f>
        <v>111</v>
      </c>
      <c r="C131" s="80"/>
      <c r="D131" s="80"/>
      <c r="E131" s="80"/>
      <c r="F131" s="80"/>
      <c r="G131" s="662"/>
      <c r="H131" s="662"/>
      <c r="I131" s="662"/>
      <c r="J131" s="662"/>
      <c r="K131" s="80"/>
      <c r="L131" s="605"/>
      <c r="M131" s="665"/>
      <c r="N131" s="1766"/>
      <c r="O131" s="1766"/>
      <c r="P131" s="1809"/>
      <c r="Q131" s="1762"/>
      <c r="R131" s="1741"/>
      <c r="S131" s="1741"/>
      <c r="T131" s="1741"/>
      <c r="U131" s="1741"/>
      <c r="V131" s="1741"/>
      <c r="W131" s="1741"/>
      <c r="X131" s="1741"/>
      <c r="Y131" s="1741"/>
      <c r="Z131" s="1741"/>
      <c r="AA131" s="1741"/>
      <c r="AB131" s="1741"/>
      <c r="AC131" s="1741"/>
    </row>
    <row r="132" spans="1:29" ht="14.4" thickBot="1">
      <c r="A132" s="493"/>
      <c r="B132" s="641"/>
      <c r="C132" s="642"/>
      <c r="D132" s="642"/>
      <c r="E132" s="642"/>
      <c r="F132" s="642"/>
      <c r="G132" s="666"/>
      <c r="H132" s="666"/>
      <c r="I132" s="666"/>
      <c r="J132" s="666"/>
      <c r="K132" s="666"/>
      <c r="L132" s="666"/>
      <c r="M132" s="667"/>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454" t="s">
        <v>728</v>
      </c>
      <c r="C1" s="455" t="s">
        <v>667</v>
      </c>
      <c r="D1" s="783"/>
      <c r="E1" s="457"/>
      <c r="F1" s="2117"/>
      <c r="G1" s="1327" t="s">
        <v>668</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31" customFormat="1" ht="28.5" customHeight="1">
      <c r="A2" s="393" t="s">
        <v>427</v>
      </c>
      <c r="B2" s="784"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31" customFormat="1" ht="28.5" customHeight="1" thickBot="1">
      <c r="A3" s="460" t="s">
        <v>468</v>
      </c>
      <c r="B3" s="461" t="e">
        <f>C43</f>
        <v>#DIV/0!</v>
      </c>
      <c r="C3" s="786" t="s">
        <v>669</v>
      </c>
      <c r="D3" s="785">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4.4">
      <c r="A4" s="463" t="s">
        <v>470</v>
      </c>
      <c r="B4" s="464"/>
      <c r="C4" s="3635" t="s">
        <v>471</v>
      </c>
      <c r="D4" s="3636"/>
      <c r="E4" s="3657" t="s">
        <v>472</v>
      </c>
      <c r="F4" s="3658"/>
      <c r="G4" s="3635" t="s">
        <v>473</v>
      </c>
      <c r="H4" s="3636"/>
      <c r="I4" s="3635" t="s">
        <v>474</v>
      </c>
      <c r="J4" s="3636"/>
      <c r="K4" s="465" t="s">
        <v>475</v>
      </c>
      <c r="L4" s="1740"/>
      <c r="M4" s="1741"/>
      <c r="N4" s="1741"/>
      <c r="O4" s="1741"/>
      <c r="P4" s="3637" t="s">
        <v>476</v>
      </c>
      <c r="Q4" s="3638"/>
      <c r="R4" s="3621" t="s">
        <v>472</v>
      </c>
      <c r="S4" s="3622"/>
      <c r="T4" s="3621" t="s">
        <v>473</v>
      </c>
      <c r="U4" s="3622"/>
      <c r="V4" s="3643" t="s">
        <v>474</v>
      </c>
      <c r="W4" s="3643"/>
      <c r="X4" s="1301"/>
      <c r="Y4" s="3621" t="s">
        <v>476</v>
      </c>
      <c r="Z4" s="3622"/>
      <c r="AA4" s="3616" t="s">
        <v>472</v>
      </c>
      <c r="AB4" s="3617" t="s">
        <v>473</v>
      </c>
      <c r="AC4" s="3616" t="s">
        <v>474</v>
      </c>
    </row>
    <row r="5" spans="1:29">
      <c r="A5" s="466"/>
      <c r="B5" s="467"/>
      <c r="C5" s="3646" t="s">
        <v>2192</v>
      </c>
      <c r="D5" s="3647"/>
      <c r="E5" s="3659" t="s">
        <v>2193</v>
      </c>
      <c r="F5" s="3660"/>
      <c r="G5" s="3646" t="s">
        <v>2194</v>
      </c>
      <c r="H5" s="3647"/>
      <c r="I5" s="3646" t="s">
        <v>2195</v>
      </c>
      <c r="J5" s="3647"/>
      <c r="K5" s="465"/>
      <c r="L5" s="1740"/>
      <c r="M5" s="1741"/>
      <c r="N5" s="1741"/>
      <c r="O5" s="1741"/>
      <c r="P5" s="3639"/>
      <c r="Q5" s="3640"/>
      <c r="R5" s="3623"/>
      <c r="S5" s="3624"/>
      <c r="T5" s="3623"/>
      <c r="U5" s="3624"/>
      <c r="V5" s="3643"/>
      <c r="W5" s="3643"/>
      <c r="X5" s="1301"/>
      <c r="Y5" s="3623"/>
      <c r="Z5" s="3624"/>
      <c r="AA5" s="3617"/>
      <c r="AB5" s="3617"/>
      <c r="AC5" s="3617"/>
    </row>
    <row r="6" spans="1:29" ht="15" thickBot="1">
      <c r="A6" s="468"/>
      <c r="B6" s="469"/>
      <c r="C6" s="3644" t="s">
        <v>2196</v>
      </c>
      <c r="D6" s="3645"/>
      <c r="E6" s="3661" t="s">
        <v>2196</v>
      </c>
      <c r="F6" s="3662"/>
      <c r="G6" s="3644" t="s">
        <v>2196</v>
      </c>
      <c r="H6" s="3645"/>
      <c r="I6" s="3644" t="s">
        <v>2196</v>
      </c>
      <c r="J6" s="3645"/>
      <c r="K6" s="465" t="s">
        <v>477</v>
      </c>
      <c r="L6" s="1740"/>
      <c r="M6" s="1741"/>
      <c r="N6" s="1741"/>
      <c r="O6" s="1741"/>
      <c r="P6" s="3641"/>
      <c r="Q6" s="3642"/>
      <c r="R6" s="3623"/>
      <c r="S6" s="3624"/>
      <c r="T6" s="3625"/>
      <c r="U6" s="3626"/>
      <c r="V6" s="3643"/>
      <c r="W6" s="3643"/>
      <c r="X6" s="1301"/>
      <c r="Y6" s="3625"/>
      <c r="Z6" s="3626"/>
      <c r="AA6" s="3618"/>
      <c r="AB6" s="3618"/>
      <c r="AC6" s="3618"/>
    </row>
    <row r="7" spans="1:29" s="1060" customFormat="1" ht="15" thickBot="1">
      <c r="A7" s="2208"/>
      <c r="B7" s="2215" t="s">
        <v>478</v>
      </c>
      <c r="C7" s="470">
        <f>'数据-取费表'!B2</f>
        <v>45849</v>
      </c>
      <c r="D7" s="471">
        <v>100</v>
      </c>
      <c r="E7" s="472"/>
      <c r="F7" s="473">
        <f>SUMIF(52:52,YEAR(E7)&amp;"-"&amp;MONTH(E7),53:53)</f>
        <v>0</v>
      </c>
      <c r="G7" s="472"/>
      <c r="H7" s="471">
        <f>SUMIF(52:52,YEAR(G7)&amp;"-"&amp;MONTH(G7),53:53)</f>
        <v>0</v>
      </c>
      <c r="I7" s="472"/>
      <c r="J7" s="471">
        <f>SUMIF(52:52,YEAR(I7)&amp;"-"&amp;MONTH(I7),53:53)</f>
        <v>0</v>
      </c>
      <c r="K7" s="88"/>
      <c r="L7" s="1742"/>
      <c r="M7" s="1639"/>
      <c r="N7" s="1639"/>
      <c r="O7" s="1639"/>
      <c r="P7" s="3619" t="s">
        <v>479</v>
      </c>
      <c r="Q7" s="3628"/>
      <c r="R7" s="1302" t="s">
        <v>5</v>
      </c>
      <c r="S7" s="1303">
        <f t="shared" ref="S7:S15" si="0">F7</f>
        <v>0</v>
      </c>
      <c r="T7" s="1302" t="s">
        <v>5</v>
      </c>
      <c r="U7" s="1303">
        <f t="shared" ref="U7:U15" si="1">H7</f>
        <v>0</v>
      </c>
      <c r="V7" s="1302" t="s">
        <v>5</v>
      </c>
      <c r="W7" s="1303">
        <f t="shared" ref="W7:W15" si="2">J7</f>
        <v>0</v>
      </c>
      <c r="X7" s="1304"/>
      <c r="Y7" s="3619" t="s">
        <v>479</v>
      </c>
      <c r="Z7" s="3620"/>
      <c r="AA7" s="997" t="e">
        <f>D7/F7</f>
        <v>#DIV/0!</v>
      </c>
      <c r="AB7" s="997" t="e">
        <f>D7/H7</f>
        <v>#DIV/0!</v>
      </c>
      <c r="AC7" s="997" t="e">
        <f>D7/J7</f>
        <v>#DIV/0!</v>
      </c>
    </row>
    <row r="8" spans="1:29" s="1060" customFormat="1" ht="1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2"/>
      <c r="M8" s="1639"/>
      <c r="N8" s="1639"/>
      <c r="O8" s="1639"/>
      <c r="P8" s="3619" t="s">
        <v>482</v>
      </c>
      <c r="Q8" s="3620"/>
      <c r="R8" s="1302" t="s">
        <v>5</v>
      </c>
      <c r="S8" s="1303">
        <f t="shared" si="0"/>
        <v>0</v>
      </c>
      <c r="T8" s="1302" t="s">
        <v>5</v>
      </c>
      <c r="U8" s="1303">
        <f t="shared" si="1"/>
        <v>0</v>
      </c>
      <c r="V8" s="1302" t="s">
        <v>5</v>
      </c>
      <c r="W8" s="1303">
        <f t="shared" si="2"/>
        <v>0</v>
      </c>
      <c r="X8" s="1304"/>
      <c r="Y8" s="3619" t="s">
        <v>482</v>
      </c>
      <c r="Z8" s="3620"/>
      <c r="AA8" s="997" t="e">
        <f t="shared" ref="AA8:AA40" si="3">D8/F8</f>
        <v>#DIV/0!</v>
      </c>
      <c r="AB8" s="997" t="e">
        <f t="shared" ref="AB8:AB40" si="4">D8/H8</f>
        <v>#DIV/0!</v>
      </c>
      <c r="AC8" s="997" t="e">
        <f t="shared" ref="AC8:AC40" si="5">D8/J8</f>
        <v>#DIV/0!</v>
      </c>
    </row>
    <row r="9" spans="1:29" s="1060" customFormat="1" ht="14.4">
      <c r="A9" s="2210"/>
      <c r="B9" s="2217" t="s">
        <v>2038</v>
      </c>
      <c r="C9" s="791"/>
      <c r="D9" s="154">
        <v>100</v>
      </c>
      <c r="E9" s="793"/>
      <c r="F9" s="154">
        <f>SUMIF(57:57,E9,58:58)-SUMIF(57:57,C9,58:58)+100</f>
        <v>100</v>
      </c>
      <c r="G9" s="792"/>
      <c r="H9" s="154">
        <f>SUMIF(57:57,G9,58:58)-SUMIF(57:57,C9,58:58)+100</f>
        <v>100</v>
      </c>
      <c r="I9" s="792"/>
      <c r="J9" s="154">
        <f>SUMIF(57:57,I9,58:58)-SUMIF(57:57,C9,58:58)+100</f>
        <v>100</v>
      </c>
      <c r="K9" s="88"/>
      <c r="L9" s="1742"/>
      <c r="M9" s="1639"/>
      <c r="N9" s="1639"/>
      <c r="O9" s="1743"/>
      <c r="P9" s="3627" t="s">
        <v>484</v>
      </c>
      <c r="Q9" s="818" t="str">
        <f t="shared" ref="Q9:Q15" si="6">B9</f>
        <v>用途</v>
      </c>
      <c r="R9" s="1302" t="s">
        <v>5</v>
      </c>
      <c r="S9" s="1303">
        <f t="shared" si="0"/>
        <v>100</v>
      </c>
      <c r="T9" s="1302" t="s">
        <v>5</v>
      </c>
      <c r="U9" s="1303">
        <f t="shared" si="1"/>
        <v>100</v>
      </c>
      <c r="V9" s="1302" t="s">
        <v>5</v>
      </c>
      <c r="W9" s="1303">
        <f t="shared" si="2"/>
        <v>100</v>
      </c>
      <c r="X9" s="1304"/>
      <c r="Y9" s="3575" t="s">
        <v>485</v>
      </c>
      <c r="Z9" s="997" t="str">
        <f t="shared" ref="Z9:Z15" si="7">Q9</f>
        <v>用途</v>
      </c>
      <c r="AA9" s="997">
        <f t="shared" si="3"/>
        <v>1</v>
      </c>
      <c r="AB9" s="997">
        <f t="shared" si="4"/>
        <v>1</v>
      </c>
      <c r="AC9" s="997">
        <f t="shared" si="5"/>
        <v>1</v>
      </c>
    </row>
    <row r="10" spans="1:29" s="1133" customFormat="1" ht="28.8">
      <c r="A10" s="2211"/>
      <c r="B10" s="2216" t="s">
        <v>2039</v>
      </c>
      <c r="C10" s="3385"/>
      <c r="D10" s="235">
        <v>100</v>
      </c>
      <c r="E10" s="3385"/>
      <c r="F10" s="235">
        <f>SUMIF(59:59,E10,60:60)-SUMIF(59:59,C10,60:60)+100</f>
        <v>100</v>
      </c>
      <c r="G10" s="3386"/>
      <c r="H10" s="235">
        <f>SUMIF(59:59,G10,60:60)-SUMIF(59:59,C10,60:60)+100</f>
        <v>100</v>
      </c>
      <c r="I10" s="3385"/>
      <c r="J10" s="235">
        <f>SUMIF(59:59,I10,60:60)-SUMIF(59:59,C10,60:60)+100</f>
        <v>100</v>
      </c>
      <c r="K10" s="88"/>
      <c r="L10" s="1744"/>
      <c r="M10" s="1777"/>
      <c r="N10" s="1777"/>
      <c r="O10" s="1745"/>
      <c r="P10" s="3627"/>
      <c r="Q10" s="818" t="str">
        <f t="shared" si="6"/>
        <v>土地使用年限（年）</v>
      </c>
      <c r="R10" s="1302" t="s">
        <v>5</v>
      </c>
      <c r="S10" s="1303">
        <f t="shared" si="0"/>
        <v>100</v>
      </c>
      <c r="T10" s="1302" t="s">
        <v>5</v>
      </c>
      <c r="U10" s="1303">
        <f t="shared" si="1"/>
        <v>100</v>
      </c>
      <c r="V10" s="1302" t="s">
        <v>5</v>
      </c>
      <c r="W10" s="1303">
        <f t="shared" si="2"/>
        <v>100</v>
      </c>
      <c r="X10" s="1304"/>
      <c r="Y10" s="3575"/>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6"/>
      <c r="M11" s="1741"/>
      <c r="N11" s="1741"/>
      <c r="O11" s="1747"/>
      <c r="P11" s="3627"/>
      <c r="Q11" s="818" t="str">
        <f t="shared" si="6"/>
        <v>容积率</v>
      </c>
      <c r="R11" s="1302" t="s">
        <v>5</v>
      </c>
      <c r="S11" s="1303" t="e">
        <f t="shared" si="0"/>
        <v>#N/A</v>
      </c>
      <c r="T11" s="1302" t="s">
        <v>5</v>
      </c>
      <c r="U11" s="1303" t="e">
        <f t="shared" si="1"/>
        <v>#N/A</v>
      </c>
      <c r="V11" s="1302" t="s">
        <v>5</v>
      </c>
      <c r="W11" s="1303" t="e">
        <f t="shared" si="2"/>
        <v>#N/A</v>
      </c>
      <c r="X11" s="1304"/>
      <c r="Y11" s="3575"/>
      <c r="Z11" s="997" t="str">
        <f t="shared" si="7"/>
        <v>容积率</v>
      </c>
      <c r="AA11" s="997" t="e">
        <f t="shared" si="3"/>
        <v>#N/A</v>
      </c>
      <c r="AB11" s="997" t="e">
        <f t="shared" si="4"/>
        <v>#N/A</v>
      </c>
      <c r="AC11" s="997" t="e">
        <f t="shared" si="5"/>
        <v>#N/A</v>
      </c>
    </row>
    <row r="12" spans="1:29" s="1060" customFormat="1" ht="15">
      <c r="A12" s="2213"/>
      <c r="B12" s="2219">
        <v>111</v>
      </c>
      <c r="C12" s="478"/>
      <c r="D12" s="488">
        <v>100</v>
      </c>
      <c r="E12" s="489"/>
      <c r="F12" s="235">
        <f>SUMIF(64:64,E12,65:65)-SUMIF(64:64,C12,65:65)+100</f>
        <v>100</v>
      </c>
      <c r="G12" s="842"/>
      <c r="H12" s="235">
        <f>SUMIF(64:64,G12,65:65)-SUMIF(64:64,C12,65:65)+100</f>
        <v>100</v>
      </c>
      <c r="I12" s="806"/>
      <c r="J12" s="235">
        <f>SUMIF(64:64,I12,65:65)-SUMIF(64:64,C12,65:65)+100</f>
        <v>100</v>
      </c>
      <c r="K12" s="531"/>
      <c r="L12" s="1742"/>
      <c r="M12" s="1639"/>
      <c r="N12" s="1639"/>
      <c r="O12" s="1743"/>
      <c r="P12" s="3627"/>
      <c r="Q12" s="818">
        <f t="shared" si="6"/>
        <v>111</v>
      </c>
      <c r="R12" s="1302" t="s">
        <v>5</v>
      </c>
      <c r="S12" s="1303">
        <f t="shared" si="0"/>
        <v>100</v>
      </c>
      <c r="T12" s="1302" t="s">
        <v>5</v>
      </c>
      <c r="U12" s="1303">
        <f t="shared" si="1"/>
        <v>100</v>
      </c>
      <c r="V12" s="1302" t="s">
        <v>5</v>
      </c>
      <c r="W12" s="1303">
        <f t="shared" si="2"/>
        <v>100</v>
      </c>
      <c r="X12" s="1304"/>
      <c r="Y12" s="3575"/>
      <c r="Z12" s="997">
        <f t="shared" si="7"/>
        <v>111</v>
      </c>
      <c r="AA12" s="997">
        <f>D12/F12</f>
        <v>1</v>
      </c>
      <c r="AB12" s="997">
        <f>D12/H12</f>
        <v>1</v>
      </c>
      <c r="AC12" s="997">
        <f>D12/J12</f>
        <v>1</v>
      </c>
    </row>
    <row r="13" spans="1:29" ht="15">
      <c r="A13" s="2213"/>
      <c r="B13" s="2219">
        <v>111</v>
      </c>
      <c r="C13" s="489"/>
      <c r="D13" s="490">
        <v>100</v>
      </c>
      <c r="E13" s="489"/>
      <c r="F13" s="235">
        <f>SUMIF(66:66,E13,67:67)-SUMIF(66:66,C13,67:67)+100</f>
        <v>100</v>
      </c>
      <c r="G13" s="842"/>
      <c r="H13" s="490">
        <f>SUMIF(66:66,G13,67:67)-SUMIF(66:66,C13,67:67)+100</f>
        <v>100</v>
      </c>
      <c r="I13" s="806"/>
      <c r="J13" s="490">
        <f>SUMIF(66:66,I13,67:67)-SUMIF(66:66,C13,67:67)+100</f>
        <v>100</v>
      </c>
      <c r="K13" s="531"/>
      <c r="L13" s="1748"/>
      <c r="M13" s="1741"/>
      <c r="N13" s="1741"/>
      <c r="O13" s="1747"/>
      <c r="P13" s="3627"/>
      <c r="Q13" s="818">
        <f t="shared" si="6"/>
        <v>111</v>
      </c>
      <c r="R13" s="1302" t="s">
        <v>5</v>
      </c>
      <c r="S13" s="1303">
        <f t="shared" si="0"/>
        <v>100</v>
      </c>
      <c r="T13" s="1302" t="s">
        <v>5</v>
      </c>
      <c r="U13" s="1303">
        <f t="shared" si="1"/>
        <v>100</v>
      </c>
      <c r="V13" s="1302" t="s">
        <v>5</v>
      </c>
      <c r="W13" s="1303">
        <f t="shared" si="2"/>
        <v>100</v>
      </c>
      <c r="X13" s="1304"/>
      <c r="Y13" s="3575"/>
      <c r="Z13" s="997">
        <f t="shared" si="7"/>
        <v>111</v>
      </c>
      <c r="AA13" s="997">
        <f t="shared" si="3"/>
        <v>1</v>
      </c>
      <c r="AB13" s="997">
        <f t="shared" si="4"/>
        <v>1</v>
      </c>
      <c r="AC13" s="997">
        <f t="shared" si="5"/>
        <v>1</v>
      </c>
    </row>
    <row r="14" spans="1:29" ht="15.6" thickBot="1">
      <c r="A14" s="2214"/>
      <c r="B14" s="2220">
        <v>111</v>
      </c>
      <c r="C14" s="495"/>
      <c r="D14" s="496">
        <v>100</v>
      </c>
      <c r="E14" s="495"/>
      <c r="F14" s="496">
        <f>SUMIF(68:68,E14,69:69)-SUMIF(68:68,C14,69:69)+100</f>
        <v>100</v>
      </c>
      <c r="G14" s="842"/>
      <c r="H14" s="496">
        <f>SUMIF(68:68,G14,69:69)-SUMIF(68:68,C14,69:69)+100</f>
        <v>100</v>
      </c>
      <c r="I14" s="806"/>
      <c r="J14" s="496">
        <f>SUMIF(68:68,I14,69:69)-SUMIF(68:68,C14,69:69)+100</f>
        <v>100</v>
      </c>
      <c r="K14" s="531"/>
      <c r="L14" s="1748"/>
      <c r="M14" s="1741"/>
      <c r="N14" s="1741"/>
      <c r="O14" s="1747"/>
      <c r="P14" s="3627"/>
      <c r="Q14" s="818">
        <f t="shared" si="6"/>
        <v>111</v>
      </c>
      <c r="R14" s="1302" t="s">
        <v>5</v>
      </c>
      <c r="S14" s="1303">
        <f t="shared" si="0"/>
        <v>100</v>
      </c>
      <c r="T14" s="1302" t="s">
        <v>5</v>
      </c>
      <c r="U14" s="1303">
        <f t="shared" si="1"/>
        <v>100</v>
      </c>
      <c r="V14" s="1302" t="s">
        <v>5</v>
      </c>
      <c r="W14" s="1303">
        <f t="shared" si="2"/>
        <v>100</v>
      </c>
      <c r="X14" s="1304"/>
      <c r="Y14" s="3575"/>
      <c r="Z14" s="997">
        <f t="shared" si="7"/>
        <v>111</v>
      </c>
      <c r="AA14" s="997">
        <f t="shared" si="3"/>
        <v>1</v>
      </c>
      <c r="AB14" s="997">
        <f t="shared" si="4"/>
        <v>1</v>
      </c>
      <c r="AC14" s="997">
        <f t="shared" si="5"/>
        <v>1</v>
      </c>
    </row>
    <row r="15" spans="1:29" ht="69">
      <c r="A15" s="2206" t="s">
        <v>2036</v>
      </c>
      <c r="B15" s="150" t="s">
        <v>729</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48"/>
      <c r="M15" s="1741"/>
      <c r="N15" s="1741"/>
      <c r="O15" s="1747"/>
      <c r="P15" s="3629" t="s">
        <v>489</v>
      </c>
      <c r="Q15" s="1305" t="str">
        <f t="shared" si="6"/>
        <v>产业集聚程度</v>
      </c>
      <c r="R15" s="1306" t="s">
        <v>5</v>
      </c>
      <c r="S15" s="1307">
        <f t="shared" si="0"/>
        <v>100</v>
      </c>
      <c r="T15" s="1306" t="s">
        <v>5</v>
      </c>
      <c r="U15" s="1307">
        <f t="shared" si="1"/>
        <v>100</v>
      </c>
      <c r="V15" s="1306" t="s">
        <v>5</v>
      </c>
      <c r="W15" s="1307">
        <f t="shared" si="2"/>
        <v>100</v>
      </c>
      <c r="X15" s="1301"/>
      <c r="Y15" s="3629" t="s">
        <v>489</v>
      </c>
      <c r="Z15" s="1308" t="str">
        <f t="shared" si="7"/>
        <v>产业集聚程度</v>
      </c>
      <c r="AA15" s="1308">
        <f t="shared" si="3"/>
        <v>1</v>
      </c>
      <c r="AB15" s="1308">
        <f t="shared" si="4"/>
        <v>1</v>
      </c>
      <c r="AC15" s="1308">
        <f t="shared" si="5"/>
        <v>1</v>
      </c>
    </row>
    <row r="16" spans="1:29" ht="15">
      <c r="A16" s="482"/>
      <c r="B16" s="799"/>
      <c r="C16" s="526"/>
      <c r="D16" s="505"/>
      <c r="E16" s="526"/>
      <c r="F16" s="507"/>
      <c r="G16" s="526"/>
      <c r="H16" s="509"/>
      <c r="I16" s="526"/>
      <c r="J16" s="505"/>
      <c r="K16" s="823"/>
      <c r="L16" s="1748"/>
      <c r="M16" s="1741"/>
      <c r="N16" s="1741"/>
      <c r="O16" s="1747"/>
      <c r="P16" s="3630"/>
      <c r="Q16" s="1305"/>
      <c r="R16" s="1306"/>
      <c r="S16" s="1307"/>
      <c r="T16" s="1306"/>
      <c r="U16" s="1307"/>
      <c r="V16" s="1306"/>
      <c r="W16" s="1307"/>
      <c r="X16" s="1301"/>
      <c r="Y16" s="3630"/>
      <c r="Z16" s="1308"/>
      <c r="AA16" s="1308">
        <v>1</v>
      </c>
      <c r="AB16" s="1308">
        <v>1</v>
      </c>
      <c r="AC16" s="1308">
        <v>1</v>
      </c>
    </row>
    <row r="17" spans="1:29" ht="96.6">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48"/>
      <c r="M17" s="1741"/>
      <c r="N17" s="1741"/>
      <c r="O17" s="1747"/>
      <c r="P17" s="3630"/>
      <c r="Q17" s="1305" t="str">
        <f>B17</f>
        <v>交通便捷度</v>
      </c>
      <c r="R17" s="1306" t="s">
        <v>5</v>
      </c>
      <c r="S17" s="1307">
        <f>F17</f>
        <v>100</v>
      </c>
      <c r="T17" s="1306" t="s">
        <v>5</v>
      </c>
      <c r="U17" s="1307">
        <f>H17</f>
        <v>100</v>
      </c>
      <c r="V17" s="1306" t="s">
        <v>5</v>
      </c>
      <c r="W17" s="1307">
        <f>J17</f>
        <v>100</v>
      </c>
      <c r="X17" s="1301"/>
      <c r="Y17" s="3630"/>
      <c r="Z17" s="1308" t="str">
        <f>Q17</f>
        <v>交通便捷度</v>
      </c>
      <c r="AA17" s="1308">
        <f t="shared" si="3"/>
        <v>1</v>
      </c>
      <c r="AB17" s="1308">
        <f t="shared" si="4"/>
        <v>1</v>
      </c>
      <c r="AC17" s="1308">
        <f t="shared" si="5"/>
        <v>1</v>
      </c>
    </row>
    <row r="18" spans="1:29" ht="15">
      <c r="A18" s="482"/>
      <c r="B18" s="544"/>
      <c r="C18" s="802"/>
      <c r="D18" s="509"/>
      <c r="E18" s="518"/>
      <c r="F18" s="513"/>
      <c r="G18" s="519"/>
      <c r="H18" s="505"/>
      <c r="I18" s="518"/>
      <c r="J18" s="505"/>
      <c r="K18" s="823"/>
      <c r="L18" s="1748"/>
      <c r="M18" s="1741"/>
      <c r="N18" s="1741"/>
      <c r="O18" s="1747"/>
      <c r="P18" s="3630"/>
      <c r="Q18" s="1305"/>
      <c r="R18" s="1306"/>
      <c r="S18" s="1307"/>
      <c r="T18" s="1306"/>
      <c r="U18" s="1307"/>
      <c r="V18" s="1306"/>
      <c r="W18" s="1307"/>
      <c r="X18" s="1301"/>
      <c r="Y18" s="3630"/>
      <c r="Z18" s="1308"/>
      <c r="AA18" s="1308">
        <v>1</v>
      </c>
      <c r="AB18" s="1308">
        <v>1</v>
      </c>
      <c r="AC18" s="1308">
        <v>1</v>
      </c>
    </row>
    <row r="19" spans="1:29" ht="41.4">
      <c r="A19" s="482"/>
      <c r="B19" s="2061" t="s">
        <v>1829</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48"/>
      <c r="M19" s="1741"/>
      <c r="N19" s="1741"/>
      <c r="O19" s="1747"/>
      <c r="P19" s="3630"/>
      <c r="Q19" s="1305" t="str">
        <f>B19</f>
        <v>公共配套设施</v>
      </c>
      <c r="R19" s="1306" t="s">
        <v>5</v>
      </c>
      <c r="S19" s="1307">
        <f>F19</f>
        <v>100</v>
      </c>
      <c r="T19" s="1306" t="s">
        <v>5</v>
      </c>
      <c r="U19" s="1307">
        <f>H19</f>
        <v>100</v>
      </c>
      <c r="V19" s="1306" t="s">
        <v>5</v>
      </c>
      <c r="W19" s="1307">
        <f>J19</f>
        <v>100</v>
      </c>
      <c r="X19" s="1301"/>
      <c r="Y19" s="3630"/>
      <c r="Z19" s="1308" t="str">
        <f>Q19</f>
        <v>公共配套设施</v>
      </c>
      <c r="AA19" s="1308">
        <f t="shared" si="3"/>
        <v>1</v>
      </c>
      <c r="AB19" s="1308">
        <f t="shared" si="4"/>
        <v>1</v>
      </c>
      <c r="AC19" s="1308">
        <f t="shared" si="5"/>
        <v>1</v>
      </c>
    </row>
    <row r="20" spans="1:29" ht="15">
      <c r="A20" s="482"/>
      <c r="B20" s="516"/>
      <c r="C20" s="526"/>
      <c r="D20" s="505"/>
      <c r="E20" s="506"/>
      <c r="F20" s="507"/>
      <c r="G20" s="508"/>
      <c r="H20" s="505"/>
      <c r="I20" s="506"/>
      <c r="J20" s="505"/>
      <c r="K20" s="823"/>
      <c r="L20" s="1748"/>
      <c r="M20" s="1741"/>
      <c r="N20" s="1741"/>
      <c r="O20" s="1747"/>
      <c r="P20" s="3630"/>
      <c r="Q20" s="1305"/>
      <c r="R20" s="1306"/>
      <c r="S20" s="1307"/>
      <c r="T20" s="1306"/>
      <c r="U20" s="1307"/>
      <c r="V20" s="1306"/>
      <c r="W20" s="1307"/>
      <c r="X20" s="1301"/>
      <c r="Y20" s="3630"/>
      <c r="Z20" s="1308"/>
      <c r="AA20" s="1308">
        <v>1</v>
      </c>
      <c r="AB20" s="1308">
        <v>1</v>
      </c>
      <c r="AC20" s="1308">
        <v>1</v>
      </c>
    </row>
    <row r="21" spans="1:29" ht="41.4">
      <c r="A21" s="482"/>
      <c r="B21" s="2049" t="s">
        <v>1841</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48"/>
      <c r="M21" s="1741"/>
      <c r="N21" s="1741"/>
      <c r="O21" s="1747"/>
      <c r="P21" s="3630"/>
      <c r="Q21" s="1305" t="str">
        <f>B21</f>
        <v>基础设施水平</v>
      </c>
      <c r="R21" s="1306" t="s">
        <v>5</v>
      </c>
      <c r="S21" s="1307">
        <f>F21</f>
        <v>100</v>
      </c>
      <c r="T21" s="1306" t="s">
        <v>5</v>
      </c>
      <c r="U21" s="1307">
        <f>H21</f>
        <v>100</v>
      </c>
      <c r="V21" s="1306" t="s">
        <v>5</v>
      </c>
      <c r="W21" s="1307">
        <f>J21</f>
        <v>100</v>
      </c>
      <c r="X21" s="1301"/>
      <c r="Y21" s="3630"/>
      <c r="Z21" s="1308" t="str">
        <f>Q21</f>
        <v>基础设施水平</v>
      </c>
      <c r="AA21" s="1308">
        <f>D21/F21</f>
        <v>1</v>
      </c>
      <c r="AB21" s="1308">
        <f>D21/H21</f>
        <v>1</v>
      </c>
      <c r="AC21" s="1308">
        <f>D21/J21</f>
        <v>1</v>
      </c>
    </row>
    <row r="22" spans="1:29" ht="15">
      <c r="A22" s="482"/>
      <c r="B22" s="528"/>
      <c r="C22" s="802"/>
      <c r="D22" s="505"/>
      <c r="E22" s="526"/>
      <c r="F22" s="507"/>
      <c r="G22" s="526"/>
      <c r="H22" s="505"/>
      <c r="I22" s="526"/>
      <c r="J22" s="505"/>
      <c r="K22" s="2060"/>
      <c r="L22" s="1748"/>
      <c r="M22" s="1741"/>
      <c r="N22" s="1741"/>
      <c r="O22" s="1747"/>
      <c r="P22" s="3630"/>
      <c r="Q22" s="1305"/>
      <c r="R22" s="1306"/>
      <c r="S22" s="1307"/>
      <c r="T22" s="1306"/>
      <c r="U22" s="1307"/>
      <c r="V22" s="1306"/>
      <c r="W22" s="1307"/>
      <c r="X22" s="1301"/>
      <c r="Y22" s="3630"/>
      <c r="Z22" s="1308"/>
      <c r="AA22" s="1308">
        <v>1</v>
      </c>
      <c r="AB22" s="1308">
        <v>1</v>
      </c>
      <c r="AC22" s="1308">
        <v>1</v>
      </c>
    </row>
    <row r="23" spans="1:29" ht="82.8">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48"/>
      <c r="M23" s="1741"/>
      <c r="N23" s="1741"/>
      <c r="O23" s="1747"/>
      <c r="P23" s="3630"/>
      <c r="Q23" s="1305" t="str">
        <f>B23</f>
        <v>环境质量</v>
      </c>
      <c r="R23" s="1306" t="s">
        <v>5</v>
      </c>
      <c r="S23" s="1307">
        <f>F23</f>
        <v>100</v>
      </c>
      <c r="T23" s="1306" t="s">
        <v>5</v>
      </c>
      <c r="U23" s="1307">
        <f>H23</f>
        <v>100</v>
      </c>
      <c r="V23" s="1306" t="s">
        <v>5</v>
      </c>
      <c r="W23" s="1307">
        <f>J23</f>
        <v>100</v>
      </c>
      <c r="X23" s="1301"/>
      <c r="Y23" s="3630"/>
      <c r="Z23" s="1308" t="str">
        <f>Q23</f>
        <v>环境质量</v>
      </c>
      <c r="AA23" s="1308">
        <f t="shared" si="3"/>
        <v>1</v>
      </c>
      <c r="AB23" s="1308">
        <f t="shared" si="4"/>
        <v>1</v>
      </c>
      <c r="AC23" s="1308">
        <f t="shared" si="5"/>
        <v>1</v>
      </c>
    </row>
    <row r="24" spans="1:29" ht="15">
      <c r="A24" s="482"/>
      <c r="B24" s="844"/>
      <c r="C24" s="526"/>
      <c r="D24" s="505"/>
      <c r="E24" s="506"/>
      <c r="F24" s="507"/>
      <c r="G24" s="508"/>
      <c r="H24" s="505"/>
      <c r="I24" s="506"/>
      <c r="J24" s="505"/>
      <c r="K24" s="823"/>
      <c r="L24" s="1748"/>
      <c r="M24" s="1741"/>
      <c r="N24" s="1741"/>
      <c r="O24" s="1747"/>
      <c r="P24" s="3630"/>
      <c r="Q24" s="1305"/>
      <c r="R24" s="1306"/>
      <c r="S24" s="1307"/>
      <c r="T24" s="1306"/>
      <c r="U24" s="1307"/>
      <c r="V24" s="1306"/>
      <c r="W24" s="1307"/>
      <c r="X24" s="1301"/>
      <c r="Y24" s="3630"/>
      <c r="Z24" s="1308"/>
      <c r="AA24" s="1308">
        <v>1</v>
      </c>
      <c r="AB24" s="1308">
        <v>1</v>
      </c>
      <c r="AC24" s="1308">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8"/>
      <c r="M25" s="1741"/>
      <c r="N25" s="1741"/>
      <c r="O25" s="1747"/>
      <c r="P25" s="3630"/>
      <c r="Q25" s="1305">
        <f>B25</f>
        <v>111</v>
      </c>
      <c r="R25" s="1306" t="s">
        <v>5</v>
      </c>
      <c r="S25" s="1307">
        <f>F25</f>
        <v>100</v>
      </c>
      <c r="T25" s="1306" t="s">
        <v>5</v>
      </c>
      <c r="U25" s="1307">
        <f>H25</f>
        <v>100</v>
      </c>
      <c r="V25" s="1306" t="s">
        <v>5</v>
      </c>
      <c r="W25" s="1307">
        <f>J25</f>
        <v>100</v>
      </c>
      <c r="X25" s="1301"/>
      <c r="Y25" s="3630"/>
      <c r="Z25" s="1308">
        <f>Q25</f>
        <v>111</v>
      </c>
      <c r="AA25" s="1308">
        <f t="shared" si="3"/>
        <v>1</v>
      </c>
      <c r="AB25" s="1308">
        <f t="shared" si="4"/>
        <v>1</v>
      </c>
      <c r="AC25" s="1308">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8"/>
      <c r="M26" s="1741"/>
      <c r="N26" s="1741"/>
      <c r="O26" s="1747"/>
      <c r="P26" s="3630"/>
      <c r="Q26" s="1305">
        <f t="shared" ref="Q26:Q40" si="8">B26</f>
        <v>111</v>
      </c>
      <c r="R26" s="1306" t="s">
        <v>5</v>
      </c>
      <c r="S26" s="1307">
        <f>F26</f>
        <v>100</v>
      </c>
      <c r="T26" s="1306" t="s">
        <v>5</v>
      </c>
      <c r="U26" s="1307">
        <f>H26</f>
        <v>100</v>
      </c>
      <c r="V26" s="1306" t="s">
        <v>5</v>
      </c>
      <c r="W26" s="1307">
        <f>J26</f>
        <v>100</v>
      </c>
      <c r="X26" s="1301"/>
      <c r="Y26" s="3630"/>
      <c r="Z26" s="1308">
        <f>Q26</f>
        <v>111</v>
      </c>
      <c r="AA26" s="1308">
        <f t="shared" si="3"/>
        <v>1</v>
      </c>
      <c r="AB26" s="1308">
        <f t="shared" si="4"/>
        <v>1</v>
      </c>
      <c r="AC26" s="1308">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2"/>
      <c r="M27" s="1639"/>
      <c r="N27" s="1639"/>
      <c r="O27" s="1743"/>
      <c r="P27" s="3630"/>
      <c r="Q27" s="818">
        <f t="shared" si="8"/>
        <v>111</v>
      </c>
      <c r="R27" s="1302" t="s">
        <v>5</v>
      </c>
      <c r="S27" s="1303">
        <f>F27</f>
        <v>100</v>
      </c>
      <c r="T27" s="1302" t="s">
        <v>5</v>
      </c>
      <c r="U27" s="1303">
        <f>H27</f>
        <v>100</v>
      </c>
      <c r="V27" s="1302" t="s">
        <v>5</v>
      </c>
      <c r="W27" s="1303">
        <f>J27</f>
        <v>100</v>
      </c>
      <c r="X27" s="1304"/>
      <c r="Y27" s="3630"/>
      <c r="Z27" s="997">
        <f>Q27</f>
        <v>111</v>
      </c>
      <c r="AA27" s="1308">
        <f>D27/F27</f>
        <v>1</v>
      </c>
      <c r="AB27" s="1308">
        <f>D27/H27</f>
        <v>1</v>
      </c>
      <c r="AC27" s="1308">
        <f>D27/J27</f>
        <v>1</v>
      </c>
    </row>
    <row r="28" spans="1:29" ht="15.6"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8"/>
      <c r="M28" s="1741"/>
      <c r="N28" s="1741"/>
      <c r="O28" s="1747"/>
      <c r="P28" s="3630"/>
      <c r="Q28" s="1305">
        <f t="shared" si="8"/>
        <v>111</v>
      </c>
      <c r="R28" s="1306" t="s">
        <v>5</v>
      </c>
      <c r="S28" s="1307">
        <f t="shared" ref="S28:S40" si="9">F28</f>
        <v>100</v>
      </c>
      <c r="T28" s="1306" t="s">
        <v>5</v>
      </c>
      <c r="U28" s="1307">
        <f t="shared" ref="U28:U40" si="10">H28</f>
        <v>100</v>
      </c>
      <c r="V28" s="1306" t="s">
        <v>5</v>
      </c>
      <c r="W28" s="1307">
        <f t="shared" ref="W28:W40" si="11">J28</f>
        <v>100</v>
      </c>
      <c r="X28" s="1301"/>
      <c r="Y28" s="3630"/>
      <c r="Z28" s="1308">
        <f t="shared" ref="Z28:Z40" si="12">Q28</f>
        <v>111</v>
      </c>
      <c r="AA28" s="1308">
        <f t="shared" si="3"/>
        <v>1</v>
      </c>
      <c r="AB28" s="1308">
        <f t="shared" si="4"/>
        <v>1</v>
      </c>
      <c r="AC28" s="1308">
        <f t="shared" si="5"/>
        <v>1</v>
      </c>
    </row>
    <row r="29" spans="1:29" ht="15">
      <c r="A29" s="2203"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8"/>
      <c r="M29" s="1741"/>
      <c r="N29" s="1741"/>
      <c r="O29" s="1747"/>
      <c r="P29" s="3631" t="s">
        <v>499</v>
      </c>
      <c r="Q29" s="1305" t="str">
        <f t="shared" si="8"/>
        <v>建筑类型</v>
      </c>
      <c r="R29" s="1306" t="s">
        <v>5</v>
      </c>
      <c r="S29" s="1307">
        <f t="shared" si="9"/>
        <v>100</v>
      </c>
      <c r="T29" s="1306" t="s">
        <v>5</v>
      </c>
      <c r="U29" s="1307">
        <f t="shared" si="10"/>
        <v>100</v>
      </c>
      <c r="V29" s="1306" t="s">
        <v>5</v>
      </c>
      <c r="W29" s="1307">
        <f t="shared" si="11"/>
        <v>100</v>
      </c>
      <c r="X29" s="1301"/>
      <c r="Y29" s="3632" t="s">
        <v>499</v>
      </c>
      <c r="Z29" s="1308" t="str">
        <f t="shared" si="12"/>
        <v>建筑类型</v>
      </c>
      <c r="AA29" s="1308">
        <f t="shared" si="3"/>
        <v>1</v>
      </c>
      <c r="AB29" s="1308">
        <f t="shared" si="4"/>
        <v>1</v>
      </c>
      <c r="AC29" s="1308">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6"/>
      <c r="M30" s="1770"/>
      <c r="N30" s="1770"/>
      <c r="O30" s="1749"/>
      <c r="P30" s="3632"/>
      <c r="Q30" s="819" t="str">
        <f t="shared" si="8"/>
        <v>项目建筑规模</v>
      </c>
      <c r="R30" s="1309" t="s">
        <v>5</v>
      </c>
      <c r="S30" s="1310" t="e">
        <f t="shared" si="9"/>
        <v>#N/A</v>
      </c>
      <c r="T30" s="1309" t="s">
        <v>5</v>
      </c>
      <c r="U30" s="1310" t="e">
        <f t="shared" si="10"/>
        <v>#N/A</v>
      </c>
      <c r="V30" s="1309" t="s">
        <v>5</v>
      </c>
      <c r="W30" s="1310" t="e">
        <f t="shared" si="11"/>
        <v>#N/A</v>
      </c>
      <c r="X30" s="1311"/>
      <c r="Y30" s="3632"/>
      <c r="Z30" s="1312" t="str">
        <f t="shared" si="12"/>
        <v>项目建筑规模</v>
      </c>
      <c r="AA30" s="1308" t="e">
        <f t="shared" si="3"/>
        <v>#N/A</v>
      </c>
      <c r="AB30" s="1308" t="e">
        <f t="shared" si="4"/>
        <v>#N/A</v>
      </c>
      <c r="AC30" s="1308"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8"/>
      <c r="M31" s="1741"/>
      <c r="N31" s="1741"/>
      <c r="O31" s="1747"/>
      <c r="P31" s="3632"/>
      <c r="Q31" s="1305" t="str">
        <f t="shared" si="8"/>
        <v>建筑结构</v>
      </c>
      <c r="R31" s="1306" t="s">
        <v>5</v>
      </c>
      <c r="S31" s="1307">
        <f t="shared" si="9"/>
        <v>100</v>
      </c>
      <c r="T31" s="1306" t="s">
        <v>5</v>
      </c>
      <c r="U31" s="1307">
        <f t="shared" si="10"/>
        <v>100</v>
      </c>
      <c r="V31" s="1306" t="s">
        <v>5</v>
      </c>
      <c r="W31" s="1307">
        <f t="shared" si="11"/>
        <v>100</v>
      </c>
      <c r="X31" s="1301"/>
      <c r="Y31" s="3632"/>
      <c r="Z31" s="1308" t="str">
        <f t="shared" si="12"/>
        <v>建筑结构</v>
      </c>
      <c r="AA31" s="1308">
        <f t="shared" si="3"/>
        <v>1</v>
      </c>
      <c r="AB31" s="1308">
        <f t="shared" si="4"/>
        <v>1</v>
      </c>
      <c r="AC31" s="1308">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8"/>
      <c r="M32" s="1741"/>
      <c r="N32" s="1741"/>
      <c r="O32" s="1747"/>
      <c r="P32" s="3632"/>
      <c r="Q32" s="1305" t="str">
        <f t="shared" si="8"/>
        <v>公共部分装修</v>
      </c>
      <c r="R32" s="1306" t="s">
        <v>5</v>
      </c>
      <c r="S32" s="1307">
        <f t="shared" si="9"/>
        <v>100</v>
      </c>
      <c r="T32" s="1306" t="s">
        <v>5</v>
      </c>
      <c r="U32" s="1307">
        <f t="shared" si="10"/>
        <v>100</v>
      </c>
      <c r="V32" s="1306" t="s">
        <v>5</v>
      </c>
      <c r="W32" s="1307">
        <f t="shared" si="11"/>
        <v>100</v>
      </c>
      <c r="X32" s="1301"/>
      <c r="Y32" s="3632"/>
      <c r="Z32" s="1308" t="str">
        <f t="shared" si="12"/>
        <v>公共部分装修</v>
      </c>
      <c r="AA32" s="1308">
        <f t="shared" si="3"/>
        <v>1</v>
      </c>
      <c r="AB32" s="1308">
        <f t="shared" si="4"/>
        <v>1</v>
      </c>
      <c r="AC32" s="1308">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8"/>
      <c r="M33" s="1741"/>
      <c r="N33" s="1741"/>
      <c r="O33" s="1747"/>
      <c r="P33" s="3632"/>
      <c r="Q33" s="1305" t="str">
        <f t="shared" si="8"/>
        <v>成新度</v>
      </c>
      <c r="R33" s="1306" t="s">
        <v>5</v>
      </c>
      <c r="S33" s="1307" t="e">
        <f t="shared" si="9"/>
        <v>#N/A</v>
      </c>
      <c r="T33" s="1306" t="s">
        <v>5</v>
      </c>
      <c r="U33" s="1307" t="e">
        <f t="shared" si="10"/>
        <v>#N/A</v>
      </c>
      <c r="V33" s="1306" t="s">
        <v>5</v>
      </c>
      <c r="W33" s="1307" t="e">
        <f t="shared" si="11"/>
        <v>#N/A</v>
      </c>
      <c r="X33" s="1301"/>
      <c r="Y33" s="3632"/>
      <c r="Z33" s="1308" t="str">
        <f t="shared" si="12"/>
        <v>成新度</v>
      </c>
      <c r="AA33" s="1308" t="e">
        <f t="shared" si="3"/>
        <v>#N/A</v>
      </c>
      <c r="AB33" s="1308" t="e">
        <f t="shared" si="4"/>
        <v>#N/A</v>
      </c>
      <c r="AC33" s="1308"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2"/>
      <c r="M34" s="1639"/>
      <c r="N34" s="1639"/>
      <c r="O34" s="1743"/>
      <c r="P34" s="3632"/>
      <c r="Q34" s="818" t="str">
        <f t="shared" si="8"/>
        <v>物业管理</v>
      </c>
      <c r="R34" s="1302" t="s">
        <v>5</v>
      </c>
      <c r="S34" s="1303">
        <f t="shared" si="9"/>
        <v>100</v>
      </c>
      <c r="T34" s="1302" t="s">
        <v>5</v>
      </c>
      <c r="U34" s="1303">
        <f t="shared" si="10"/>
        <v>100</v>
      </c>
      <c r="V34" s="1302" t="s">
        <v>5</v>
      </c>
      <c r="W34" s="1303">
        <f t="shared" si="11"/>
        <v>100</v>
      </c>
      <c r="X34" s="1304"/>
      <c r="Y34" s="3632"/>
      <c r="Z34" s="997" t="str">
        <f t="shared" si="12"/>
        <v>物业管理</v>
      </c>
      <c r="AA34" s="997">
        <f t="shared" si="3"/>
        <v>1</v>
      </c>
      <c r="AB34" s="997">
        <f t="shared" si="4"/>
        <v>1</v>
      </c>
      <c r="AC34" s="997">
        <f t="shared" si="5"/>
        <v>1</v>
      </c>
    </row>
    <row r="35" spans="1:29" ht="15">
      <c r="A35" s="543"/>
      <c r="B35" s="1553"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8"/>
      <c r="M35" s="1741"/>
      <c r="N35" s="1741"/>
      <c r="O35" s="1747"/>
      <c r="P35" s="3632" t="s">
        <v>499</v>
      </c>
      <c r="Q35" s="1305" t="str">
        <f t="shared" si="8"/>
        <v>市政基础设施</v>
      </c>
      <c r="R35" s="1306" t="s">
        <v>5</v>
      </c>
      <c r="S35" s="1307">
        <f t="shared" si="9"/>
        <v>100</v>
      </c>
      <c r="T35" s="1306" t="s">
        <v>5</v>
      </c>
      <c r="U35" s="1307">
        <f t="shared" si="10"/>
        <v>100</v>
      </c>
      <c r="V35" s="1306" t="s">
        <v>5</v>
      </c>
      <c r="W35" s="1307">
        <f t="shared" si="11"/>
        <v>100</v>
      </c>
      <c r="X35" s="1301"/>
      <c r="Y35" s="3632" t="s">
        <v>499</v>
      </c>
      <c r="Z35" s="1308" t="str">
        <f t="shared" si="12"/>
        <v>市政基础设施</v>
      </c>
      <c r="AA35" s="1308">
        <f t="shared" si="3"/>
        <v>1</v>
      </c>
      <c r="AB35" s="1308">
        <f t="shared" si="4"/>
        <v>1</v>
      </c>
      <c r="AC35" s="1308">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8"/>
      <c r="M36" s="1741"/>
      <c r="N36" s="1741"/>
      <c r="O36" s="1747"/>
      <c r="P36" s="3632"/>
      <c r="Q36" s="1305" t="str">
        <f t="shared" si="8"/>
        <v>内部装修</v>
      </c>
      <c r="R36" s="1306" t="s">
        <v>5</v>
      </c>
      <c r="S36" s="1307">
        <f t="shared" si="9"/>
        <v>100</v>
      </c>
      <c r="T36" s="1306" t="s">
        <v>5</v>
      </c>
      <c r="U36" s="1307">
        <f t="shared" si="10"/>
        <v>100</v>
      </c>
      <c r="V36" s="1306" t="s">
        <v>5</v>
      </c>
      <c r="W36" s="1307">
        <f t="shared" si="11"/>
        <v>100</v>
      </c>
      <c r="X36" s="1301"/>
      <c r="Y36" s="3632"/>
      <c r="Z36" s="1308" t="str">
        <f t="shared" si="12"/>
        <v>内部装修</v>
      </c>
      <c r="AA36" s="1308">
        <f t="shared" si="3"/>
        <v>1</v>
      </c>
      <c r="AB36" s="1308">
        <f t="shared" si="4"/>
        <v>1</v>
      </c>
      <c r="AC36" s="1308">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8"/>
      <c r="M37" s="1741"/>
      <c r="N37" s="1741"/>
      <c r="O37" s="1747"/>
      <c r="P37" s="3632"/>
      <c r="Q37" s="1305" t="str">
        <f t="shared" si="8"/>
        <v>内部装修状况</v>
      </c>
      <c r="R37" s="1306" t="s">
        <v>5</v>
      </c>
      <c r="S37" s="1307">
        <f t="shared" si="9"/>
        <v>100</v>
      </c>
      <c r="T37" s="1306" t="s">
        <v>5</v>
      </c>
      <c r="U37" s="1307">
        <f t="shared" si="10"/>
        <v>100</v>
      </c>
      <c r="V37" s="1306" t="s">
        <v>5</v>
      </c>
      <c r="W37" s="1307">
        <f t="shared" si="11"/>
        <v>100</v>
      </c>
      <c r="X37" s="1301"/>
      <c r="Y37" s="3632"/>
      <c r="Z37" s="1308" t="str">
        <f t="shared" si="12"/>
        <v>内部装修状况</v>
      </c>
      <c r="AA37" s="1308">
        <f t="shared" si="3"/>
        <v>1</v>
      </c>
      <c r="AB37" s="1308">
        <f t="shared" si="4"/>
        <v>1</v>
      </c>
      <c r="AC37" s="1308">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6"/>
      <c r="M38" s="1770"/>
      <c r="N38" s="1770"/>
      <c r="O38" s="1749"/>
      <c r="P38" s="3632"/>
      <c r="Q38" s="819">
        <f t="shared" si="8"/>
        <v>111</v>
      </c>
      <c r="R38" s="1309" t="s">
        <v>5</v>
      </c>
      <c r="S38" s="1310">
        <f t="shared" si="9"/>
        <v>100</v>
      </c>
      <c r="T38" s="1309" t="s">
        <v>5</v>
      </c>
      <c r="U38" s="1310">
        <f t="shared" si="10"/>
        <v>100</v>
      </c>
      <c r="V38" s="1309" t="s">
        <v>5</v>
      </c>
      <c r="W38" s="1310">
        <f t="shared" si="11"/>
        <v>100</v>
      </c>
      <c r="X38" s="1311"/>
      <c r="Y38" s="3632"/>
      <c r="Z38" s="1312">
        <f t="shared" si="12"/>
        <v>111</v>
      </c>
      <c r="AA38" s="1308">
        <f t="shared" si="3"/>
        <v>1</v>
      </c>
      <c r="AB38" s="1308">
        <f t="shared" si="4"/>
        <v>1</v>
      </c>
      <c r="AC38" s="1308">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8"/>
      <c r="M39" s="1741"/>
      <c r="N39" s="1741"/>
      <c r="O39" s="1747"/>
      <c r="P39" s="3632"/>
      <c r="Q39" s="1305">
        <f t="shared" si="8"/>
        <v>111</v>
      </c>
      <c r="R39" s="1306" t="s">
        <v>5</v>
      </c>
      <c r="S39" s="1307">
        <f t="shared" si="9"/>
        <v>100</v>
      </c>
      <c r="T39" s="1306" t="s">
        <v>5</v>
      </c>
      <c r="U39" s="1307">
        <f t="shared" si="10"/>
        <v>100</v>
      </c>
      <c r="V39" s="1306" t="s">
        <v>5</v>
      </c>
      <c r="W39" s="1307">
        <f t="shared" si="11"/>
        <v>100</v>
      </c>
      <c r="X39" s="1301"/>
      <c r="Y39" s="3632"/>
      <c r="Z39" s="1308">
        <f t="shared" si="12"/>
        <v>111</v>
      </c>
      <c r="AA39" s="1308">
        <f t="shared" si="3"/>
        <v>1</v>
      </c>
      <c r="AB39" s="1308">
        <f t="shared" si="4"/>
        <v>1</v>
      </c>
      <c r="AC39" s="1308">
        <f t="shared" si="5"/>
        <v>1</v>
      </c>
    </row>
    <row r="40" spans="1:29" ht="15.6"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8"/>
      <c r="M40" s="1741"/>
      <c r="N40" s="1741"/>
      <c r="O40" s="1747"/>
      <c r="P40" s="3741"/>
      <c r="Q40" s="1305">
        <f t="shared" si="8"/>
        <v>111</v>
      </c>
      <c r="R40" s="1306" t="s">
        <v>5</v>
      </c>
      <c r="S40" s="1307">
        <f t="shared" si="9"/>
        <v>100</v>
      </c>
      <c r="T40" s="1306" t="s">
        <v>5</v>
      </c>
      <c r="U40" s="1307">
        <f t="shared" si="10"/>
        <v>100</v>
      </c>
      <c r="V40" s="1306" t="s">
        <v>5</v>
      </c>
      <c r="W40" s="1307">
        <f t="shared" si="11"/>
        <v>100</v>
      </c>
      <c r="X40" s="1301"/>
      <c r="Y40" s="3741"/>
      <c r="Z40" s="1308">
        <f t="shared" si="12"/>
        <v>111</v>
      </c>
      <c r="AA40" s="1308">
        <f t="shared" si="3"/>
        <v>1</v>
      </c>
      <c r="AB40" s="1308">
        <f t="shared" si="4"/>
        <v>1</v>
      </c>
      <c r="AC40" s="1308">
        <f t="shared" si="5"/>
        <v>1</v>
      </c>
    </row>
    <row r="41" spans="1:29" ht="14.4">
      <c r="A41" s="556" t="s">
        <v>683</v>
      </c>
      <c r="B41" s="812"/>
      <c r="C41" s="2080" t="s">
        <v>0</v>
      </c>
      <c r="D41" s="559"/>
      <c r="E41" s="560"/>
      <c r="F41" s="561"/>
      <c r="G41" s="562"/>
      <c r="H41" s="563"/>
      <c r="I41" s="560"/>
      <c r="J41" s="563"/>
      <c r="K41" s="1334"/>
      <c r="L41" s="1750"/>
      <c r="M41" s="1741"/>
      <c r="N41" s="1741"/>
      <c r="O41" s="1741"/>
      <c r="P41" s="3627" t="str">
        <f>A41</f>
        <v>成交单价（元/平方米）</v>
      </c>
      <c r="Q41" s="3627"/>
      <c r="R41" s="3643">
        <f>E41</f>
        <v>0</v>
      </c>
      <c r="S41" s="3643"/>
      <c r="T41" s="3643">
        <f>G41</f>
        <v>0</v>
      </c>
      <c r="U41" s="3643"/>
      <c r="V41" s="3643">
        <f>I41</f>
        <v>0</v>
      </c>
      <c r="W41" s="3643"/>
      <c r="X41" s="799"/>
      <c r="Y41" s="1313"/>
      <c r="Z41" s="799"/>
      <c r="AA41" s="799"/>
      <c r="AB41" s="799"/>
      <c r="AC41" s="799"/>
    </row>
    <row r="42" spans="1:29" ht="15" thickBot="1">
      <c r="A42" s="564" t="s">
        <v>2042</v>
      </c>
      <c r="B42" s="813"/>
      <c r="C42" s="2081" t="e">
        <f>R43</f>
        <v>#DIV/0!</v>
      </c>
      <c r="D42" s="2549" t="s">
        <v>2261</v>
      </c>
      <c r="E42" s="2082" t="e">
        <f>R42</f>
        <v>#DIV/0!</v>
      </c>
      <c r="F42" s="2550"/>
      <c r="G42" s="2081" t="e">
        <f>T42</f>
        <v>#DIV/0!</v>
      </c>
      <c r="H42" s="2550"/>
      <c r="I42" s="2082" t="e">
        <f>V42</f>
        <v>#DIV/0!</v>
      </c>
      <c r="J42" s="2550"/>
      <c r="K42" s="2557">
        <f>F42+H42+J42</f>
        <v>0</v>
      </c>
      <c r="L42" s="1750"/>
      <c r="M42" s="1741"/>
      <c r="N42" s="1741"/>
      <c r="O42" s="1741"/>
      <c r="P42" s="3627" t="str">
        <f>A42</f>
        <v>比较价格（元/平方米）</v>
      </c>
      <c r="Q42" s="3627"/>
      <c r="R42" s="3643" t="e">
        <f>IF(F1="售价",ROUND(PRODUCT(R41,AA7:AA40),0),ROUND(PRODUCT(R41,AA7:AA40),1))</f>
        <v>#DIV/0!</v>
      </c>
      <c r="S42" s="3643"/>
      <c r="T42" s="3643" t="e">
        <f>IF(F1="售价",ROUND(PRODUCT(T41,AB7:AB40),0),ROUND(PRODUCT(T41,AB7:AB40),1))</f>
        <v>#DIV/0!</v>
      </c>
      <c r="U42" s="3643"/>
      <c r="V42" s="3643" t="e">
        <f>IF(F1="售价",ROUND(PRODUCT(V41,AC7:AC40),0),ROUND(PRODUCT(V41,AC7:AC40),1))</f>
        <v>#DIV/0!</v>
      </c>
      <c r="W42" s="3643"/>
      <c r="X42" s="799"/>
      <c r="Y42" s="799"/>
      <c r="Z42" s="799"/>
      <c r="AA42" s="799"/>
      <c r="AB42" s="799"/>
      <c r="AC42" s="799"/>
    </row>
    <row r="43" spans="1:29" ht="15" thickBot="1">
      <c r="A43" s="568" t="s">
        <v>2198</v>
      </c>
      <c r="B43" s="569"/>
      <c r="C43" s="469" t="e">
        <f>R43</f>
        <v>#DIV/0!</v>
      </c>
      <c r="D43" s="469"/>
      <c r="E43" s="469"/>
      <c r="F43" s="469"/>
      <c r="G43" s="469"/>
      <c r="H43" s="469"/>
      <c r="I43" s="469"/>
      <c r="J43" s="469"/>
      <c r="K43" s="1335"/>
      <c r="L43" s="1750"/>
      <c r="M43" s="1741"/>
      <c r="N43" s="1741"/>
      <c r="O43" s="1741"/>
      <c r="P43" s="3633" t="str">
        <f>A43</f>
        <v>估价对象XX用房的比较价格（楼面单价，元/平方米）</v>
      </c>
      <c r="Q43" s="3634"/>
      <c r="R43" s="3740" t="e">
        <f>IF(F1="售价",ROUND(IF(D42="简单平均",AVERAGE(R42:V42),R42*F42+T42*H42+V42*J42),0),ROUND(IF(D42="简单平均",AVERAGE(R42:V42),R42*F42+T42*H42+V42*J42),1))</f>
        <v>#DIV/0!</v>
      </c>
      <c r="S43" s="3740"/>
      <c r="T43" s="3740"/>
      <c r="U43" s="3740"/>
      <c r="V43" s="3740"/>
      <c r="W43" s="3740"/>
      <c r="X43" s="799"/>
      <c r="Y43" s="799"/>
      <c r="Z43" s="799"/>
      <c r="AA43" s="799"/>
      <c r="AB43" s="799"/>
      <c r="AC43" s="799"/>
    </row>
    <row r="44" spans="1:29">
      <c r="A44" s="2720"/>
      <c r="B44" s="2720"/>
      <c r="C44" s="2720"/>
      <c r="D44" s="2720"/>
      <c r="E44" s="2720"/>
      <c r="F44" s="2720"/>
      <c r="G44" s="2722"/>
      <c r="H44" s="2720"/>
      <c r="I44" s="2720"/>
      <c r="J44" s="2720"/>
      <c r="K44" s="2723"/>
      <c r="L44" s="1754"/>
      <c r="M44" s="1741"/>
      <c r="N44" s="1741"/>
      <c r="O44" s="1741"/>
      <c r="P44" s="1741"/>
      <c r="Q44" s="1741"/>
      <c r="R44" s="1741"/>
      <c r="S44" s="1741"/>
      <c r="T44" s="1741"/>
      <c r="U44" s="1741"/>
      <c r="V44" s="1741"/>
      <c r="W44" s="1741"/>
      <c r="X44" s="1741"/>
      <c r="Y44" s="1741"/>
      <c r="Z44" s="1741"/>
      <c r="AA44" s="1741"/>
      <c r="AB44" s="1741"/>
      <c r="AC44" s="1741"/>
    </row>
    <row r="45" spans="1:29">
      <c r="A45" s="2720"/>
      <c r="B45" s="2720"/>
      <c r="C45" s="2720"/>
      <c r="D45" s="2720"/>
      <c r="E45" s="2720"/>
      <c r="F45" s="2720"/>
      <c r="G45" s="2720"/>
      <c r="H45" s="2720"/>
      <c r="I45" s="2720"/>
      <c r="J45" s="2720"/>
      <c r="K45" s="2723"/>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20"/>
      <c r="B46" s="2720"/>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3"/>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20"/>
      <c r="B47" s="2720"/>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3"/>
      <c r="L47" s="1754"/>
      <c r="M47" s="1741"/>
      <c r="N47" s="1741"/>
      <c r="O47" s="1741"/>
      <c r="P47" s="1741"/>
      <c r="Q47" s="1741"/>
      <c r="R47" s="1741"/>
      <c r="S47" s="1741"/>
      <c r="T47" s="1741"/>
      <c r="U47" s="1741"/>
      <c r="V47" s="1741"/>
      <c r="W47" s="1741"/>
      <c r="X47" s="1741"/>
      <c r="Y47" s="1741"/>
      <c r="Z47" s="1741"/>
      <c r="AA47" s="1741"/>
      <c r="AB47" s="1741"/>
      <c r="AC47" s="1741"/>
    </row>
    <row r="48" spans="1:29" s="1139" customFormat="1" ht="13.5" customHeight="1">
      <c r="A48" s="2721"/>
      <c r="B48" s="2721"/>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4"/>
      <c r="L48" s="1757"/>
      <c r="M48" s="1751"/>
      <c r="N48" s="1751"/>
      <c r="O48" s="1751"/>
      <c r="P48" s="1751"/>
      <c r="Q48" s="1751"/>
      <c r="R48" s="1751"/>
      <c r="S48" s="1751"/>
      <c r="T48" s="1751"/>
      <c r="U48" s="1751"/>
      <c r="V48" s="1751"/>
      <c r="W48" s="1751"/>
      <c r="X48" s="1751"/>
      <c r="Y48" s="1751"/>
      <c r="Z48" s="1751"/>
      <c r="AA48" s="1751"/>
      <c r="AB48" s="1751"/>
      <c r="AC48" s="1751"/>
    </row>
    <row r="49" spans="1:29" s="1139"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2.2" thickBot="1">
      <c r="A51" s="1316" t="s">
        <v>522</v>
      </c>
      <c r="B51" s="799"/>
      <c r="C51" s="1315"/>
      <c r="D51" s="1315"/>
      <c r="E51" s="1315"/>
      <c r="F51" s="1317"/>
      <c r="G51" s="1317"/>
      <c r="H51" s="1315"/>
      <c r="I51" s="1315"/>
      <c r="J51" s="1315"/>
      <c r="K51" s="1318"/>
      <c r="L51" s="1314"/>
      <c r="M51" s="1315"/>
      <c r="N51" s="1761"/>
      <c r="O51" s="1761"/>
      <c r="P51" s="1761"/>
      <c r="Q51" s="1762"/>
      <c r="R51" s="1741"/>
      <c r="S51" s="1741"/>
      <c r="T51" s="1741"/>
      <c r="U51" s="1741"/>
      <c r="V51" s="1741"/>
      <c r="W51" s="1741"/>
      <c r="X51" s="1741"/>
      <c r="Y51" s="1741"/>
      <c r="Z51" s="1741"/>
      <c r="AA51" s="1741"/>
      <c r="AB51" s="1741"/>
      <c r="AC51" s="1741"/>
    </row>
    <row r="52" spans="1:29" s="1141" customFormat="1" ht="14.4">
      <c r="A52" s="592" t="s">
        <v>478</v>
      </c>
      <c r="B52" s="593"/>
      <c r="C52" s="2112" t="str">
        <f>YEAR(C7)&amp;"-"&amp;MONTH(C7)</f>
        <v>2025-7</v>
      </c>
      <c r="D52" s="2114">
        <f>EDATE(C52,-1)</f>
        <v>45809</v>
      </c>
      <c r="E52" s="2114">
        <f t="shared" ref="E52:O52" si="13">EDATE(D52,-1)</f>
        <v>45778</v>
      </c>
      <c r="F52" s="2114">
        <f t="shared" si="13"/>
        <v>45748</v>
      </c>
      <c r="G52" s="2114">
        <f t="shared" si="13"/>
        <v>45717</v>
      </c>
      <c r="H52" s="2114">
        <f t="shared" si="13"/>
        <v>45689</v>
      </c>
      <c r="I52" s="2114">
        <f t="shared" si="13"/>
        <v>45658</v>
      </c>
      <c r="J52" s="2114">
        <f t="shared" si="13"/>
        <v>45627</v>
      </c>
      <c r="K52" s="2114">
        <f t="shared" si="13"/>
        <v>45597</v>
      </c>
      <c r="L52" s="2114">
        <f t="shared" si="13"/>
        <v>45566</v>
      </c>
      <c r="M52" s="2114">
        <f t="shared" si="13"/>
        <v>45536</v>
      </c>
      <c r="N52" s="2114">
        <f t="shared" si="13"/>
        <v>45505</v>
      </c>
      <c r="O52" s="2114">
        <f t="shared" si="13"/>
        <v>45474</v>
      </c>
      <c r="P52" s="1764"/>
      <c r="Q52" s="1764"/>
      <c r="R52" s="1764"/>
      <c r="S52" s="1764"/>
      <c r="T52" s="1764"/>
      <c r="U52" s="1764"/>
      <c r="V52" s="1764"/>
      <c r="W52" s="1764"/>
      <c r="X52" s="1764"/>
      <c r="Y52" s="1764"/>
      <c r="Z52" s="1764"/>
      <c r="AA52" s="1764"/>
      <c r="AB52" s="1764"/>
      <c r="AC52" s="1764"/>
    </row>
    <row r="53" spans="1:29" s="1060" customFormat="1">
      <c r="A53" s="527"/>
      <c r="B53" s="594"/>
      <c r="C53" s="595">
        <v>100</v>
      </c>
      <c r="D53" s="596"/>
      <c r="E53" s="596"/>
      <c r="F53" s="596"/>
      <c r="G53" s="596"/>
      <c r="H53" s="596"/>
      <c r="I53" s="596"/>
      <c r="J53" s="596"/>
      <c r="K53" s="596"/>
      <c r="L53" s="596"/>
      <c r="M53" s="487"/>
      <c r="N53" s="596"/>
      <c r="O53" s="597"/>
      <c r="P53" s="1762"/>
      <c r="Q53" s="1639"/>
      <c r="R53" s="1639"/>
      <c r="S53" s="1639"/>
      <c r="T53" s="1639"/>
      <c r="U53" s="1639"/>
      <c r="V53" s="1639"/>
      <c r="W53" s="1639"/>
      <c r="X53" s="1639"/>
      <c r="Y53" s="1639"/>
      <c r="Z53" s="1639"/>
      <c r="AA53" s="1639"/>
      <c r="AB53" s="1639"/>
      <c r="AC53" s="1639"/>
    </row>
    <row r="54" spans="1:29" s="1060" customFormat="1" ht="15" thickBot="1">
      <c r="A54" s="262" t="s">
        <v>523</v>
      </c>
      <c r="B54" s="598"/>
      <c r="C54" s="599"/>
      <c r="D54" s="600"/>
      <c r="E54" s="600"/>
      <c r="F54" s="600"/>
      <c r="G54" s="600"/>
      <c r="H54" s="600"/>
      <c r="I54" s="600"/>
      <c r="J54" s="600"/>
      <c r="K54" s="600"/>
      <c r="L54" s="600"/>
      <c r="M54" s="601"/>
      <c r="N54" s="600"/>
      <c r="O54" s="602"/>
      <c r="P54" s="1762"/>
      <c r="Q54" s="1762"/>
      <c r="R54" s="1639"/>
      <c r="S54" s="1639"/>
      <c r="T54" s="1639"/>
      <c r="U54" s="1639"/>
      <c r="V54" s="1639"/>
      <c r="W54" s="1639"/>
      <c r="X54" s="1639"/>
      <c r="Y54" s="1639"/>
      <c r="Z54" s="1639"/>
      <c r="AA54" s="1639"/>
      <c r="AB54" s="1639"/>
      <c r="AC54" s="1639"/>
    </row>
    <row r="55" spans="1:29" s="1060" customFormat="1" ht="14.4">
      <c r="A55" s="603" t="s">
        <v>480</v>
      </c>
      <c r="B55" s="594"/>
      <c r="C55" s="604" t="s">
        <v>524</v>
      </c>
      <c r="D55" s="80"/>
      <c r="E55" s="80"/>
      <c r="F55" s="80"/>
      <c r="G55" s="80"/>
      <c r="H55" s="80"/>
      <c r="I55" s="80"/>
      <c r="J55" s="80"/>
      <c r="K55" s="80"/>
      <c r="L55" s="605"/>
      <c r="M55" s="606"/>
      <c r="N55" s="1765"/>
      <c r="O55" s="1765"/>
      <c r="P55" s="1646"/>
      <c r="Q55" s="1762"/>
      <c r="R55" s="1639"/>
      <c r="S55" s="1639"/>
      <c r="T55" s="1639"/>
      <c r="U55" s="1639"/>
      <c r="V55" s="1639"/>
      <c r="W55" s="1639"/>
      <c r="X55" s="1639"/>
      <c r="Y55" s="1639"/>
      <c r="Z55" s="1639"/>
      <c r="AA55" s="1639"/>
      <c r="AB55" s="1639"/>
      <c r="AC55" s="1639"/>
    </row>
    <row r="56" spans="1:29" s="1060" customFormat="1" ht="14.4" thickBot="1">
      <c r="A56" s="603"/>
      <c r="B56" s="594"/>
      <c r="C56" s="595">
        <v>100</v>
      </c>
      <c r="D56" s="596"/>
      <c r="E56" s="596"/>
      <c r="F56" s="596"/>
      <c r="G56" s="596"/>
      <c r="H56" s="596"/>
      <c r="I56" s="596"/>
      <c r="J56" s="596"/>
      <c r="K56" s="596"/>
      <c r="L56" s="596"/>
      <c r="M56" s="597"/>
      <c r="N56" s="1765"/>
      <c r="O56" s="1765"/>
      <c r="P56" s="1762"/>
      <c r="Q56" s="1762"/>
      <c r="R56" s="1639"/>
      <c r="S56" s="1639"/>
      <c r="T56" s="1639"/>
      <c r="U56" s="1639"/>
      <c r="V56" s="1639"/>
      <c r="W56" s="1639"/>
      <c r="X56" s="1639"/>
      <c r="Y56" s="1639"/>
      <c r="Z56" s="1639"/>
      <c r="AA56" s="1639"/>
      <c r="AB56" s="1639"/>
      <c r="AC56" s="1639"/>
    </row>
    <row r="57" spans="1:29" ht="14.4">
      <c r="A57" s="607" t="s">
        <v>525</v>
      </c>
      <c r="B57" s="608" t="s">
        <v>483</v>
      </c>
      <c r="C57" s="645">
        <f>C9</f>
        <v>0</v>
      </c>
      <c r="D57" s="547"/>
      <c r="E57" s="547"/>
      <c r="F57" s="547"/>
      <c r="G57" s="547"/>
      <c r="H57" s="547"/>
      <c r="I57" s="547"/>
      <c r="J57" s="547"/>
      <c r="K57" s="609"/>
      <c r="L57" s="610"/>
      <c r="M57" s="611"/>
      <c r="N57" s="1766"/>
      <c r="O57" s="1766"/>
      <c r="P57" s="1765"/>
      <c r="Q57" s="1762"/>
      <c r="R57" s="1741"/>
      <c r="S57" s="1741"/>
      <c r="T57" s="1741"/>
      <c r="U57" s="1741"/>
      <c r="V57" s="1741"/>
      <c r="W57" s="1741"/>
      <c r="X57" s="1741"/>
      <c r="Y57" s="1741"/>
      <c r="Z57" s="1741"/>
      <c r="AA57" s="1741"/>
      <c r="AB57" s="1741"/>
      <c r="AC57" s="1741"/>
    </row>
    <row r="58" spans="1:29" ht="14.4" thickBot="1">
      <c r="A58" s="482"/>
      <c r="B58" s="612"/>
      <c r="C58" s="613"/>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ht="29.4" thickTop="1">
      <c r="A59" s="482"/>
      <c r="B59" s="615" t="s">
        <v>486</v>
      </c>
      <c r="C59" s="658"/>
      <c r="D59" s="658"/>
      <c r="E59" s="658"/>
      <c r="F59" s="658"/>
      <c r="G59" s="658"/>
      <c r="H59" s="658"/>
      <c r="I59" s="658"/>
      <c r="J59" s="658"/>
      <c r="K59" s="659"/>
      <c r="L59" s="660"/>
      <c r="M59" s="661"/>
      <c r="N59" s="1766"/>
      <c r="O59" s="1766"/>
      <c r="P59" s="1765"/>
      <c r="Q59" s="1762"/>
      <c r="R59" s="1741"/>
      <c r="S59" s="1741"/>
      <c r="T59" s="1741"/>
      <c r="U59" s="1741"/>
      <c r="V59" s="1741"/>
      <c r="W59" s="1741"/>
      <c r="X59" s="1741"/>
      <c r="Y59" s="1741"/>
      <c r="Z59" s="1741"/>
      <c r="AA59" s="1741"/>
      <c r="AB59" s="1741"/>
      <c r="AC59" s="1741"/>
    </row>
    <row r="60" spans="1:29" ht="14.4" thickBot="1">
      <c r="A60" s="482"/>
      <c r="B60" s="620"/>
      <c r="C60" s="613"/>
      <c r="D60" s="613"/>
      <c r="E60" s="613"/>
      <c r="F60" s="613"/>
      <c r="G60" s="613"/>
      <c r="H60" s="613"/>
      <c r="I60" s="613"/>
      <c r="J60" s="613"/>
      <c r="K60" s="613"/>
      <c r="L60" s="613"/>
      <c r="M60" s="614"/>
      <c r="N60" s="1767"/>
      <c r="O60" s="1767"/>
      <c r="P60" s="1765"/>
      <c r="Q60" s="1762"/>
      <c r="R60" s="1741"/>
      <c r="S60" s="1741"/>
      <c r="T60" s="1741"/>
      <c r="U60" s="1741"/>
      <c r="V60" s="1741"/>
      <c r="W60" s="1741"/>
      <c r="X60" s="1741"/>
      <c r="Y60" s="1741"/>
      <c r="Z60" s="1741"/>
      <c r="AA60" s="1741"/>
      <c r="AB60" s="1741"/>
      <c r="AC60" s="1741"/>
    </row>
    <row r="61" spans="1:29" ht="1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7"/>
      <c r="O61" s="1767"/>
      <c r="P61" s="1765"/>
      <c r="Q61" s="1762"/>
      <c r="R61" s="1741"/>
      <c r="S61" s="1741"/>
      <c r="T61" s="1741"/>
      <c r="U61" s="1741"/>
      <c r="V61" s="1741"/>
      <c r="W61" s="1741"/>
      <c r="X61" s="1741"/>
      <c r="Y61" s="1741"/>
      <c r="Z61" s="1741"/>
      <c r="AA61" s="1741"/>
      <c r="AB61" s="1741"/>
      <c r="AC61" s="1741"/>
    </row>
    <row r="62" spans="1:29">
      <c r="A62" s="482"/>
      <c r="B62" s="625"/>
      <c r="C62" s="491"/>
      <c r="D62" s="491"/>
      <c r="E62" s="491"/>
      <c r="F62" s="491"/>
      <c r="G62" s="491"/>
      <c r="H62" s="491"/>
      <c r="I62" s="491"/>
      <c r="J62" s="491"/>
      <c r="K62" s="626"/>
      <c r="L62" s="627"/>
      <c r="M62" s="628"/>
      <c r="N62" s="1766"/>
      <c r="O62" s="1766"/>
      <c r="P62" s="1765"/>
      <c r="Q62" s="1762"/>
      <c r="R62" s="1741"/>
      <c r="S62" s="1741"/>
      <c r="T62" s="1741"/>
      <c r="U62" s="1741"/>
      <c r="V62" s="1741"/>
      <c r="W62" s="1741"/>
      <c r="X62" s="1741"/>
      <c r="Y62" s="1741"/>
      <c r="Z62" s="1741"/>
      <c r="AA62" s="1741"/>
      <c r="AB62" s="1741"/>
      <c r="AC62" s="1741"/>
    </row>
    <row r="63" spans="1:29" ht="14.4"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7"/>
      <c r="O63" s="1767"/>
      <c r="P63" s="1765"/>
      <c r="Q63" s="1762"/>
      <c r="R63" s="1741"/>
      <c r="S63" s="1741"/>
      <c r="T63" s="1741"/>
      <c r="U63" s="1741"/>
      <c r="V63" s="1741"/>
      <c r="W63" s="1741"/>
      <c r="X63" s="1741"/>
      <c r="Y63" s="1741"/>
      <c r="Z63" s="1741"/>
      <c r="AA63" s="1741"/>
      <c r="AB63" s="1741"/>
      <c r="AC63" s="1741"/>
    </row>
    <row r="64" spans="1:29" s="1134" customFormat="1" ht="14.4" thickTop="1">
      <c r="A64" s="629"/>
      <c r="B64" s="615">
        <f>B12</f>
        <v>111</v>
      </c>
      <c r="C64" s="630"/>
      <c r="D64" s="630"/>
      <c r="E64" s="630"/>
      <c r="F64" s="630"/>
      <c r="G64" s="630"/>
      <c r="H64" s="631"/>
      <c r="I64" s="631"/>
      <c r="J64" s="631"/>
      <c r="K64" s="631"/>
      <c r="L64" s="632"/>
      <c r="M64" s="633"/>
      <c r="N64" s="1768"/>
      <c r="O64" s="1768"/>
      <c r="P64" s="1768"/>
      <c r="Q64" s="1769"/>
      <c r="R64" s="1770"/>
      <c r="S64" s="1770"/>
      <c r="T64" s="1770"/>
      <c r="U64" s="1770"/>
      <c r="V64" s="1770"/>
      <c r="W64" s="1770"/>
      <c r="X64" s="1770"/>
      <c r="Y64" s="1770"/>
      <c r="Z64" s="1770"/>
      <c r="AA64" s="1770"/>
      <c r="AB64" s="1770"/>
      <c r="AC64" s="1770"/>
    </row>
    <row r="65" spans="1:29" s="1134" customFormat="1" ht="14.4" thickBot="1">
      <c r="A65" s="629"/>
      <c r="B65" s="620"/>
      <c r="C65" s="634"/>
      <c r="D65" s="613"/>
      <c r="E65" s="613"/>
      <c r="F65" s="613"/>
      <c r="G65" s="613"/>
      <c r="H65" s="613"/>
      <c r="I65" s="613"/>
      <c r="J65" s="613"/>
      <c r="K65" s="613"/>
      <c r="L65" s="613"/>
      <c r="M65" s="614"/>
      <c r="N65" s="1767"/>
      <c r="O65" s="1767"/>
      <c r="P65" s="1768"/>
      <c r="Q65" s="1769"/>
      <c r="R65" s="1770"/>
      <c r="S65" s="1770"/>
      <c r="T65" s="1770"/>
      <c r="U65" s="1770"/>
      <c r="V65" s="1770"/>
      <c r="W65" s="1770"/>
      <c r="X65" s="1770"/>
      <c r="Y65" s="1770"/>
      <c r="Z65" s="1770"/>
      <c r="AA65" s="1770"/>
      <c r="AB65" s="1770"/>
      <c r="AC65" s="1770"/>
    </row>
    <row r="66" spans="1:29" s="1134" customFormat="1" ht="14.4" thickTop="1">
      <c r="A66" s="629"/>
      <c r="B66" s="615">
        <f>B13</f>
        <v>111</v>
      </c>
      <c r="C66" s="630"/>
      <c r="D66" s="630"/>
      <c r="E66" s="630"/>
      <c r="F66" s="630"/>
      <c r="G66" s="630"/>
      <c r="H66" s="631"/>
      <c r="I66" s="631"/>
      <c r="J66" s="631"/>
      <c r="K66" s="631"/>
      <c r="L66" s="632"/>
      <c r="M66" s="633"/>
      <c r="N66" s="1768"/>
      <c r="O66" s="1768"/>
      <c r="P66" s="1770"/>
      <c r="Q66" s="1771"/>
      <c r="R66" s="1770"/>
      <c r="S66" s="1770"/>
      <c r="T66" s="1770"/>
      <c r="U66" s="1770"/>
      <c r="V66" s="1770"/>
      <c r="W66" s="1770"/>
      <c r="X66" s="1770"/>
      <c r="Y66" s="1770"/>
      <c r="Z66" s="1770"/>
      <c r="AA66" s="1770"/>
      <c r="AB66" s="1770"/>
      <c r="AC66" s="1770"/>
    </row>
    <row r="67" spans="1:29" s="1134" customFormat="1" ht="14.4" thickBot="1">
      <c r="A67" s="629"/>
      <c r="B67" s="620"/>
      <c r="C67" s="634"/>
      <c r="D67" s="613"/>
      <c r="E67" s="613"/>
      <c r="F67" s="613"/>
      <c r="G67" s="634"/>
      <c r="H67" s="635"/>
      <c r="I67" s="635"/>
      <c r="J67" s="635"/>
      <c r="K67" s="635"/>
      <c r="L67" s="635"/>
      <c r="M67" s="636"/>
      <c r="N67" s="1768"/>
      <c r="O67" s="1768"/>
      <c r="P67" s="1768"/>
      <c r="Q67" s="1769"/>
      <c r="R67" s="1770"/>
      <c r="S67" s="1770"/>
      <c r="T67" s="1770"/>
      <c r="U67" s="1770"/>
      <c r="V67" s="1770"/>
      <c r="W67" s="1770"/>
      <c r="X67" s="1770"/>
      <c r="Y67" s="1770"/>
      <c r="Z67" s="1770"/>
      <c r="AA67" s="1770"/>
      <c r="AB67" s="1770"/>
      <c r="AC67" s="1770"/>
    </row>
    <row r="68" spans="1:29" s="1134" customFormat="1" ht="14.4" thickTop="1">
      <c r="A68" s="629"/>
      <c r="B68" s="623">
        <f>B14</f>
        <v>111</v>
      </c>
      <c r="C68" s="80"/>
      <c r="D68" s="80"/>
      <c r="E68" s="80"/>
      <c r="F68" s="80"/>
      <c r="G68" s="80"/>
      <c r="H68" s="637"/>
      <c r="I68" s="637"/>
      <c r="J68" s="637"/>
      <c r="K68" s="637"/>
      <c r="L68" s="638"/>
      <c r="M68" s="639"/>
      <c r="N68" s="1768"/>
      <c r="O68" s="1768"/>
      <c r="P68" s="1772"/>
      <c r="Q68" s="1769"/>
      <c r="R68" s="1770"/>
      <c r="S68" s="1770"/>
      <c r="T68" s="1770"/>
      <c r="U68" s="1770"/>
      <c r="V68" s="1770"/>
      <c r="W68" s="1770"/>
      <c r="X68" s="1770"/>
      <c r="Y68" s="1770"/>
      <c r="Z68" s="1770"/>
      <c r="AA68" s="1770"/>
      <c r="AB68" s="1770"/>
      <c r="AC68" s="1770"/>
    </row>
    <row r="69" spans="1:29" s="1134" customFormat="1" ht="14.4" thickBot="1">
      <c r="A69" s="640"/>
      <c r="B69" s="641"/>
      <c r="C69" s="642"/>
      <c r="D69" s="642"/>
      <c r="E69" s="642"/>
      <c r="F69" s="642"/>
      <c r="G69" s="642"/>
      <c r="H69" s="643"/>
      <c r="I69" s="643"/>
      <c r="J69" s="643"/>
      <c r="K69" s="643"/>
      <c r="L69" s="643"/>
      <c r="M69" s="644"/>
      <c r="N69" s="1768"/>
      <c r="O69" s="1768"/>
      <c r="P69" s="1768"/>
      <c r="Q69" s="1769"/>
      <c r="R69" s="1770"/>
      <c r="S69" s="1770"/>
      <c r="T69" s="1770"/>
      <c r="U69" s="1770"/>
      <c r="V69" s="1770"/>
      <c r="W69" s="1770"/>
      <c r="X69" s="1770"/>
      <c r="Y69" s="1770"/>
      <c r="Z69" s="1770"/>
      <c r="AA69" s="1770"/>
      <c r="AB69" s="1770"/>
      <c r="AC69" s="1770"/>
    </row>
    <row r="70" spans="1:29" ht="14.4">
      <c r="A70" s="607" t="s">
        <v>488</v>
      </c>
      <c r="B70" s="608" t="s">
        <v>533</v>
      </c>
      <c r="C70" s="143" t="s">
        <v>527</v>
      </c>
      <c r="D70" s="143" t="s">
        <v>528</v>
      </c>
      <c r="E70" s="143" t="s">
        <v>529</v>
      </c>
      <c r="F70" s="143" t="s">
        <v>530</v>
      </c>
      <c r="G70" s="143" t="s">
        <v>531</v>
      </c>
      <c r="H70" s="645"/>
      <c r="I70" s="645"/>
      <c r="J70" s="645"/>
      <c r="K70" s="646"/>
      <c r="L70" s="647"/>
      <c r="M70" s="648"/>
      <c r="N70" s="1766"/>
      <c r="O70" s="1766"/>
      <c r="P70" s="1773"/>
      <c r="Q70" s="1762"/>
      <c r="R70" s="1741"/>
      <c r="S70" s="1741"/>
      <c r="T70" s="1741"/>
      <c r="U70" s="1741"/>
      <c r="V70" s="1741"/>
      <c r="W70" s="1741"/>
      <c r="X70" s="1741"/>
      <c r="Y70" s="1741"/>
      <c r="Z70" s="1741"/>
      <c r="AA70" s="1741"/>
      <c r="AB70" s="1741"/>
      <c r="AC70" s="1741"/>
    </row>
    <row r="71" spans="1:29" ht="14.4" thickBot="1">
      <c r="A71" s="482"/>
      <c r="B71" s="620"/>
      <c r="C71" s="621">
        <v>100</v>
      </c>
      <c r="D71" s="621">
        <f>C71-$K15</f>
        <v>100</v>
      </c>
      <c r="E71" s="621">
        <f>D71-$K15</f>
        <v>100</v>
      </c>
      <c r="F71" s="621">
        <f>E71-$K15</f>
        <v>100</v>
      </c>
      <c r="G71" s="621">
        <f>F71-$K15</f>
        <v>100</v>
      </c>
      <c r="H71" s="621"/>
      <c r="I71" s="621"/>
      <c r="J71" s="621"/>
      <c r="K71" s="621"/>
      <c r="L71" s="621"/>
      <c r="M71" s="622"/>
      <c r="N71" s="1767"/>
      <c r="O71" s="1767"/>
      <c r="P71" s="1765"/>
      <c r="Q71" s="1762"/>
      <c r="R71" s="1741"/>
      <c r="S71" s="1741"/>
      <c r="T71" s="1741"/>
      <c r="U71" s="1741"/>
      <c r="V71" s="1741"/>
      <c r="W71" s="1741"/>
      <c r="X71" s="1741"/>
      <c r="Y71" s="1741"/>
      <c r="Z71" s="1741"/>
      <c r="AA71" s="1741"/>
      <c r="AB71" s="1741"/>
      <c r="AC71" s="1741"/>
    </row>
    <row r="72" spans="1:29" ht="15" thickTop="1">
      <c r="A72" s="482"/>
      <c r="B72" s="615" t="s">
        <v>534</v>
      </c>
      <c r="C72" s="649" t="s">
        <v>527</v>
      </c>
      <c r="D72" s="649" t="s">
        <v>528</v>
      </c>
      <c r="E72" s="649" t="s">
        <v>529</v>
      </c>
      <c r="F72" s="649" t="s">
        <v>530</v>
      </c>
      <c r="G72" s="649" t="s">
        <v>531</v>
      </c>
      <c r="H72" s="616"/>
      <c r="I72" s="616"/>
      <c r="J72" s="616"/>
      <c r="K72" s="617"/>
      <c r="L72" s="618"/>
      <c r="M72" s="619"/>
      <c r="N72" s="1766"/>
      <c r="O72" s="1766"/>
      <c r="P72" s="1765"/>
      <c r="Q72" s="1762"/>
      <c r="R72" s="1741"/>
      <c r="S72" s="1741"/>
      <c r="T72" s="1741"/>
      <c r="U72" s="1741"/>
      <c r="V72" s="1741"/>
      <c r="W72" s="1741"/>
      <c r="X72" s="1741"/>
      <c r="Y72" s="1741"/>
      <c r="Z72" s="1741"/>
      <c r="AA72" s="1741"/>
      <c r="AB72" s="1741"/>
      <c r="AC72" s="1741"/>
    </row>
    <row r="73" spans="1:29" ht="14.4" thickBot="1">
      <c r="A73" s="482"/>
      <c r="B73" s="620"/>
      <c r="C73" s="621">
        <v>100</v>
      </c>
      <c r="D73" s="621">
        <f>C73-$K17</f>
        <v>100</v>
      </c>
      <c r="E73" s="621">
        <f>D73-$K17</f>
        <v>100</v>
      </c>
      <c r="F73" s="621">
        <f>E73-$K17</f>
        <v>100</v>
      </c>
      <c r="G73" s="621">
        <f>F73-$K17</f>
        <v>100</v>
      </c>
      <c r="H73" s="621"/>
      <c r="I73" s="621"/>
      <c r="J73" s="621"/>
      <c r="K73" s="621"/>
      <c r="L73" s="621"/>
      <c r="M73" s="622"/>
      <c r="N73" s="1767"/>
      <c r="O73" s="1767"/>
      <c r="P73" s="1765"/>
      <c r="Q73" s="1762"/>
      <c r="R73" s="1741"/>
      <c r="S73" s="1741"/>
      <c r="T73" s="1741"/>
      <c r="U73" s="1741"/>
      <c r="V73" s="1741"/>
      <c r="W73" s="1741"/>
      <c r="X73" s="1741"/>
      <c r="Y73" s="1741"/>
      <c r="Z73" s="1741"/>
      <c r="AA73" s="1741"/>
      <c r="AB73" s="1741"/>
      <c r="AC73" s="1741"/>
    </row>
    <row r="74" spans="1:29" ht="15" thickTop="1">
      <c r="A74" s="482"/>
      <c r="B74" s="1554" t="s">
        <v>1840</v>
      </c>
      <c r="C74" s="649" t="s">
        <v>527</v>
      </c>
      <c r="D74" s="649" t="s">
        <v>528</v>
      </c>
      <c r="E74" s="649" t="s">
        <v>529</v>
      </c>
      <c r="F74" s="649" t="s">
        <v>530</v>
      </c>
      <c r="G74" s="649" t="s">
        <v>531</v>
      </c>
      <c r="H74" s="616"/>
      <c r="I74" s="616"/>
      <c r="J74" s="616"/>
      <c r="K74" s="617"/>
      <c r="L74" s="618"/>
      <c r="M74" s="619"/>
      <c r="N74" s="1766"/>
      <c r="O74" s="1766"/>
      <c r="P74" s="1765"/>
      <c r="Q74" s="1762"/>
      <c r="R74" s="1741"/>
      <c r="S74" s="1741"/>
      <c r="T74" s="1741"/>
      <c r="U74" s="1741"/>
      <c r="V74" s="1741"/>
      <c r="W74" s="1741"/>
      <c r="X74" s="1741"/>
      <c r="Y74" s="1741"/>
      <c r="Z74" s="1741"/>
      <c r="AA74" s="1741"/>
      <c r="AB74" s="1741"/>
      <c r="AC74" s="1741"/>
    </row>
    <row r="75" spans="1:29" ht="14.4" thickBot="1">
      <c r="A75" s="482"/>
      <c r="B75" s="620"/>
      <c r="C75" s="621">
        <v>100</v>
      </c>
      <c r="D75" s="621">
        <f>C75-$K19</f>
        <v>100</v>
      </c>
      <c r="E75" s="621">
        <f>D75-$K19</f>
        <v>100</v>
      </c>
      <c r="F75" s="621">
        <f>E75-$K19</f>
        <v>100</v>
      </c>
      <c r="G75" s="621">
        <f>F75-$K19</f>
        <v>100</v>
      </c>
      <c r="H75" s="621"/>
      <c r="I75" s="621"/>
      <c r="J75" s="621"/>
      <c r="K75" s="621"/>
      <c r="L75" s="621"/>
      <c r="M75" s="622"/>
      <c r="N75" s="1767"/>
      <c r="O75" s="1767"/>
      <c r="P75" s="1765"/>
      <c r="Q75" s="1762"/>
      <c r="R75" s="1741"/>
      <c r="S75" s="1741"/>
      <c r="T75" s="1741"/>
      <c r="U75" s="1741"/>
      <c r="V75" s="1741"/>
      <c r="W75" s="1741"/>
      <c r="X75" s="1741"/>
      <c r="Y75" s="1741"/>
      <c r="Z75" s="1741"/>
      <c r="AA75" s="1741"/>
      <c r="AB75" s="1741"/>
      <c r="AC75" s="1741"/>
    </row>
    <row r="76" spans="1:29" ht="15" thickTop="1">
      <c r="A76" s="482"/>
      <c r="B76" s="2055" t="s">
        <v>1841</v>
      </c>
      <c r="C76" s="2056" t="s">
        <v>1842</v>
      </c>
      <c r="D76" s="2056" t="s">
        <v>1843</v>
      </c>
      <c r="E76" s="2056" t="s">
        <v>1844</v>
      </c>
      <c r="F76" s="2056" t="s">
        <v>1845</v>
      </c>
      <c r="G76" s="2056" t="s">
        <v>1846</v>
      </c>
      <c r="H76" s="856"/>
      <c r="I76" s="856"/>
      <c r="J76" s="856"/>
      <c r="K76" s="856"/>
      <c r="L76" s="856"/>
      <c r="M76" s="509"/>
      <c r="N76" s="1767"/>
      <c r="O76" s="1767"/>
      <c r="P76" s="1765"/>
      <c r="Q76" s="1762"/>
      <c r="R76" s="1741"/>
      <c r="S76" s="1741"/>
      <c r="T76" s="1741"/>
      <c r="U76" s="1741"/>
      <c r="V76" s="1741"/>
      <c r="W76" s="1741"/>
      <c r="X76" s="1741"/>
      <c r="Y76" s="1741"/>
      <c r="Z76" s="1741"/>
      <c r="AA76" s="1741"/>
      <c r="AB76" s="1741"/>
      <c r="AC76" s="1741"/>
    </row>
    <row r="77" spans="1:29" ht="14.4" thickBot="1">
      <c r="A77" s="482"/>
      <c r="B77" s="623"/>
      <c r="C77" s="621">
        <v>100</v>
      </c>
      <c r="D77" s="621">
        <f>C77-$K21</f>
        <v>100</v>
      </c>
      <c r="E77" s="621">
        <f>D77-$K21</f>
        <v>100</v>
      </c>
      <c r="F77" s="621">
        <f>E77-$K21</f>
        <v>100</v>
      </c>
      <c r="G77" s="621">
        <f>F77-$K21</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 thickTop="1">
      <c r="A78" s="482"/>
      <c r="B78" s="615" t="s">
        <v>724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4.4" thickBot="1">
      <c r="A79" s="482"/>
      <c r="B79" s="620"/>
      <c r="C79" s="621">
        <v>100</v>
      </c>
      <c r="D79" s="621">
        <f>C79-$K23</f>
        <v>100</v>
      </c>
      <c r="E79" s="621">
        <f>D79-$K23</f>
        <v>100</v>
      </c>
      <c r="F79" s="621">
        <f>E79-$K23</f>
        <v>100</v>
      </c>
      <c r="G79" s="621">
        <f>F79-$K23</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s="1060" customFormat="1" ht="14.4" thickTop="1">
      <c r="A80" s="486"/>
      <c r="B80" s="615">
        <f>B25</f>
        <v>111</v>
      </c>
      <c r="C80" s="630"/>
      <c r="D80" s="630"/>
      <c r="E80" s="630"/>
      <c r="F80" s="630"/>
      <c r="G80" s="630"/>
      <c r="H80" s="630"/>
      <c r="I80" s="630"/>
      <c r="J80" s="630"/>
      <c r="K80" s="630"/>
      <c r="L80" s="815"/>
      <c r="M80" s="816"/>
      <c r="N80" s="1765"/>
      <c r="O80" s="1765"/>
      <c r="P80" s="1765"/>
      <c r="Q80" s="1762"/>
      <c r="R80" s="1639"/>
      <c r="S80" s="1639"/>
      <c r="T80" s="1639"/>
      <c r="U80" s="1639"/>
      <c r="V80" s="1639"/>
      <c r="W80" s="1639"/>
      <c r="X80" s="1639"/>
      <c r="Y80" s="1639"/>
      <c r="Z80" s="1639"/>
      <c r="AA80" s="1639"/>
      <c r="AB80" s="1639"/>
      <c r="AC80" s="1639"/>
    </row>
    <row r="81" spans="1:29" s="1060" customFormat="1" ht="14.4" thickBot="1">
      <c r="A81" s="486"/>
      <c r="B81" s="620"/>
      <c r="C81" s="634"/>
      <c r="D81" s="613"/>
      <c r="E81" s="613"/>
      <c r="F81" s="613"/>
      <c r="G81" s="613"/>
      <c r="H81" s="613"/>
      <c r="I81" s="613"/>
      <c r="J81" s="613"/>
      <c r="K81" s="613"/>
      <c r="L81" s="613"/>
      <c r="M81" s="614"/>
      <c r="N81" s="1767"/>
      <c r="O81" s="1767"/>
      <c r="P81" s="1765"/>
      <c r="Q81" s="1762"/>
      <c r="R81" s="1639"/>
      <c r="S81" s="1639"/>
      <c r="T81" s="1639"/>
      <c r="U81" s="1639"/>
      <c r="V81" s="1639"/>
      <c r="W81" s="1639"/>
      <c r="X81" s="1639"/>
      <c r="Y81" s="1639"/>
      <c r="Z81" s="1639"/>
      <c r="AA81" s="1639"/>
      <c r="AB81" s="1639"/>
      <c r="AC81" s="1639"/>
    </row>
    <row r="82" spans="1:29" s="1060" customFormat="1" ht="14.4" thickTop="1">
      <c r="A82" s="486"/>
      <c r="B82" s="615">
        <f>B26</f>
        <v>111</v>
      </c>
      <c r="C82" s="630"/>
      <c r="D82" s="630"/>
      <c r="E82" s="630"/>
      <c r="F82" s="630"/>
      <c r="G82" s="630"/>
      <c r="H82" s="630"/>
      <c r="I82" s="630"/>
      <c r="J82" s="630"/>
      <c r="K82" s="630"/>
      <c r="L82" s="815"/>
      <c r="M82" s="816"/>
      <c r="N82" s="1765"/>
      <c r="O82" s="1765"/>
      <c r="P82" s="1765"/>
      <c r="Q82" s="1762"/>
      <c r="R82" s="1639"/>
      <c r="S82" s="1639"/>
      <c r="T82" s="1639"/>
      <c r="U82" s="1639"/>
      <c r="V82" s="1639"/>
      <c r="W82" s="1639"/>
      <c r="X82" s="1639"/>
      <c r="Y82" s="1639"/>
      <c r="Z82" s="1639"/>
      <c r="AA82" s="1639"/>
      <c r="AB82" s="1639"/>
      <c r="AC82" s="1639"/>
    </row>
    <row r="83" spans="1:29" s="1060" customFormat="1" ht="14.4" thickBot="1">
      <c r="A83" s="486"/>
      <c r="B83" s="620"/>
      <c r="C83" s="634"/>
      <c r="D83" s="613"/>
      <c r="E83" s="613"/>
      <c r="F83" s="613"/>
      <c r="G83" s="613"/>
      <c r="H83" s="613"/>
      <c r="I83" s="613"/>
      <c r="J83" s="613"/>
      <c r="K83" s="613"/>
      <c r="L83" s="613"/>
      <c r="M83" s="614"/>
      <c r="N83" s="1767"/>
      <c r="O83" s="1767"/>
      <c r="P83" s="1765"/>
      <c r="Q83" s="1762"/>
      <c r="R83" s="1639"/>
      <c r="S83" s="1639"/>
      <c r="T83" s="1639"/>
      <c r="U83" s="1639"/>
      <c r="V83" s="1639"/>
      <c r="W83" s="1639"/>
      <c r="X83" s="1639"/>
      <c r="Y83" s="1639"/>
      <c r="Z83" s="1639"/>
      <c r="AA83" s="1639"/>
      <c r="AB83" s="1639"/>
      <c r="AC83" s="1639"/>
    </row>
    <row r="84" spans="1:29" s="1134" customFormat="1" ht="14.4" thickTop="1">
      <c r="A84" s="629"/>
      <c r="B84" s="615">
        <f>B27</f>
        <v>111</v>
      </c>
      <c r="C84" s="630"/>
      <c r="D84" s="630"/>
      <c r="E84" s="630"/>
      <c r="F84" s="630"/>
      <c r="G84" s="630"/>
      <c r="H84" s="630"/>
      <c r="I84" s="630"/>
      <c r="J84" s="630"/>
      <c r="K84" s="630"/>
      <c r="L84" s="815"/>
      <c r="M84" s="816"/>
      <c r="N84" s="1768"/>
      <c r="O84" s="1768"/>
      <c r="P84" s="1768"/>
      <c r="Q84" s="1769"/>
      <c r="R84" s="1770"/>
      <c r="S84" s="1770"/>
      <c r="T84" s="1770"/>
      <c r="U84" s="1770"/>
      <c r="V84" s="1770"/>
      <c r="W84" s="1770"/>
      <c r="X84" s="1770"/>
      <c r="Y84" s="1770"/>
      <c r="Z84" s="1770"/>
      <c r="AA84" s="1770"/>
      <c r="AB84" s="1770"/>
      <c r="AC84" s="1770"/>
    </row>
    <row r="85" spans="1:29" s="1134" customFormat="1" ht="14.4" thickBot="1">
      <c r="A85" s="629"/>
      <c r="B85" s="620"/>
      <c r="C85" s="634"/>
      <c r="D85" s="613"/>
      <c r="E85" s="613"/>
      <c r="F85" s="613"/>
      <c r="G85" s="613"/>
      <c r="H85" s="613"/>
      <c r="I85" s="613"/>
      <c r="J85" s="613"/>
      <c r="K85" s="613"/>
      <c r="L85" s="613"/>
      <c r="M85" s="614"/>
      <c r="N85" s="1768"/>
      <c r="O85" s="1768"/>
      <c r="P85" s="1768"/>
      <c r="Q85" s="1769"/>
      <c r="R85" s="1770"/>
      <c r="S85" s="1770"/>
      <c r="T85" s="1770"/>
      <c r="U85" s="1770"/>
      <c r="V85" s="1770"/>
      <c r="W85" s="1770"/>
      <c r="X85" s="1770"/>
      <c r="Y85" s="1770"/>
      <c r="Z85" s="1770"/>
      <c r="AA85" s="1770"/>
      <c r="AB85" s="1770"/>
      <c r="AC85" s="1770"/>
    </row>
    <row r="86" spans="1:29" ht="14.4" thickTop="1">
      <c r="A86" s="482"/>
      <c r="B86" s="623">
        <f>B28</f>
        <v>111</v>
      </c>
      <c r="C86" s="80"/>
      <c r="D86" s="80"/>
      <c r="E86" s="80"/>
      <c r="F86" s="80"/>
      <c r="G86" s="662"/>
      <c r="H86" s="662"/>
      <c r="I86" s="662"/>
      <c r="J86" s="662"/>
      <c r="K86" s="663"/>
      <c r="L86" s="664"/>
      <c r="M86" s="665"/>
      <c r="N86" s="1766"/>
      <c r="O86" s="1766"/>
      <c r="P86" s="1765"/>
      <c r="Q86" s="1762"/>
      <c r="R86" s="1741"/>
      <c r="S86" s="1741"/>
      <c r="T86" s="1741"/>
      <c r="U86" s="1741"/>
      <c r="V86" s="1741"/>
      <c r="W86" s="1741"/>
      <c r="X86" s="1741"/>
      <c r="Y86" s="1741"/>
      <c r="Z86" s="1741"/>
      <c r="AA86" s="1741"/>
      <c r="AB86" s="1741"/>
      <c r="AC86" s="1741"/>
    </row>
    <row r="87" spans="1:29" ht="14.4" thickBot="1">
      <c r="A87" s="493"/>
      <c r="B87" s="641"/>
      <c r="C87" s="642"/>
      <c r="D87" s="642"/>
      <c r="E87" s="642"/>
      <c r="F87" s="642"/>
      <c r="G87" s="666"/>
      <c r="H87" s="666"/>
      <c r="I87" s="666"/>
      <c r="J87" s="666"/>
      <c r="K87" s="666"/>
      <c r="L87" s="666"/>
      <c r="M87" s="667"/>
      <c r="N87" s="1767"/>
      <c r="O87" s="1767"/>
      <c r="P87" s="1765"/>
      <c r="Q87" s="1762"/>
      <c r="R87" s="1741"/>
      <c r="S87" s="1741"/>
      <c r="T87" s="1741"/>
      <c r="U87" s="1741"/>
      <c r="V87" s="1741"/>
      <c r="W87" s="1741"/>
      <c r="X87" s="1741"/>
      <c r="Y87" s="1741"/>
      <c r="Z87" s="1741"/>
      <c r="AA87" s="1741"/>
      <c r="AB87" s="1741"/>
      <c r="AC87" s="1741"/>
    </row>
    <row r="88" spans="1:29" ht="14.4">
      <c r="A88" s="607" t="s">
        <v>500</v>
      </c>
      <c r="B88" s="608" t="s">
        <v>687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4.4"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7"/>
      <c r="O89" s="1767"/>
      <c r="P89" s="1765"/>
      <c r="Q89" s="1762"/>
      <c r="R89" s="1741"/>
      <c r="S89" s="1741"/>
      <c r="T89" s="1741"/>
      <c r="U89" s="1741"/>
      <c r="V89" s="1741"/>
      <c r="W89" s="1741"/>
      <c r="X89" s="1741"/>
      <c r="Y89" s="1741"/>
      <c r="Z89" s="1741"/>
      <c r="AA89" s="1741"/>
      <c r="AB89" s="1741"/>
      <c r="AC89" s="1741"/>
    </row>
    <row r="90" spans="1:29" ht="1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5"/>
      <c r="O90" s="1765"/>
      <c r="P90" s="1765"/>
      <c r="Q90" s="1762"/>
      <c r="R90" s="1741"/>
      <c r="S90" s="1741"/>
      <c r="T90" s="1741"/>
      <c r="U90" s="1741"/>
      <c r="V90" s="1741"/>
      <c r="W90" s="1741"/>
      <c r="X90" s="1741"/>
      <c r="Y90" s="1741"/>
      <c r="Z90" s="1741"/>
      <c r="AA90" s="1741"/>
      <c r="AB90" s="1741"/>
      <c r="AC90" s="1741"/>
    </row>
    <row r="91" spans="1:29" s="1134" customFormat="1">
      <c r="A91" s="552"/>
      <c r="B91" s="668"/>
      <c r="C91" s="79"/>
      <c r="D91" s="79"/>
      <c r="E91" s="79"/>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4" customFormat="1" ht="14.4" thickBot="1">
      <c r="A92" s="629"/>
      <c r="B92" s="620"/>
      <c r="C92" s="634"/>
      <c r="D92" s="613"/>
      <c r="E92" s="613"/>
      <c r="F92" s="613"/>
      <c r="G92" s="613"/>
      <c r="H92" s="613"/>
      <c r="I92" s="613"/>
      <c r="J92" s="613"/>
      <c r="K92" s="613"/>
      <c r="L92" s="613"/>
      <c r="M92" s="614"/>
      <c r="N92" s="1767"/>
      <c r="O92" s="1767"/>
      <c r="P92" s="1768"/>
      <c r="Q92" s="1769"/>
      <c r="R92" s="1770"/>
      <c r="S92" s="1770"/>
      <c r="T92" s="1770"/>
      <c r="U92" s="1770"/>
      <c r="V92" s="1770"/>
      <c r="W92" s="1770"/>
      <c r="X92" s="1770"/>
      <c r="Y92" s="1770"/>
      <c r="Z92" s="1770"/>
      <c r="AA92" s="1770"/>
      <c r="AB92" s="1770"/>
      <c r="AC92" s="1770"/>
    </row>
    <row r="93" spans="1:29" ht="15" thickTop="1">
      <c r="A93" s="543"/>
      <c r="B93" s="615" t="s">
        <v>689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4.4"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691</v>
      </c>
      <c r="C95" s="630"/>
      <c r="D95" s="630"/>
      <c r="E95" s="630"/>
      <c r="F95" s="658"/>
      <c r="G95" s="658"/>
      <c r="H95" s="658"/>
      <c r="I95" s="658"/>
      <c r="J95" s="658"/>
      <c r="K95" s="659"/>
      <c r="L95" s="660"/>
      <c r="M95" s="661"/>
      <c r="N95" s="1766"/>
      <c r="O95" s="1766"/>
      <c r="P95" s="1765"/>
      <c r="Q95" s="1762"/>
      <c r="R95" s="1741"/>
      <c r="S95" s="1741"/>
      <c r="T95" s="1741"/>
      <c r="U95" s="1741"/>
      <c r="V95" s="1741"/>
      <c r="W95" s="1741"/>
      <c r="X95" s="1741"/>
      <c r="Y95" s="1741"/>
      <c r="Z95" s="1741"/>
      <c r="AA95" s="1741"/>
      <c r="AB95" s="1741"/>
      <c r="AC95" s="1741"/>
    </row>
    <row r="96" spans="1:29" ht="14.4"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6"/>
      <c r="O97" s="1766"/>
      <c r="P97" s="1765"/>
      <c r="Q97" s="1762"/>
      <c r="R97" s="1741"/>
      <c r="S97" s="1741"/>
      <c r="T97" s="1741"/>
      <c r="U97" s="1741"/>
      <c r="V97" s="1741"/>
      <c r="W97" s="1741"/>
      <c r="X97" s="1741"/>
      <c r="Y97" s="1741"/>
      <c r="Z97" s="1741"/>
      <c r="AA97" s="1741"/>
      <c r="AB97" s="1741"/>
      <c r="AC97" s="1741"/>
    </row>
    <row r="98" spans="1:29">
      <c r="A98" s="543"/>
      <c r="B98" s="623"/>
      <c r="C98" s="818">
        <v>0.5</v>
      </c>
      <c r="D98" s="818">
        <v>0.6</v>
      </c>
      <c r="E98" s="818">
        <v>0.7</v>
      </c>
      <c r="F98" s="818">
        <v>0.8</v>
      </c>
      <c r="G98" s="818">
        <v>0.9</v>
      </c>
      <c r="H98" s="818">
        <v>1.0001</v>
      </c>
      <c r="I98" s="828"/>
      <c r="J98" s="828"/>
      <c r="K98" s="829"/>
      <c r="L98" s="830"/>
      <c r="M98" s="831"/>
      <c r="N98" s="1766"/>
      <c r="O98" s="1766"/>
      <c r="P98" s="1765"/>
      <c r="Q98" s="1762"/>
      <c r="R98" s="1741"/>
      <c r="S98" s="1741"/>
      <c r="T98" s="1741"/>
      <c r="U98" s="1741"/>
      <c r="V98" s="1741"/>
      <c r="W98" s="1741"/>
      <c r="X98" s="1741"/>
      <c r="Y98" s="1741"/>
      <c r="Z98" s="1741"/>
      <c r="AA98" s="1741"/>
      <c r="AB98" s="1741"/>
      <c r="AC98" s="1741"/>
    </row>
    <row r="99" spans="1:29" ht="14.4"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7"/>
      <c r="O99" s="1767"/>
      <c r="P99" s="1765"/>
      <c r="Q99" s="1762"/>
      <c r="R99" s="1741"/>
      <c r="S99" s="1741"/>
      <c r="T99" s="1741"/>
      <c r="U99" s="1741"/>
      <c r="V99" s="1741"/>
      <c r="W99" s="1741"/>
      <c r="X99" s="1741"/>
      <c r="Y99" s="1741"/>
      <c r="Z99" s="1741"/>
      <c r="AA99" s="1741"/>
      <c r="AB99" s="1741"/>
      <c r="AC99" s="1741"/>
    </row>
    <row r="100" spans="1:29" s="1134" customFormat="1" ht="15" thickTop="1">
      <c r="A100" s="552"/>
      <c r="B100" s="615" t="s">
        <v>693</v>
      </c>
      <c r="C100" s="630"/>
      <c r="D100" s="630"/>
      <c r="E100" s="630"/>
      <c r="F100" s="630"/>
      <c r="G100" s="630"/>
      <c r="H100" s="658"/>
      <c r="I100" s="658"/>
      <c r="J100" s="658"/>
      <c r="K100" s="659"/>
      <c r="L100" s="660"/>
      <c r="M100" s="661"/>
      <c r="N100" s="1768"/>
      <c r="O100" s="1768"/>
      <c r="P100" s="1768"/>
      <c r="Q100" s="1769"/>
      <c r="R100" s="1770"/>
      <c r="S100" s="1770"/>
      <c r="T100" s="1770"/>
      <c r="U100" s="1770"/>
      <c r="V100" s="1770"/>
      <c r="W100" s="1770"/>
      <c r="X100" s="1770"/>
      <c r="Y100" s="1770"/>
      <c r="Z100" s="1770"/>
      <c r="AA100" s="1770"/>
      <c r="AB100" s="1770"/>
      <c r="AC100" s="1770"/>
    </row>
    <row r="101" spans="1:29" s="1134" customFormat="1" ht="14.4"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3"/>
      <c r="B102" s="1554" t="s">
        <v>1839</v>
      </c>
      <c r="C102" s="630"/>
      <c r="D102" s="630"/>
      <c r="E102" s="630"/>
      <c r="F102" s="630"/>
      <c r="G102" s="630"/>
      <c r="H102" s="658"/>
      <c r="I102" s="658"/>
      <c r="J102" s="658"/>
      <c r="K102" s="659"/>
      <c r="L102" s="660"/>
      <c r="M102" s="661"/>
      <c r="N102" s="1766"/>
      <c r="O102" s="1766"/>
      <c r="P102" s="1765"/>
      <c r="Q102" s="1762"/>
      <c r="R102" s="1741"/>
      <c r="S102" s="1741"/>
      <c r="T102" s="1741"/>
      <c r="U102" s="1741"/>
      <c r="V102" s="1741"/>
      <c r="W102" s="1741"/>
      <c r="X102" s="1741"/>
      <c r="Y102" s="1741"/>
      <c r="Z102" s="1741"/>
      <c r="AA102" s="1741"/>
      <c r="AB102" s="1741"/>
      <c r="AC102" s="1741"/>
    </row>
    <row r="103" spans="1:29" ht="14.4"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3"/>
      <c r="B104" s="615" t="s">
        <v>695</v>
      </c>
      <c r="C104" s="630"/>
      <c r="D104" s="630"/>
      <c r="E104" s="630"/>
      <c r="F104" s="630"/>
      <c r="G104" s="630"/>
      <c r="H104" s="658"/>
      <c r="I104" s="658"/>
      <c r="J104" s="658"/>
      <c r="K104" s="659"/>
      <c r="L104" s="660"/>
      <c r="M104" s="661"/>
      <c r="N104" s="1766"/>
      <c r="O104" s="1766"/>
      <c r="P104" s="1765"/>
      <c r="Q104" s="1762"/>
      <c r="R104" s="1741"/>
      <c r="S104" s="1741"/>
      <c r="T104" s="1741"/>
      <c r="U104" s="1741"/>
      <c r="V104" s="1741"/>
      <c r="W104" s="1741"/>
      <c r="X104" s="1741"/>
      <c r="Y104" s="1741"/>
      <c r="Z104" s="1741"/>
      <c r="AA104" s="1741"/>
      <c r="AB104" s="1741"/>
      <c r="AC104" s="1741"/>
    </row>
    <row r="105" spans="1:29" ht="14.4" thickBot="1">
      <c r="A105" s="482"/>
      <c r="B105" s="620"/>
      <c r="C105" s="621">
        <v>100</v>
      </c>
      <c r="D105" s="621">
        <f>C105-$K36</f>
        <v>100</v>
      </c>
      <c r="E105" s="621">
        <f>D105-$K36</f>
        <v>100</v>
      </c>
      <c r="F105" s="621">
        <f>E105-$K36</f>
        <v>100</v>
      </c>
      <c r="G105" s="621">
        <f>F105-$K36</f>
        <v>100</v>
      </c>
      <c r="H105" s="621"/>
      <c r="I105" s="621"/>
      <c r="J105" s="621"/>
      <c r="K105" s="621"/>
      <c r="L105" s="621"/>
      <c r="M105" s="622"/>
      <c r="N105" s="1767"/>
      <c r="O105" s="1767"/>
      <c r="P105" s="1765"/>
      <c r="Q105" s="1762"/>
      <c r="R105" s="1741"/>
      <c r="S105" s="1741"/>
      <c r="T105" s="1741"/>
      <c r="U105" s="1741"/>
      <c r="V105" s="1741"/>
      <c r="W105" s="1741"/>
      <c r="X105" s="1741"/>
      <c r="Y105" s="1741"/>
      <c r="Z105" s="1741"/>
      <c r="AA105" s="1741"/>
      <c r="AB105" s="1741"/>
      <c r="AC105" s="1741"/>
    </row>
    <row r="106" spans="1:29" ht="29.4" thickTop="1">
      <c r="A106" s="543"/>
      <c r="B106" s="839" t="s">
        <v>731</v>
      </c>
      <c r="C106" s="649" t="s">
        <v>527</v>
      </c>
      <c r="D106" s="649" t="s">
        <v>528</v>
      </c>
      <c r="E106" s="649" t="s">
        <v>529</v>
      </c>
      <c r="F106" s="649" t="s">
        <v>530</v>
      </c>
      <c r="G106" s="649" t="s">
        <v>531</v>
      </c>
      <c r="H106" s="616"/>
      <c r="I106" s="616"/>
      <c r="J106" s="616"/>
      <c r="K106" s="617"/>
      <c r="L106" s="618"/>
      <c r="M106" s="619"/>
      <c r="N106" s="1767"/>
      <c r="O106" s="1767"/>
      <c r="P106" s="1767"/>
      <c r="Q106" s="1802"/>
      <c r="R106" s="1741"/>
      <c r="S106" s="1741"/>
      <c r="T106" s="1741"/>
      <c r="U106" s="1741"/>
      <c r="V106" s="1741"/>
      <c r="W106" s="1741"/>
      <c r="X106" s="1741"/>
      <c r="Y106" s="1741"/>
      <c r="Z106" s="1741"/>
      <c r="AA106" s="1741"/>
      <c r="AB106" s="1741"/>
      <c r="AC106" s="1741"/>
    </row>
    <row r="107" spans="1:29" ht="14.4"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7"/>
      <c r="O107" s="1767"/>
      <c r="P107" s="1765"/>
      <c r="Q107" s="1762"/>
      <c r="R107" s="1741"/>
      <c r="S107" s="1741"/>
      <c r="T107" s="1741"/>
      <c r="U107" s="1741"/>
      <c r="V107" s="1741"/>
      <c r="W107" s="1741"/>
      <c r="X107" s="1741"/>
      <c r="Y107" s="1741"/>
      <c r="Z107" s="1741"/>
      <c r="AA107" s="1741"/>
      <c r="AB107" s="1741"/>
      <c r="AC107" s="1741"/>
    </row>
    <row r="108" spans="1:29" s="1134" customFormat="1" ht="14.4" thickTop="1">
      <c r="A108" s="552"/>
      <c r="B108" s="615">
        <f>B38</f>
        <v>111</v>
      </c>
      <c r="C108" s="630"/>
      <c r="D108" s="630"/>
      <c r="E108" s="630"/>
      <c r="F108" s="630"/>
      <c r="G108" s="630"/>
      <c r="H108" s="631"/>
      <c r="I108" s="631"/>
      <c r="J108" s="631"/>
      <c r="K108" s="631"/>
      <c r="L108" s="632"/>
      <c r="M108" s="633"/>
      <c r="N108" s="1768"/>
      <c r="O108" s="1768"/>
      <c r="P108" s="1768"/>
      <c r="Q108" s="1769"/>
      <c r="R108" s="1770"/>
      <c r="S108" s="1770"/>
      <c r="T108" s="1770"/>
      <c r="U108" s="1770"/>
      <c r="V108" s="1770"/>
      <c r="W108" s="1770"/>
      <c r="X108" s="1770"/>
      <c r="Y108" s="1770"/>
      <c r="Z108" s="1770"/>
      <c r="AA108" s="1770"/>
      <c r="AB108" s="1770"/>
      <c r="AC108" s="1770"/>
    </row>
    <row r="109" spans="1:29" s="1134" customFormat="1" ht="14.4" thickBot="1">
      <c r="A109" s="629"/>
      <c r="B109" s="612"/>
      <c r="C109" s="634"/>
      <c r="D109" s="613"/>
      <c r="E109" s="613"/>
      <c r="F109" s="613"/>
      <c r="G109" s="634"/>
      <c r="H109" s="635"/>
      <c r="I109" s="635"/>
      <c r="J109" s="635"/>
      <c r="K109" s="635"/>
      <c r="L109" s="635"/>
      <c r="M109" s="636"/>
      <c r="N109" s="1768"/>
      <c r="O109" s="1768"/>
      <c r="P109" s="1768"/>
      <c r="Q109" s="1769"/>
      <c r="R109" s="1770"/>
      <c r="S109" s="1770"/>
      <c r="T109" s="1770"/>
      <c r="U109" s="1770"/>
      <c r="V109" s="1770"/>
      <c r="W109" s="1770"/>
      <c r="X109" s="1770"/>
      <c r="Y109" s="1770"/>
      <c r="Z109" s="1770"/>
      <c r="AA109" s="1770"/>
      <c r="AB109" s="1770"/>
      <c r="AC109" s="1770"/>
    </row>
    <row r="110" spans="1:29" ht="14.4" thickTop="1">
      <c r="A110" s="543"/>
      <c r="B110" s="615">
        <f>B39</f>
        <v>111</v>
      </c>
      <c r="C110" s="630"/>
      <c r="D110" s="630"/>
      <c r="E110" s="630"/>
      <c r="F110" s="630"/>
      <c r="G110" s="630"/>
      <c r="H110" s="631"/>
      <c r="I110" s="631"/>
      <c r="J110" s="631"/>
      <c r="K110" s="631"/>
      <c r="L110" s="632"/>
      <c r="M110" s="633"/>
      <c r="N110" s="1766"/>
      <c r="O110" s="1766"/>
      <c r="P110" s="1765"/>
      <c r="Q110" s="1762"/>
      <c r="R110" s="1741"/>
      <c r="S110" s="1741"/>
      <c r="T110" s="1741"/>
      <c r="U110" s="1741"/>
      <c r="V110" s="1741"/>
      <c r="W110" s="1741"/>
      <c r="X110" s="1741"/>
      <c r="Y110" s="1741"/>
      <c r="Z110" s="1741"/>
      <c r="AA110" s="1741"/>
      <c r="AB110" s="1741"/>
      <c r="AC110" s="1741"/>
    </row>
    <row r="111" spans="1:29" ht="14.4" thickBot="1">
      <c r="A111" s="482"/>
      <c r="B111" s="620"/>
      <c r="C111" s="634"/>
      <c r="D111" s="613"/>
      <c r="E111" s="613"/>
      <c r="F111" s="613"/>
      <c r="G111" s="634"/>
      <c r="H111" s="635"/>
      <c r="I111" s="635"/>
      <c r="J111" s="635"/>
      <c r="K111" s="635"/>
      <c r="L111" s="635"/>
      <c r="M111" s="636"/>
      <c r="N111" s="1767"/>
      <c r="O111" s="1767"/>
      <c r="P111" s="1765"/>
      <c r="Q111" s="1762"/>
      <c r="R111" s="1741"/>
      <c r="S111" s="1741"/>
      <c r="T111" s="1741"/>
      <c r="U111" s="1741"/>
      <c r="V111" s="1741"/>
      <c r="W111" s="1741"/>
      <c r="X111" s="1741"/>
      <c r="Y111" s="1741"/>
      <c r="Z111" s="1741"/>
      <c r="AA111" s="1741"/>
      <c r="AB111" s="1741"/>
      <c r="AC111" s="1741"/>
    </row>
    <row r="112" spans="1:29" ht="14.4" thickTop="1">
      <c r="A112" s="543"/>
      <c r="B112" s="623">
        <f>B40</f>
        <v>111</v>
      </c>
      <c r="C112" s="80"/>
      <c r="D112" s="80"/>
      <c r="E112" s="80"/>
      <c r="F112" s="80"/>
      <c r="G112" s="662"/>
      <c r="H112" s="662"/>
      <c r="I112" s="662"/>
      <c r="J112" s="662"/>
      <c r="K112" s="80"/>
      <c r="L112" s="605"/>
      <c r="M112" s="665"/>
      <c r="N112" s="1766"/>
      <c r="O112" s="1766"/>
      <c r="P112" s="1765"/>
      <c r="Q112" s="1762"/>
      <c r="R112" s="1741"/>
      <c r="S112" s="1741"/>
      <c r="T112" s="1741"/>
      <c r="U112" s="1741"/>
      <c r="V112" s="1741"/>
      <c r="W112" s="1741"/>
      <c r="X112" s="1741"/>
      <c r="Y112" s="1741"/>
      <c r="Z112" s="1741"/>
      <c r="AA112" s="1741"/>
      <c r="AB112" s="1741"/>
      <c r="AC112" s="1741"/>
    </row>
    <row r="113" spans="1:29" ht="14.4" thickBot="1">
      <c r="A113" s="493"/>
      <c r="B113" s="641"/>
      <c r="C113" s="642"/>
      <c r="D113" s="642"/>
      <c r="E113" s="642"/>
      <c r="F113" s="642"/>
      <c r="G113" s="666"/>
      <c r="H113" s="666"/>
      <c r="I113" s="666"/>
      <c r="J113" s="666"/>
      <c r="K113" s="666"/>
      <c r="L113" s="666"/>
      <c r="M113" s="667"/>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c r="C1" s="455" t="s">
        <v>732</v>
      </c>
      <c r="D1" s="783"/>
      <c r="E1" s="457"/>
      <c r="F1" s="2117"/>
      <c r="G1" s="1327" t="s">
        <v>733</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31" customFormat="1" ht="28.5" customHeight="1">
      <c r="A2" s="393" t="s">
        <v>734</v>
      </c>
      <c r="B2" s="784" t="e">
        <f>IF(B37="元/平方米",ROUND(B3*D3/10000,0),ROUND(F3*C39/10000,0))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1" customFormat="1" ht="28.5" customHeight="1" thickBot="1">
      <c r="A3" s="460" t="s">
        <v>735</v>
      </c>
      <c r="B3" s="461" t="e">
        <f>IF(B37="元/平方米",C39,ROUND(B2*10000/D3,0))</f>
        <v>#DIV/0!</v>
      </c>
      <c r="C3" s="786" t="s">
        <v>736</v>
      </c>
      <c r="D3" s="785">
        <f>SUMIF('数据-汇总表'!$C19:$C33,D1,'数据-汇总表'!$E19:$E33)</f>
        <v>0</v>
      </c>
      <c r="E3" s="1536" t="s">
        <v>1594</v>
      </c>
      <c r="F3" s="785">
        <f>SUMIF('数据-取费表'!A5:A15,D1,'数据-取费表'!AH5:AH15)</f>
        <v>0</v>
      </c>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4.4">
      <c r="A4" s="463" t="s">
        <v>737</v>
      </c>
      <c r="B4" s="464"/>
      <c r="C4" s="3635" t="s">
        <v>738</v>
      </c>
      <c r="D4" s="3636"/>
      <c r="E4" s="3635" t="s">
        <v>739</v>
      </c>
      <c r="F4" s="3636"/>
      <c r="G4" s="3635" t="s">
        <v>740</v>
      </c>
      <c r="H4" s="3636"/>
      <c r="I4" s="3635" t="s">
        <v>741</v>
      </c>
      <c r="J4" s="3636"/>
      <c r="K4" s="465" t="s">
        <v>742</v>
      </c>
      <c r="L4" s="1740"/>
      <c r="M4" s="1741"/>
      <c r="N4" s="1741"/>
      <c r="O4" s="1741"/>
      <c r="P4" s="3637" t="s">
        <v>743</v>
      </c>
      <c r="Q4" s="3638"/>
      <c r="R4" s="3621" t="s">
        <v>739</v>
      </c>
      <c r="S4" s="3622"/>
      <c r="T4" s="3621" t="s">
        <v>740</v>
      </c>
      <c r="U4" s="3622"/>
      <c r="V4" s="3643" t="s">
        <v>741</v>
      </c>
      <c r="W4" s="3643"/>
      <c r="X4" s="1301"/>
      <c r="Y4" s="3621" t="s">
        <v>743</v>
      </c>
      <c r="Z4" s="3622"/>
      <c r="AA4" s="3616" t="s">
        <v>739</v>
      </c>
      <c r="AB4" s="3617" t="s">
        <v>740</v>
      </c>
      <c r="AC4" s="3616" t="s">
        <v>741</v>
      </c>
    </row>
    <row r="5" spans="1:29">
      <c r="A5" s="466"/>
      <c r="B5" s="467"/>
      <c r="C5" s="3646" t="s">
        <v>2192</v>
      </c>
      <c r="D5" s="3647"/>
      <c r="E5" s="3646" t="s">
        <v>2193</v>
      </c>
      <c r="F5" s="3647"/>
      <c r="G5" s="3646" t="s">
        <v>2194</v>
      </c>
      <c r="H5" s="3647"/>
      <c r="I5" s="3646" t="s">
        <v>2195</v>
      </c>
      <c r="J5" s="3647"/>
      <c r="K5" s="465"/>
      <c r="L5" s="1740"/>
      <c r="M5" s="1741"/>
      <c r="N5" s="1741"/>
      <c r="O5" s="1741"/>
      <c r="P5" s="3639"/>
      <c r="Q5" s="3640"/>
      <c r="R5" s="3623"/>
      <c r="S5" s="3624"/>
      <c r="T5" s="3623"/>
      <c r="U5" s="3624"/>
      <c r="V5" s="3643"/>
      <c r="W5" s="3643"/>
      <c r="X5" s="1301"/>
      <c r="Y5" s="3623"/>
      <c r="Z5" s="3624"/>
      <c r="AA5" s="3617"/>
      <c r="AB5" s="3617"/>
      <c r="AC5" s="3617"/>
    </row>
    <row r="6" spans="1:29" ht="15" thickBot="1">
      <c r="A6" s="468"/>
      <c r="B6" s="469"/>
      <c r="C6" s="3644" t="s">
        <v>2196</v>
      </c>
      <c r="D6" s="3645"/>
      <c r="E6" s="3648" t="s">
        <v>2196</v>
      </c>
      <c r="F6" s="3649"/>
      <c r="G6" s="3644" t="s">
        <v>2196</v>
      </c>
      <c r="H6" s="3645"/>
      <c r="I6" s="3644" t="s">
        <v>2196</v>
      </c>
      <c r="J6" s="3645"/>
      <c r="K6" s="465" t="s">
        <v>477</v>
      </c>
      <c r="L6" s="1740"/>
      <c r="M6" s="1741"/>
      <c r="N6" s="1741"/>
      <c r="O6" s="1741"/>
      <c r="P6" s="3641"/>
      <c r="Q6" s="3642"/>
      <c r="R6" s="3623"/>
      <c r="S6" s="3624"/>
      <c r="T6" s="3625"/>
      <c r="U6" s="3626"/>
      <c r="V6" s="3643"/>
      <c r="W6" s="3643"/>
      <c r="X6" s="1301"/>
      <c r="Y6" s="3625"/>
      <c r="Z6" s="3626"/>
      <c r="AA6" s="3618"/>
      <c r="AB6" s="3618"/>
      <c r="AC6" s="3618"/>
    </row>
    <row r="7" spans="1:29" s="1060" customFormat="1" ht="15" thickBot="1">
      <c r="A7" s="2208"/>
      <c r="B7" s="2215" t="s">
        <v>478</v>
      </c>
      <c r="C7" s="470">
        <f>'数据-取费表'!B2</f>
        <v>45849</v>
      </c>
      <c r="D7" s="471">
        <v>100</v>
      </c>
      <c r="E7" s="472"/>
      <c r="F7" s="473">
        <f>SUMIF(48:48,YEAR(E7)&amp;"-"&amp;MONTH(E7),49:49)</f>
        <v>0</v>
      </c>
      <c r="G7" s="474"/>
      <c r="H7" s="471">
        <f>SUMIF(48:48,YEAR(G7)&amp;"-"&amp;MONTH(G7),49:49)</f>
        <v>0</v>
      </c>
      <c r="I7" s="474"/>
      <c r="J7" s="471">
        <f>SUMIF(48:48,YEAR(I7)&amp;"-"&amp;MONTH(I7),49:49)</f>
        <v>0</v>
      </c>
      <c r="K7" s="88"/>
      <c r="L7" s="1742"/>
      <c r="M7" s="1639"/>
      <c r="N7" s="1639"/>
      <c r="O7" s="1639"/>
      <c r="P7" s="3619" t="s">
        <v>479</v>
      </c>
      <c r="Q7" s="3628"/>
      <c r="R7" s="1302" t="s">
        <v>5</v>
      </c>
      <c r="S7" s="1303">
        <f t="shared" ref="S7:S14" si="0">F7</f>
        <v>0</v>
      </c>
      <c r="T7" s="1302" t="s">
        <v>5</v>
      </c>
      <c r="U7" s="1303">
        <f t="shared" ref="U7:U14" si="1">H7</f>
        <v>0</v>
      </c>
      <c r="V7" s="1302" t="s">
        <v>5</v>
      </c>
      <c r="W7" s="1303">
        <f t="shared" ref="W7:W14" si="2">J7</f>
        <v>0</v>
      </c>
      <c r="X7" s="1304"/>
      <c r="Y7" s="3619" t="s">
        <v>479</v>
      </c>
      <c r="Z7" s="3620"/>
      <c r="AA7" s="997" t="e">
        <f>D7/F7</f>
        <v>#DIV/0!</v>
      </c>
      <c r="AB7" s="997" t="e">
        <f>D7/H7</f>
        <v>#DIV/0!</v>
      </c>
      <c r="AC7" s="997" t="e">
        <f>D7/J7</f>
        <v>#DIV/0!</v>
      </c>
    </row>
    <row r="8" spans="1:29" s="1060" customFormat="1" ht="15" thickBot="1">
      <c r="A8" s="2209"/>
      <c r="B8" s="2216" t="s">
        <v>480</v>
      </c>
      <c r="C8" s="475" t="s">
        <v>524</v>
      </c>
      <c r="D8" s="471">
        <v>100</v>
      </c>
      <c r="E8" s="475"/>
      <c r="F8" s="473">
        <f>SUMIF(51:51,E8,52:52)-SUMIF(51:51,C8,52:52)+100</f>
        <v>0</v>
      </c>
      <c r="G8" s="475"/>
      <c r="H8" s="471">
        <f>SUMIF(51:51,G8,52:52)-SUMIF(51:51,C8,52:52)+100</f>
        <v>0</v>
      </c>
      <c r="I8" s="475"/>
      <c r="J8" s="471">
        <f>SUMIF(51:51,I8,52:52)-SUMIF(51:51,C8,52:52)+100</f>
        <v>0</v>
      </c>
      <c r="K8" s="88"/>
      <c r="L8" s="1742"/>
      <c r="M8" s="1639"/>
      <c r="N8" s="1639"/>
      <c r="O8" s="1639"/>
      <c r="P8" s="3619" t="s">
        <v>482</v>
      </c>
      <c r="Q8" s="3620"/>
      <c r="R8" s="1302" t="s">
        <v>5</v>
      </c>
      <c r="S8" s="1303">
        <f t="shared" si="0"/>
        <v>0</v>
      </c>
      <c r="T8" s="1302" t="s">
        <v>5</v>
      </c>
      <c r="U8" s="1303">
        <f t="shared" si="1"/>
        <v>0</v>
      </c>
      <c r="V8" s="1302" t="s">
        <v>5</v>
      </c>
      <c r="W8" s="1303">
        <f t="shared" si="2"/>
        <v>0</v>
      </c>
      <c r="X8" s="1304"/>
      <c r="Y8" s="3619" t="s">
        <v>482</v>
      </c>
      <c r="Z8" s="3620"/>
      <c r="AA8" s="997" t="e">
        <f t="shared" ref="AA8:AA36" si="3">D8/F8</f>
        <v>#DIV/0!</v>
      </c>
      <c r="AB8" s="997" t="e">
        <f t="shared" ref="AB8:AB36" si="4">D8/H8</f>
        <v>#DIV/0!</v>
      </c>
      <c r="AC8" s="997" t="e">
        <f t="shared" ref="AC8:AC36" si="5">D8/J8</f>
        <v>#DIV/0!</v>
      </c>
    </row>
    <row r="9" spans="1:29" s="1060" customFormat="1" ht="14.4">
      <c r="A9" s="2210"/>
      <c r="B9" s="2217" t="s">
        <v>2038</v>
      </c>
      <c r="C9" s="791"/>
      <c r="D9" s="154">
        <v>100</v>
      </c>
      <c r="E9" s="793"/>
      <c r="F9" s="154">
        <f>SUMIF(53:53,E9,54:54)-SUMIF(53:53,C9,54:54)+100</f>
        <v>100</v>
      </c>
      <c r="G9" s="792"/>
      <c r="H9" s="154">
        <f>SUMIF(53:53,G9,54:54)-SUMIF(53:53,C9,54:54)+100</f>
        <v>100</v>
      </c>
      <c r="I9" s="792"/>
      <c r="J9" s="154">
        <f>SUMIF(53:53,I9,54:54)-SUMIF(53:53,C9,54:54)+100</f>
        <v>100</v>
      </c>
      <c r="K9" s="88"/>
      <c r="L9" s="1742"/>
      <c r="M9" s="1639"/>
      <c r="N9" s="1639"/>
      <c r="O9" s="1743"/>
      <c r="P9" s="3627" t="s">
        <v>484</v>
      </c>
      <c r="Q9" s="818" t="str">
        <f t="shared" ref="Q9:Q14" si="6">B9</f>
        <v>用途</v>
      </c>
      <c r="R9" s="1302" t="s">
        <v>5</v>
      </c>
      <c r="S9" s="1303">
        <f t="shared" si="0"/>
        <v>100</v>
      </c>
      <c r="T9" s="1302" t="s">
        <v>5</v>
      </c>
      <c r="U9" s="1303">
        <f t="shared" si="1"/>
        <v>100</v>
      </c>
      <c r="V9" s="1302" t="s">
        <v>5</v>
      </c>
      <c r="W9" s="1303">
        <f t="shared" si="2"/>
        <v>100</v>
      </c>
      <c r="X9" s="1304"/>
      <c r="Y9" s="3575" t="s">
        <v>485</v>
      </c>
      <c r="Z9" s="997" t="str">
        <f t="shared" ref="Z9:Z14" si="7">Q9</f>
        <v>用途</v>
      </c>
      <c r="AA9" s="997">
        <f t="shared" si="3"/>
        <v>1</v>
      </c>
      <c r="AB9" s="997">
        <f t="shared" si="4"/>
        <v>1</v>
      </c>
      <c r="AC9" s="997">
        <f t="shared" si="5"/>
        <v>1</v>
      </c>
    </row>
    <row r="10" spans="1:29" s="1133" customFormat="1" ht="28.8">
      <c r="A10" s="2211"/>
      <c r="B10" s="2216" t="s">
        <v>2039</v>
      </c>
      <c r="C10" s="3385"/>
      <c r="D10" s="235">
        <v>100</v>
      </c>
      <c r="E10" s="3385"/>
      <c r="F10" s="235">
        <f>SUMIF(55:55,E10,56:56)-SUMIF(55:55,C10,56:56)+100</f>
        <v>100</v>
      </c>
      <c r="G10" s="3386"/>
      <c r="H10" s="235">
        <f>SUMIF(55:55,G10,56:56)-SUMIF(55:55,C10,56:56)+100</f>
        <v>100</v>
      </c>
      <c r="I10" s="3385"/>
      <c r="J10" s="235">
        <f>SUMIF(55:55,I10,56:56)-SUMIF(55:55,C10,56:56)+100</f>
        <v>100</v>
      </c>
      <c r="K10" s="88"/>
      <c r="L10" s="1744"/>
      <c r="M10" s="1777"/>
      <c r="N10" s="1777"/>
      <c r="O10" s="1745"/>
      <c r="P10" s="3627"/>
      <c r="Q10" s="818" t="str">
        <f t="shared" si="6"/>
        <v>土地使用年限（年）</v>
      </c>
      <c r="R10" s="1302" t="s">
        <v>5</v>
      </c>
      <c r="S10" s="1303">
        <f t="shared" si="0"/>
        <v>100</v>
      </c>
      <c r="T10" s="1302" t="s">
        <v>5</v>
      </c>
      <c r="U10" s="1303">
        <f t="shared" si="1"/>
        <v>100</v>
      </c>
      <c r="V10" s="1302" t="s">
        <v>5</v>
      </c>
      <c r="W10" s="1303">
        <f t="shared" si="2"/>
        <v>100</v>
      </c>
      <c r="X10" s="1304"/>
      <c r="Y10" s="3575"/>
      <c r="Z10" s="997" t="str">
        <f t="shared" si="7"/>
        <v>土地使用年限（年）</v>
      </c>
      <c r="AA10" s="997">
        <f t="shared" si="3"/>
        <v>1</v>
      </c>
      <c r="AB10" s="997">
        <f t="shared" si="4"/>
        <v>1</v>
      </c>
      <c r="AC10" s="997">
        <f t="shared" si="5"/>
        <v>1</v>
      </c>
    </row>
    <row r="11" spans="1:29" ht="15">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6"/>
      <c r="M11" s="1741"/>
      <c r="N11" s="1741"/>
      <c r="O11" s="1747"/>
      <c r="P11" s="3627"/>
      <c r="Q11" s="818">
        <f t="shared" si="6"/>
        <v>111</v>
      </c>
      <c r="R11" s="1302" t="s">
        <v>5</v>
      </c>
      <c r="S11" s="1303">
        <f t="shared" si="0"/>
        <v>100</v>
      </c>
      <c r="T11" s="1302" t="s">
        <v>5</v>
      </c>
      <c r="U11" s="1303">
        <f t="shared" si="1"/>
        <v>100</v>
      </c>
      <c r="V11" s="1302" t="s">
        <v>5</v>
      </c>
      <c r="W11" s="1303">
        <f t="shared" si="2"/>
        <v>100</v>
      </c>
      <c r="X11" s="1304"/>
      <c r="Y11" s="3575"/>
      <c r="Z11" s="997">
        <f t="shared" si="7"/>
        <v>111</v>
      </c>
      <c r="AA11" s="997">
        <f t="shared" si="3"/>
        <v>1</v>
      </c>
      <c r="AB11" s="997">
        <f t="shared" si="4"/>
        <v>1</v>
      </c>
      <c r="AC11" s="997">
        <f t="shared" si="5"/>
        <v>1</v>
      </c>
    </row>
    <row r="12" spans="1:29" s="1060" customFormat="1" ht="15">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2"/>
      <c r="M12" s="1639"/>
      <c r="N12" s="1639"/>
      <c r="O12" s="1743"/>
      <c r="P12" s="3627"/>
      <c r="Q12" s="818">
        <f t="shared" si="6"/>
        <v>111</v>
      </c>
      <c r="R12" s="1302" t="s">
        <v>5</v>
      </c>
      <c r="S12" s="1303">
        <f t="shared" si="0"/>
        <v>100</v>
      </c>
      <c r="T12" s="1302" t="s">
        <v>5</v>
      </c>
      <c r="U12" s="1303">
        <f t="shared" si="1"/>
        <v>100</v>
      </c>
      <c r="V12" s="1302" t="s">
        <v>5</v>
      </c>
      <c r="W12" s="1303">
        <f t="shared" si="2"/>
        <v>100</v>
      </c>
      <c r="X12" s="1304"/>
      <c r="Y12" s="3575"/>
      <c r="Z12" s="997">
        <f t="shared" si="7"/>
        <v>111</v>
      </c>
      <c r="AA12" s="997">
        <f>D12/F12</f>
        <v>1</v>
      </c>
      <c r="AB12" s="997">
        <f>D12/H12</f>
        <v>1</v>
      </c>
      <c r="AC12" s="997">
        <f>D12/J12</f>
        <v>1</v>
      </c>
    </row>
    <row r="13" spans="1:29" ht="15.6"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8"/>
      <c r="M13" s="1741"/>
      <c r="N13" s="1741"/>
      <c r="O13" s="1747"/>
      <c r="P13" s="3627"/>
      <c r="Q13" s="818">
        <f t="shared" si="6"/>
        <v>111</v>
      </c>
      <c r="R13" s="1302" t="s">
        <v>5</v>
      </c>
      <c r="S13" s="1303">
        <f t="shared" si="0"/>
        <v>100</v>
      </c>
      <c r="T13" s="1302" t="s">
        <v>5</v>
      </c>
      <c r="U13" s="1303">
        <f t="shared" si="1"/>
        <v>100</v>
      </c>
      <c r="V13" s="1302" t="s">
        <v>5</v>
      </c>
      <c r="W13" s="1303">
        <f t="shared" si="2"/>
        <v>100</v>
      </c>
      <c r="X13" s="1304"/>
      <c r="Y13" s="3575"/>
      <c r="Z13" s="997">
        <f t="shared" si="7"/>
        <v>111</v>
      </c>
      <c r="AA13" s="997">
        <f t="shared" si="3"/>
        <v>1</v>
      </c>
      <c r="AB13" s="997">
        <f t="shared" si="4"/>
        <v>1</v>
      </c>
      <c r="AC13" s="997">
        <f t="shared" si="5"/>
        <v>1</v>
      </c>
    </row>
    <row r="14" spans="1:29" ht="96.6">
      <c r="A14" s="2206" t="s">
        <v>2036</v>
      </c>
      <c r="B14" s="497" t="s">
        <v>492</v>
      </c>
      <c r="C14" s="843"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2"/>
      <c r="L14" s="1748"/>
      <c r="M14" s="1741"/>
      <c r="N14" s="1741"/>
      <c r="O14" s="1747"/>
      <c r="P14" s="3629" t="s">
        <v>489</v>
      </c>
      <c r="Q14" s="1305" t="str">
        <f t="shared" si="6"/>
        <v>交通便捷度</v>
      </c>
      <c r="R14" s="1306" t="s">
        <v>5</v>
      </c>
      <c r="S14" s="1307">
        <f t="shared" si="0"/>
        <v>100</v>
      </c>
      <c r="T14" s="1306" t="s">
        <v>5</v>
      </c>
      <c r="U14" s="1307">
        <f t="shared" si="1"/>
        <v>100</v>
      </c>
      <c r="V14" s="1306" t="s">
        <v>5</v>
      </c>
      <c r="W14" s="1307">
        <f t="shared" si="2"/>
        <v>100</v>
      </c>
      <c r="X14" s="1301"/>
      <c r="Y14" s="3629" t="s">
        <v>489</v>
      </c>
      <c r="Z14" s="1308" t="str">
        <f t="shared" si="7"/>
        <v>交通便捷度</v>
      </c>
      <c r="AA14" s="1308">
        <f t="shared" si="3"/>
        <v>1</v>
      </c>
      <c r="AB14" s="1308">
        <f t="shared" si="4"/>
        <v>1</v>
      </c>
      <c r="AC14" s="1308">
        <f t="shared" si="5"/>
        <v>1</v>
      </c>
    </row>
    <row r="15" spans="1:29" ht="15">
      <c r="A15" s="466"/>
      <c r="B15" s="846"/>
      <c r="C15" s="526"/>
      <c r="D15" s="505"/>
      <c r="E15" s="526"/>
      <c r="F15" s="507"/>
      <c r="G15" s="526"/>
      <c r="H15" s="509"/>
      <c r="I15" s="526"/>
      <c r="J15" s="505"/>
      <c r="K15" s="823"/>
      <c r="L15" s="1748"/>
      <c r="M15" s="1741"/>
      <c r="N15" s="1741"/>
      <c r="O15" s="1747"/>
      <c r="P15" s="3630"/>
      <c r="Q15" s="1305"/>
      <c r="R15" s="1306"/>
      <c r="S15" s="1307"/>
      <c r="T15" s="1306"/>
      <c r="U15" s="1307"/>
      <c r="V15" s="1306"/>
      <c r="W15" s="1307"/>
      <c r="X15" s="1301"/>
      <c r="Y15" s="3630"/>
      <c r="Z15" s="1308"/>
      <c r="AA15" s="1308">
        <v>1</v>
      </c>
      <c r="AB15" s="1308">
        <v>1</v>
      </c>
      <c r="AC15" s="1308">
        <v>1</v>
      </c>
    </row>
    <row r="16" spans="1:29" ht="41.4">
      <c r="A16" s="466"/>
      <c r="B16" s="2061" t="s">
        <v>1829</v>
      </c>
      <c r="C16" s="801"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2"/>
      <c r="L16" s="1748"/>
      <c r="M16" s="1741"/>
      <c r="N16" s="1741"/>
      <c r="O16" s="1747"/>
      <c r="P16" s="3630"/>
      <c r="Q16" s="1305" t="str">
        <f>B16</f>
        <v>公共配套设施</v>
      </c>
      <c r="R16" s="1306" t="s">
        <v>5</v>
      </c>
      <c r="S16" s="1307">
        <f>F16</f>
        <v>100</v>
      </c>
      <c r="T16" s="1306" t="s">
        <v>5</v>
      </c>
      <c r="U16" s="1307">
        <f>H16</f>
        <v>100</v>
      </c>
      <c r="V16" s="1306" t="s">
        <v>5</v>
      </c>
      <c r="W16" s="1307">
        <f>J16</f>
        <v>100</v>
      </c>
      <c r="X16" s="1301"/>
      <c r="Y16" s="3630"/>
      <c r="Z16" s="1308" t="str">
        <f>Q16</f>
        <v>公共配套设施</v>
      </c>
      <c r="AA16" s="1308">
        <f t="shared" si="3"/>
        <v>1</v>
      </c>
      <c r="AB16" s="1308">
        <f t="shared" si="4"/>
        <v>1</v>
      </c>
      <c r="AC16" s="1308">
        <f t="shared" si="5"/>
        <v>1</v>
      </c>
    </row>
    <row r="17" spans="1:29" ht="15">
      <c r="A17" s="466"/>
      <c r="B17" s="516"/>
      <c r="C17" s="802"/>
      <c r="D17" s="505"/>
      <c r="E17" s="526"/>
      <c r="F17" s="507"/>
      <c r="G17" s="526"/>
      <c r="H17" s="505"/>
      <c r="I17" s="526"/>
      <c r="J17" s="505"/>
      <c r="K17" s="823"/>
      <c r="L17" s="1748"/>
      <c r="M17" s="1741"/>
      <c r="N17" s="1741"/>
      <c r="O17" s="1747"/>
      <c r="P17" s="3630"/>
      <c r="Q17" s="1305"/>
      <c r="R17" s="1306"/>
      <c r="S17" s="1307"/>
      <c r="T17" s="1306"/>
      <c r="U17" s="1307"/>
      <c r="V17" s="1306"/>
      <c r="W17" s="1307"/>
      <c r="X17" s="1301"/>
      <c r="Y17" s="3630"/>
      <c r="Z17" s="1308"/>
      <c r="AA17" s="1308">
        <v>1</v>
      </c>
      <c r="AB17" s="1308">
        <v>1</v>
      </c>
      <c r="AC17" s="1308">
        <v>1</v>
      </c>
    </row>
    <row r="18" spans="1:29" ht="41.4">
      <c r="A18" s="466"/>
      <c r="B18" s="2049" t="s">
        <v>1841</v>
      </c>
      <c r="C18" s="801"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2"/>
      <c r="L18" s="1748"/>
      <c r="M18" s="1741"/>
      <c r="N18" s="1741"/>
      <c r="O18" s="1747"/>
      <c r="P18" s="3630"/>
      <c r="Q18" s="1305" t="str">
        <f>B18</f>
        <v>基础设施水平</v>
      </c>
      <c r="R18" s="1306" t="s">
        <v>5</v>
      </c>
      <c r="S18" s="1307">
        <f>F18</f>
        <v>100</v>
      </c>
      <c r="T18" s="1306" t="s">
        <v>5</v>
      </c>
      <c r="U18" s="1307">
        <f>H18</f>
        <v>100</v>
      </c>
      <c r="V18" s="1306" t="s">
        <v>5</v>
      </c>
      <c r="W18" s="1307">
        <f>J18</f>
        <v>100</v>
      </c>
      <c r="X18" s="1301"/>
      <c r="Y18" s="3630"/>
      <c r="Z18" s="1308" t="str">
        <f>Q18</f>
        <v>基础设施水平</v>
      </c>
      <c r="AA18" s="1308">
        <f>D18/F18</f>
        <v>1</v>
      </c>
      <c r="AB18" s="1308">
        <f>D18/H18</f>
        <v>1</v>
      </c>
      <c r="AC18" s="1308">
        <f>D18/J18</f>
        <v>1</v>
      </c>
    </row>
    <row r="19" spans="1:29" ht="15">
      <c r="A19" s="466"/>
      <c r="B19" s="528"/>
      <c r="C19" s="802"/>
      <c r="D19" s="509"/>
      <c r="E19" s="526"/>
      <c r="F19" s="507"/>
      <c r="G19" s="526"/>
      <c r="H19" s="505"/>
      <c r="I19" s="526"/>
      <c r="J19" s="505"/>
      <c r="K19" s="2060"/>
      <c r="L19" s="1748"/>
      <c r="M19" s="1741"/>
      <c r="N19" s="1741"/>
      <c r="O19" s="1747"/>
      <c r="P19" s="3630"/>
      <c r="Q19" s="1305"/>
      <c r="R19" s="1306"/>
      <c r="S19" s="1307"/>
      <c r="T19" s="1306"/>
      <c r="U19" s="1307"/>
      <c r="V19" s="1306"/>
      <c r="W19" s="1307"/>
      <c r="X19" s="1301"/>
      <c r="Y19" s="3630"/>
      <c r="Z19" s="1308"/>
      <c r="AA19" s="1308">
        <v>1</v>
      </c>
      <c r="AB19" s="1308">
        <v>1</v>
      </c>
      <c r="AC19" s="1308">
        <v>1</v>
      </c>
    </row>
    <row r="20" spans="1:29" ht="55.2">
      <c r="A20" s="466"/>
      <c r="B20" s="510" t="s">
        <v>744</v>
      </c>
      <c r="C20" s="801"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2"/>
      <c r="L20" s="1748"/>
      <c r="M20" s="1741"/>
      <c r="N20" s="1741"/>
      <c r="O20" s="1747"/>
      <c r="P20" s="3630"/>
      <c r="Q20" s="1305" t="str">
        <f>B20</f>
        <v>自然及人文环境</v>
      </c>
      <c r="R20" s="1306" t="s">
        <v>5</v>
      </c>
      <c r="S20" s="1307">
        <f>F20</f>
        <v>100</v>
      </c>
      <c r="T20" s="1306" t="s">
        <v>5</v>
      </c>
      <c r="U20" s="1307">
        <f>H20</f>
        <v>100</v>
      </c>
      <c r="V20" s="1306" t="s">
        <v>5</v>
      </c>
      <c r="W20" s="1307">
        <f>J20</f>
        <v>100</v>
      </c>
      <c r="X20" s="1301"/>
      <c r="Y20" s="3630"/>
      <c r="Z20" s="1308" t="str">
        <f>Q20</f>
        <v>自然及人文环境</v>
      </c>
      <c r="AA20" s="1308">
        <f t="shared" si="3"/>
        <v>1</v>
      </c>
      <c r="AB20" s="1308">
        <f t="shared" si="4"/>
        <v>1</v>
      </c>
      <c r="AC20" s="1308">
        <f t="shared" si="5"/>
        <v>1</v>
      </c>
    </row>
    <row r="21" spans="1:29" ht="15">
      <c r="A21" s="466"/>
      <c r="B21" s="516"/>
      <c r="C21" s="526"/>
      <c r="D21" s="505"/>
      <c r="E21" s="526"/>
      <c r="F21" s="507"/>
      <c r="G21" s="526"/>
      <c r="H21" s="505"/>
      <c r="I21" s="526"/>
      <c r="J21" s="505"/>
      <c r="K21" s="823"/>
      <c r="L21" s="1748"/>
      <c r="M21" s="1741"/>
      <c r="N21" s="1741"/>
      <c r="O21" s="1747"/>
      <c r="P21" s="3630"/>
      <c r="Q21" s="1305"/>
      <c r="R21" s="1306"/>
      <c r="S21" s="1307"/>
      <c r="T21" s="1306"/>
      <c r="U21" s="1307"/>
      <c r="V21" s="1306"/>
      <c r="W21" s="1307"/>
      <c r="X21" s="1301"/>
      <c r="Y21" s="3630"/>
      <c r="Z21" s="1308"/>
      <c r="AA21" s="1308">
        <v>1</v>
      </c>
      <c r="AB21" s="1308">
        <v>1</v>
      </c>
      <c r="AC21" s="1308">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8"/>
      <c r="M22" s="1741"/>
      <c r="N22" s="1741"/>
      <c r="O22" s="1747"/>
      <c r="P22" s="3630"/>
      <c r="Q22" s="1305" t="str">
        <f>B22</f>
        <v>楼层</v>
      </c>
      <c r="R22" s="1306" t="s">
        <v>5</v>
      </c>
      <c r="S22" s="1307">
        <f>F22</f>
        <v>100</v>
      </c>
      <c r="T22" s="1306" t="s">
        <v>5</v>
      </c>
      <c r="U22" s="1307">
        <f>H22</f>
        <v>100</v>
      </c>
      <c r="V22" s="1306" t="s">
        <v>5</v>
      </c>
      <c r="W22" s="1307">
        <f>J22</f>
        <v>100</v>
      </c>
      <c r="X22" s="1301"/>
      <c r="Y22" s="3630"/>
      <c r="Z22" s="1308" t="str">
        <f>Q22</f>
        <v>楼层</v>
      </c>
      <c r="AA22" s="1308">
        <f t="shared" si="3"/>
        <v>1</v>
      </c>
      <c r="AB22" s="1308">
        <f t="shared" si="4"/>
        <v>1</v>
      </c>
      <c r="AC22" s="1308">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8"/>
      <c r="M23" s="1741"/>
      <c r="N23" s="1741"/>
      <c r="O23" s="1747"/>
      <c r="P23" s="3630"/>
      <c r="Q23" s="1305">
        <f>B23</f>
        <v>111</v>
      </c>
      <c r="R23" s="1306" t="s">
        <v>5</v>
      </c>
      <c r="S23" s="1307">
        <f>F23</f>
        <v>100</v>
      </c>
      <c r="T23" s="1306" t="s">
        <v>5</v>
      </c>
      <c r="U23" s="1307">
        <f>H23</f>
        <v>100</v>
      </c>
      <c r="V23" s="1306" t="s">
        <v>5</v>
      </c>
      <c r="W23" s="1307">
        <f>J23</f>
        <v>100</v>
      </c>
      <c r="X23" s="1301"/>
      <c r="Y23" s="3630"/>
      <c r="Z23" s="1308">
        <f>Q23</f>
        <v>111</v>
      </c>
      <c r="AA23" s="1308">
        <f t="shared" si="3"/>
        <v>1</v>
      </c>
      <c r="AB23" s="1308">
        <f t="shared" si="4"/>
        <v>1</v>
      </c>
      <c r="AC23" s="1308">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8"/>
      <c r="M24" s="1741"/>
      <c r="N24" s="1741"/>
      <c r="O24" s="1747"/>
      <c r="P24" s="3630"/>
      <c r="Q24" s="1305">
        <f t="shared" ref="Q24:Q36" si="8">B24</f>
        <v>111</v>
      </c>
      <c r="R24" s="1306" t="s">
        <v>5</v>
      </c>
      <c r="S24" s="1307">
        <f>F24</f>
        <v>100</v>
      </c>
      <c r="T24" s="1306" t="s">
        <v>5</v>
      </c>
      <c r="U24" s="1307">
        <f>H24</f>
        <v>100</v>
      </c>
      <c r="V24" s="1306" t="s">
        <v>5</v>
      </c>
      <c r="W24" s="1307">
        <f>J24</f>
        <v>100</v>
      </c>
      <c r="X24" s="1301"/>
      <c r="Y24" s="3630"/>
      <c r="Z24" s="1308">
        <f>Q24</f>
        <v>111</v>
      </c>
      <c r="AA24" s="1308">
        <f t="shared" si="3"/>
        <v>1</v>
      </c>
      <c r="AB24" s="1308">
        <f t="shared" si="4"/>
        <v>1</v>
      </c>
      <c r="AC24" s="1308">
        <f t="shared" si="5"/>
        <v>1</v>
      </c>
    </row>
    <row r="25" spans="1:29" s="1060" customFormat="1" ht="15.6"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2"/>
      <c r="M25" s="1639"/>
      <c r="N25" s="1639"/>
      <c r="O25" s="1743"/>
      <c r="P25" s="3630"/>
      <c r="Q25" s="818">
        <f t="shared" si="8"/>
        <v>111</v>
      </c>
      <c r="R25" s="1302" t="s">
        <v>5</v>
      </c>
      <c r="S25" s="1303">
        <f>F25</f>
        <v>100</v>
      </c>
      <c r="T25" s="1302" t="s">
        <v>5</v>
      </c>
      <c r="U25" s="1303">
        <f>H25</f>
        <v>100</v>
      </c>
      <c r="V25" s="1302" t="s">
        <v>5</v>
      </c>
      <c r="W25" s="1303">
        <f>J25</f>
        <v>100</v>
      </c>
      <c r="X25" s="1304"/>
      <c r="Y25" s="3630"/>
      <c r="Z25" s="997">
        <f>Q25</f>
        <v>111</v>
      </c>
      <c r="AA25" s="1308">
        <f>D25/F25</f>
        <v>1</v>
      </c>
      <c r="AB25" s="1308">
        <f>D25/H25</f>
        <v>1</v>
      </c>
      <c r="AC25" s="1308">
        <f>D25/J25</f>
        <v>1</v>
      </c>
    </row>
    <row r="26" spans="1:29" ht="15">
      <c r="A26" s="2203" t="s">
        <v>2037</v>
      </c>
      <c r="B26" s="154" t="s">
        <v>746</v>
      </c>
      <c r="C26" s="849">
        <f>B1</f>
        <v>0</v>
      </c>
      <c r="D26" s="505">
        <v>100</v>
      </c>
      <c r="E26" s="526"/>
      <c r="F26" s="507">
        <f>SUMIF(79:79,E26,80:80)-SUMIF(79:79,C26,80:80)+100</f>
        <v>100</v>
      </c>
      <c r="G26" s="526"/>
      <c r="H26" s="505">
        <f>SUMIF(79:79,G26,80:80)-SUMIF(79:79,C26,80:80)+100</f>
        <v>100</v>
      </c>
      <c r="I26" s="526"/>
      <c r="J26" s="505">
        <f>SUMIF(79:79,I26,80:80)-SUMIF(79:79,C26,80:80)+100</f>
        <v>100</v>
      </c>
      <c r="K26" s="533"/>
      <c r="L26" s="1748"/>
      <c r="M26" s="1741"/>
      <c r="N26" s="1741"/>
      <c r="O26" s="1747"/>
      <c r="P26" s="3631" t="s">
        <v>499</v>
      </c>
      <c r="Q26" s="1305" t="str">
        <f t="shared" si="8"/>
        <v>配套类型</v>
      </c>
      <c r="R26" s="1306" t="s">
        <v>5</v>
      </c>
      <c r="S26" s="1307">
        <f t="shared" ref="S26:S36" si="9">F26</f>
        <v>100</v>
      </c>
      <c r="T26" s="1306" t="s">
        <v>5</v>
      </c>
      <c r="U26" s="1307">
        <f t="shared" ref="U26:U36" si="10">H26</f>
        <v>100</v>
      </c>
      <c r="V26" s="1306" t="s">
        <v>5</v>
      </c>
      <c r="W26" s="1307">
        <f t="shared" ref="W26:W36" si="11">J26</f>
        <v>100</v>
      </c>
      <c r="X26" s="1301"/>
      <c r="Y26" s="3632" t="s">
        <v>499</v>
      </c>
      <c r="Z26" s="1308" t="str">
        <f t="shared" ref="Z26:Z36" si="12">Q26</f>
        <v>配套类型</v>
      </c>
      <c r="AA26" s="1308">
        <f t="shared" si="3"/>
        <v>1</v>
      </c>
      <c r="AB26" s="1308">
        <f t="shared" si="4"/>
        <v>1</v>
      </c>
      <c r="AC26" s="1308">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6"/>
      <c r="M27" s="1770"/>
      <c r="N27" s="1770"/>
      <c r="O27" s="1749"/>
      <c r="P27" s="3632"/>
      <c r="Q27" s="819" t="str">
        <f t="shared" si="8"/>
        <v>项目停车位配比</v>
      </c>
      <c r="R27" s="1309" t="s">
        <v>5</v>
      </c>
      <c r="S27" s="1310">
        <f t="shared" si="9"/>
        <v>100</v>
      </c>
      <c r="T27" s="1309" t="s">
        <v>5</v>
      </c>
      <c r="U27" s="1310">
        <f t="shared" si="10"/>
        <v>100</v>
      </c>
      <c r="V27" s="1309" t="s">
        <v>5</v>
      </c>
      <c r="W27" s="1310">
        <f t="shared" si="11"/>
        <v>100</v>
      </c>
      <c r="X27" s="1311"/>
      <c r="Y27" s="3632"/>
      <c r="Z27" s="1312" t="str">
        <f t="shared" si="12"/>
        <v>项目停车位配比</v>
      </c>
      <c r="AA27" s="1308">
        <f t="shared" si="3"/>
        <v>1</v>
      </c>
      <c r="AB27" s="1308">
        <f t="shared" si="4"/>
        <v>1</v>
      </c>
      <c r="AC27" s="1308">
        <f t="shared" si="5"/>
        <v>1</v>
      </c>
    </row>
    <row r="28" spans="1:29" ht="15">
      <c r="A28" s="852"/>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8"/>
      <c r="M28" s="1741"/>
      <c r="N28" s="1741"/>
      <c r="O28" s="1747"/>
      <c r="P28" s="3632"/>
      <c r="Q28" s="1305" t="str">
        <f t="shared" si="8"/>
        <v>公共部分装修</v>
      </c>
      <c r="R28" s="1306" t="s">
        <v>5</v>
      </c>
      <c r="S28" s="1307">
        <f t="shared" si="9"/>
        <v>100</v>
      </c>
      <c r="T28" s="1306" t="s">
        <v>5</v>
      </c>
      <c r="U28" s="1307">
        <f t="shared" si="10"/>
        <v>100</v>
      </c>
      <c r="V28" s="1306" t="s">
        <v>5</v>
      </c>
      <c r="W28" s="1307">
        <f t="shared" si="11"/>
        <v>100</v>
      </c>
      <c r="X28" s="1301"/>
      <c r="Y28" s="3632"/>
      <c r="Z28" s="1308" t="str">
        <f t="shared" si="12"/>
        <v>公共部分装修</v>
      </c>
      <c r="AA28" s="1308">
        <f t="shared" si="3"/>
        <v>1</v>
      </c>
      <c r="AB28" s="1308">
        <f t="shared" si="4"/>
        <v>1</v>
      </c>
      <c r="AC28" s="1308">
        <f t="shared" si="5"/>
        <v>1</v>
      </c>
    </row>
    <row r="29" spans="1:29" ht="15">
      <c r="A29" s="852"/>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48"/>
      <c r="M29" s="1741"/>
      <c r="N29" s="1741"/>
      <c r="O29" s="1747"/>
      <c r="P29" s="3632"/>
      <c r="Q29" s="1305" t="str">
        <f t="shared" si="8"/>
        <v>成新率</v>
      </c>
      <c r="R29" s="1306" t="s">
        <v>5</v>
      </c>
      <c r="S29" s="1307" t="e">
        <f t="shared" si="9"/>
        <v>#N/A</v>
      </c>
      <c r="T29" s="1306" t="s">
        <v>5</v>
      </c>
      <c r="U29" s="1307" t="e">
        <f t="shared" si="10"/>
        <v>#N/A</v>
      </c>
      <c r="V29" s="1306" t="s">
        <v>5</v>
      </c>
      <c r="W29" s="1307" t="e">
        <f t="shared" si="11"/>
        <v>#N/A</v>
      </c>
      <c r="X29" s="1301"/>
      <c r="Y29" s="3632"/>
      <c r="Z29" s="1308" t="str">
        <f t="shared" si="12"/>
        <v>成新率</v>
      </c>
      <c r="AA29" s="1308" t="e">
        <f t="shared" si="3"/>
        <v>#N/A</v>
      </c>
      <c r="AB29" s="1308" t="e">
        <f t="shared" si="4"/>
        <v>#N/A</v>
      </c>
      <c r="AC29" s="1308" t="e">
        <f t="shared" si="5"/>
        <v>#N/A</v>
      </c>
    </row>
    <row r="30" spans="1:29" ht="15">
      <c r="A30" s="852"/>
      <c r="B30" s="235" t="s">
        <v>750</v>
      </c>
      <c r="C30" s="853"/>
      <c r="D30" s="490">
        <v>100</v>
      </c>
      <c r="E30" s="853"/>
      <c r="F30" s="525">
        <f>SUMIF(88:88,E30,89:89)-SUMIF(88:88,C30,89:89)+100</f>
        <v>100</v>
      </c>
      <c r="G30" s="853"/>
      <c r="H30" s="490">
        <f>SUMIF(88:88,E30,89:89)-SUMIF(88:88,C30,89:89)+100</f>
        <v>100</v>
      </c>
      <c r="I30" s="853"/>
      <c r="J30" s="490">
        <f>SUMIF(88:88,E30,89:89)-SUMIF(88:88,C30,89:89)+100</f>
        <v>100</v>
      </c>
      <c r="K30" s="533"/>
      <c r="L30" s="1748"/>
      <c r="M30" s="1741"/>
      <c r="N30" s="1741"/>
      <c r="O30" s="1747"/>
      <c r="P30" s="3632"/>
      <c r="Q30" s="1305" t="str">
        <f t="shared" si="8"/>
        <v>物业等级</v>
      </c>
      <c r="R30" s="1306" t="s">
        <v>5</v>
      </c>
      <c r="S30" s="1307">
        <f t="shared" si="9"/>
        <v>100</v>
      </c>
      <c r="T30" s="1306" t="s">
        <v>5</v>
      </c>
      <c r="U30" s="1307">
        <f t="shared" si="10"/>
        <v>100</v>
      </c>
      <c r="V30" s="1306" t="s">
        <v>5</v>
      </c>
      <c r="W30" s="1307">
        <f t="shared" si="11"/>
        <v>100</v>
      </c>
      <c r="X30" s="1301"/>
      <c r="Y30" s="3632"/>
      <c r="Z30" s="1308" t="str">
        <f t="shared" si="12"/>
        <v>物业等级</v>
      </c>
      <c r="AA30" s="1308">
        <f t="shared" si="3"/>
        <v>1</v>
      </c>
      <c r="AB30" s="1308">
        <f t="shared" si="4"/>
        <v>1</v>
      </c>
      <c r="AC30" s="1308">
        <f t="shared" si="5"/>
        <v>1</v>
      </c>
    </row>
    <row r="31" spans="1:29" s="1060" customFormat="1" ht="15">
      <c r="A31" s="854"/>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2"/>
      <c r="M31" s="1639"/>
      <c r="N31" s="1639"/>
      <c r="O31" s="1743"/>
      <c r="P31" s="3632"/>
      <c r="Q31" s="818" t="str">
        <f t="shared" si="8"/>
        <v>停车位面积</v>
      </c>
      <c r="R31" s="1302" t="s">
        <v>5</v>
      </c>
      <c r="S31" s="1303" t="e">
        <f t="shared" si="9"/>
        <v>#N/A</v>
      </c>
      <c r="T31" s="1302" t="s">
        <v>5</v>
      </c>
      <c r="U31" s="1303" t="e">
        <f t="shared" si="10"/>
        <v>#N/A</v>
      </c>
      <c r="V31" s="1302" t="s">
        <v>5</v>
      </c>
      <c r="W31" s="1303" t="e">
        <f t="shared" si="11"/>
        <v>#N/A</v>
      </c>
      <c r="X31" s="1304"/>
      <c r="Y31" s="3632"/>
      <c r="Z31" s="997" t="str">
        <f t="shared" si="12"/>
        <v>停车位面积</v>
      </c>
      <c r="AA31" s="997" t="e">
        <f t="shared" si="3"/>
        <v>#N/A</v>
      </c>
      <c r="AB31" s="997" t="e">
        <f t="shared" si="4"/>
        <v>#N/A</v>
      </c>
      <c r="AC31" s="997" t="e">
        <f t="shared" si="5"/>
        <v>#N/A</v>
      </c>
    </row>
    <row r="32" spans="1:29" ht="15">
      <c r="A32" s="852"/>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8"/>
      <c r="M32" s="1741"/>
      <c r="N32" s="1741"/>
      <c r="O32" s="1747"/>
      <c r="P32" s="3632" t="s">
        <v>499</v>
      </c>
      <c r="Q32" s="1305" t="str">
        <f t="shared" si="8"/>
        <v>车位类型</v>
      </c>
      <c r="R32" s="1306" t="s">
        <v>5</v>
      </c>
      <c r="S32" s="1307">
        <f t="shared" si="9"/>
        <v>100</v>
      </c>
      <c r="T32" s="1306" t="s">
        <v>5</v>
      </c>
      <c r="U32" s="1307">
        <f t="shared" si="10"/>
        <v>100</v>
      </c>
      <c r="V32" s="1306" t="s">
        <v>5</v>
      </c>
      <c r="W32" s="1307">
        <f t="shared" si="11"/>
        <v>100</v>
      </c>
      <c r="X32" s="1301"/>
      <c r="Y32" s="3632" t="s">
        <v>499</v>
      </c>
      <c r="Z32" s="1308" t="str">
        <f t="shared" si="12"/>
        <v>车位类型</v>
      </c>
      <c r="AA32" s="1308">
        <f t="shared" si="3"/>
        <v>1</v>
      </c>
      <c r="AB32" s="1308">
        <f t="shared" si="4"/>
        <v>1</v>
      </c>
      <c r="AC32" s="1308">
        <f t="shared" si="5"/>
        <v>1</v>
      </c>
    </row>
    <row r="33" spans="1:29" ht="15">
      <c r="A33" s="852"/>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8"/>
      <c r="M33" s="1741"/>
      <c r="N33" s="1741"/>
      <c r="O33" s="1747"/>
      <c r="P33" s="3632"/>
      <c r="Q33" s="1305" t="str">
        <f t="shared" si="8"/>
        <v>是否直接入户</v>
      </c>
      <c r="R33" s="1306" t="s">
        <v>5</v>
      </c>
      <c r="S33" s="1307">
        <f t="shared" si="9"/>
        <v>100</v>
      </c>
      <c r="T33" s="1306" t="s">
        <v>5</v>
      </c>
      <c r="U33" s="1307">
        <f t="shared" si="10"/>
        <v>100</v>
      </c>
      <c r="V33" s="1306" t="s">
        <v>5</v>
      </c>
      <c r="W33" s="1307">
        <f t="shared" si="11"/>
        <v>100</v>
      </c>
      <c r="X33" s="1301"/>
      <c r="Y33" s="3632"/>
      <c r="Z33" s="1308" t="str">
        <f t="shared" si="12"/>
        <v>是否直接入户</v>
      </c>
      <c r="AA33" s="1308">
        <f t="shared" si="3"/>
        <v>1</v>
      </c>
      <c r="AB33" s="1308">
        <f t="shared" si="4"/>
        <v>1</v>
      </c>
      <c r="AC33" s="1308">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8"/>
      <c r="M34" s="1741"/>
      <c r="N34" s="1741"/>
      <c r="O34" s="1747"/>
      <c r="P34" s="3632"/>
      <c r="Q34" s="1305">
        <f t="shared" si="8"/>
        <v>111</v>
      </c>
      <c r="R34" s="1306" t="s">
        <v>5</v>
      </c>
      <c r="S34" s="1307">
        <f t="shared" si="9"/>
        <v>100</v>
      </c>
      <c r="T34" s="1306" t="s">
        <v>5</v>
      </c>
      <c r="U34" s="1307">
        <f t="shared" si="10"/>
        <v>100</v>
      </c>
      <c r="V34" s="1306" t="s">
        <v>5</v>
      </c>
      <c r="W34" s="1307">
        <f t="shared" si="11"/>
        <v>100</v>
      </c>
      <c r="X34" s="1301"/>
      <c r="Y34" s="3632"/>
      <c r="Z34" s="1308">
        <f t="shared" si="12"/>
        <v>111</v>
      </c>
      <c r="AA34" s="1308">
        <f t="shared" si="3"/>
        <v>1</v>
      </c>
      <c r="AB34" s="1308">
        <f t="shared" si="4"/>
        <v>1</v>
      </c>
      <c r="AC34" s="1308">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6"/>
      <c r="M35" s="1770"/>
      <c r="N35" s="1770"/>
      <c r="O35" s="1749"/>
      <c r="P35" s="3632"/>
      <c r="Q35" s="819">
        <f t="shared" si="8"/>
        <v>111</v>
      </c>
      <c r="R35" s="1309" t="s">
        <v>5</v>
      </c>
      <c r="S35" s="1310">
        <f t="shared" si="9"/>
        <v>100</v>
      </c>
      <c r="T35" s="1309" t="s">
        <v>5</v>
      </c>
      <c r="U35" s="1310">
        <f t="shared" si="10"/>
        <v>100</v>
      </c>
      <c r="V35" s="1309" t="s">
        <v>5</v>
      </c>
      <c r="W35" s="1310">
        <f t="shared" si="11"/>
        <v>100</v>
      </c>
      <c r="X35" s="1311"/>
      <c r="Y35" s="3632"/>
      <c r="Z35" s="1312">
        <f t="shared" si="12"/>
        <v>111</v>
      </c>
      <c r="AA35" s="1308">
        <f t="shared" si="3"/>
        <v>1</v>
      </c>
      <c r="AB35" s="1308">
        <f t="shared" si="4"/>
        <v>1</v>
      </c>
      <c r="AC35" s="1308">
        <f t="shared" si="5"/>
        <v>1</v>
      </c>
    </row>
    <row r="36" spans="1:29" ht="15.6"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8"/>
      <c r="M36" s="1741"/>
      <c r="N36" s="1741"/>
      <c r="O36" s="1747"/>
      <c r="P36" s="3632"/>
      <c r="Q36" s="1305">
        <f t="shared" si="8"/>
        <v>111</v>
      </c>
      <c r="R36" s="1306" t="s">
        <v>5</v>
      </c>
      <c r="S36" s="1307">
        <f t="shared" si="9"/>
        <v>100</v>
      </c>
      <c r="T36" s="1306" t="s">
        <v>5</v>
      </c>
      <c r="U36" s="1307">
        <f t="shared" si="10"/>
        <v>100</v>
      </c>
      <c r="V36" s="1306" t="s">
        <v>5</v>
      </c>
      <c r="W36" s="1307">
        <f t="shared" si="11"/>
        <v>100</v>
      </c>
      <c r="X36" s="1301"/>
      <c r="Y36" s="3632"/>
      <c r="Z36" s="1308">
        <f t="shared" si="12"/>
        <v>111</v>
      </c>
      <c r="AA36" s="1308">
        <f t="shared" si="3"/>
        <v>1</v>
      </c>
      <c r="AB36" s="1308">
        <f t="shared" si="4"/>
        <v>1</v>
      </c>
      <c r="AC36" s="1308">
        <f t="shared" si="5"/>
        <v>1</v>
      </c>
    </row>
    <row r="37" spans="1:29" ht="14.4">
      <c r="A37" s="1534" t="s">
        <v>1595</v>
      </c>
      <c r="B37" s="1535" t="s">
        <v>1596</v>
      </c>
      <c r="C37" s="2080" t="s">
        <v>0</v>
      </c>
      <c r="D37" s="559"/>
      <c r="E37" s="560"/>
      <c r="F37" s="561"/>
      <c r="G37" s="562"/>
      <c r="H37" s="563"/>
      <c r="I37" s="560"/>
      <c r="J37" s="563"/>
      <c r="K37" s="1334"/>
      <c r="L37" s="1750"/>
      <c r="M37" s="1741"/>
      <c r="N37" s="1741"/>
      <c r="O37" s="1741"/>
      <c r="P37" s="3627" t="str">
        <f>A37</f>
        <v>成交单价</v>
      </c>
      <c r="Q37" s="3627"/>
      <c r="R37" s="3643">
        <f>E37</f>
        <v>0</v>
      </c>
      <c r="S37" s="3643"/>
      <c r="T37" s="3643">
        <f>G37</f>
        <v>0</v>
      </c>
      <c r="U37" s="3643"/>
      <c r="V37" s="3643">
        <f>I37</f>
        <v>0</v>
      </c>
      <c r="W37" s="3643"/>
      <c r="X37" s="799"/>
      <c r="Y37" s="1313"/>
      <c r="Z37" s="799"/>
      <c r="AA37" s="799"/>
      <c r="AB37" s="799"/>
      <c r="AC37" s="799"/>
    </row>
    <row r="38" spans="1:29" ht="15" thickBot="1">
      <c r="A38" s="564" t="s">
        <v>2042</v>
      </c>
      <c r="B38" s="813"/>
      <c r="C38" s="2081" t="e">
        <f>R39</f>
        <v>#DIV/0!</v>
      </c>
      <c r="D38" s="2549" t="s">
        <v>2261</v>
      </c>
      <c r="E38" s="2082" t="e">
        <f>R38</f>
        <v>#DIV/0!</v>
      </c>
      <c r="F38" s="2550"/>
      <c r="G38" s="2081" t="e">
        <f>T38</f>
        <v>#DIV/0!</v>
      </c>
      <c r="H38" s="2550"/>
      <c r="I38" s="2082" t="e">
        <f>V38</f>
        <v>#DIV/0!</v>
      </c>
      <c r="J38" s="2550"/>
      <c r="K38" s="2557">
        <f>F38+H38+J38</f>
        <v>0</v>
      </c>
      <c r="L38" s="1750"/>
      <c r="M38" s="1741"/>
      <c r="N38" s="1741"/>
      <c r="O38" s="1741"/>
      <c r="P38" s="3627" t="str">
        <f>A38</f>
        <v>比较价格（元/平方米）</v>
      </c>
      <c r="Q38" s="3627"/>
      <c r="R38" s="3643" t="e">
        <f>IF(F1="售价",ROUND(PRODUCT(R37,AA7:AA36),0),ROUND(PRODUCT(R37,AA7:AA36),1))</f>
        <v>#DIV/0!</v>
      </c>
      <c r="S38" s="3643"/>
      <c r="T38" s="3643" t="e">
        <f>IF(F1="售价",ROUND(PRODUCT(T37,AB7:AB36),0),ROUND(PRODUCT(T37,AB7:AB36),1))</f>
        <v>#DIV/0!</v>
      </c>
      <c r="U38" s="3643"/>
      <c r="V38" s="3643" t="e">
        <f>IF(F1="售价",ROUND(PRODUCT(V37,AC7:AC36),0),ROUND(PRODUCT(V37,AC7:AC36),1))</f>
        <v>#DIV/0!</v>
      </c>
      <c r="W38" s="3643"/>
      <c r="X38" s="799"/>
      <c r="Y38" s="799"/>
      <c r="Z38" s="799"/>
      <c r="AA38" s="799"/>
      <c r="AB38" s="799"/>
      <c r="AC38" s="799"/>
    </row>
    <row r="39" spans="1:29" ht="15" thickBot="1">
      <c r="A39" s="568" t="s">
        <v>2198</v>
      </c>
      <c r="B39" s="569"/>
      <c r="C39" s="469" t="e">
        <f>R39</f>
        <v>#DIV/0!</v>
      </c>
      <c r="D39" s="469"/>
      <c r="E39" s="469"/>
      <c r="F39" s="469"/>
      <c r="G39" s="469"/>
      <c r="H39" s="469"/>
      <c r="I39" s="469"/>
      <c r="J39" s="469"/>
      <c r="K39" s="1335"/>
      <c r="L39" s="1750"/>
      <c r="M39" s="1741"/>
      <c r="N39" s="1741"/>
      <c r="O39" s="1741"/>
      <c r="P39" s="3633" t="str">
        <f>A39</f>
        <v>估价对象XX用房的比较价格（楼面单价，元/平方米）</v>
      </c>
      <c r="Q39" s="3634"/>
      <c r="R39" s="3740" t="e">
        <f>IF(F1="售价",ROUND(IF(D38="简单平均",AVERAGE(R38:W38),R38*F38+T38*H38+V38*J38),0),ROUND(IF(D38="简单平均",AVERAGE(R38:V38),R38*F38+T38*H38+V38*J38),1))</f>
        <v>#DIV/0!</v>
      </c>
      <c r="S39" s="3740"/>
      <c r="T39" s="3740"/>
      <c r="U39" s="3740"/>
      <c r="V39" s="3740"/>
      <c r="W39" s="3740"/>
      <c r="X39" s="799"/>
      <c r="Y39" s="799"/>
      <c r="Z39" s="799"/>
      <c r="AA39" s="799"/>
      <c r="AB39" s="799"/>
      <c r="AC39" s="799"/>
    </row>
    <row r="40" spans="1:29">
      <c r="A40" s="2720"/>
      <c r="B40" s="2720"/>
      <c r="C40" s="2720"/>
      <c r="D40" s="2720"/>
      <c r="E40" s="2720"/>
      <c r="F40" s="2720"/>
      <c r="G40" s="2722"/>
      <c r="H40" s="2720"/>
      <c r="I40" s="2720"/>
      <c r="J40" s="2720"/>
      <c r="K40" s="2723"/>
      <c r="L40" s="1754"/>
      <c r="M40" s="1741"/>
      <c r="N40" s="1741"/>
      <c r="O40" s="1741"/>
      <c r="P40" s="1741"/>
      <c r="Q40" s="1741"/>
      <c r="R40" s="1741"/>
      <c r="S40" s="1741"/>
      <c r="T40" s="1741"/>
      <c r="U40" s="1741"/>
      <c r="V40" s="1741"/>
      <c r="W40" s="1741"/>
      <c r="X40" s="1741"/>
      <c r="Y40" s="1741"/>
      <c r="Z40" s="1741"/>
      <c r="AA40" s="1741"/>
      <c r="AB40" s="1741"/>
      <c r="AC40" s="1741"/>
    </row>
    <row r="41" spans="1:29">
      <c r="A41" s="2720"/>
      <c r="B41" s="2720"/>
      <c r="C41" s="2720"/>
      <c r="D41" s="2720"/>
      <c r="E41" s="2720"/>
      <c r="F41" s="2720"/>
      <c r="G41" s="2720"/>
      <c r="H41" s="2720"/>
      <c r="I41" s="2720"/>
      <c r="J41" s="2720"/>
      <c r="K41" s="2723"/>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20"/>
      <c r="B42" s="2720"/>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3"/>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20"/>
      <c r="B43" s="2720"/>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3"/>
      <c r="L43" s="1754"/>
      <c r="M43" s="1741"/>
      <c r="N43" s="1741"/>
      <c r="O43" s="1741"/>
      <c r="P43" s="1741"/>
      <c r="Q43" s="1741"/>
      <c r="R43" s="1741"/>
      <c r="S43" s="1741"/>
      <c r="T43" s="1741"/>
      <c r="U43" s="1741"/>
      <c r="V43" s="1741"/>
      <c r="W43" s="1741"/>
      <c r="X43" s="1741"/>
      <c r="Y43" s="1741"/>
      <c r="Z43" s="1741"/>
      <c r="AA43" s="1741"/>
      <c r="AB43" s="1741"/>
      <c r="AC43" s="1741"/>
    </row>
    <row r="44" spans="1:29" s="1139" customFormat="1" ht="13.5" customHeight="1">
      <c r="A44" s="2721"/>
      <c r="B44" s="2721"/>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4"/>
      <c r="L44" s="1757"/>
      <c r="M44" s="1751"/>
      <c r="N44" s="1751"/>
      <c r="O44" s="1751"/>
      <c r="P44" s="1751"/>
      <c r="Q44" s="1751"/>
      <c r="R44" s="1751"/>
      <c r="S44" s="1751"/>
      <c r="T44" s="1751"/>
      <c r="U44" s="1751"/>
      <c r="V44" s="1751"/>
      <c r="W44" s="1751"/>
      <c r="X44" s="1751"/>
      <c r="Y44" s="1751"/>
      <c r="Z44" s="1751"/>
      <c r="AA44" s="1751"/>
      <c r="AB44" s="1751"/>
      <c r="AC44" s="1751"/>
    </row>
    <row r="45" spans="1:29" s="1139"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2.2" thickBot="1">
      <c r="A47" s="1316" t="s">
        <v>522</v>
      </c>
      <c r="B47" s="799"/>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41" customFormat="1" ht="14.4">
      <c r="A48" s="592" t="s">
        <v>478</v>
      </c>
      <c r="B48" s="593"/>
      <c r="C48" s="2112" t="str">
        <f>YEAR(C7)&amp;"-"&amp;MONTH(C7)</f>
        <v>2025-7</v>
      </c>
      <c r="D48" s="2114">
        <f>EDATE(C48,-1)</f>
        <v>45809</v>
      </c>
      <c r="E48" s="2114">
        <f t="shared" ref="E48:O48" si="13">EDATE(D48,-1)</f>
        <v>45778</v>
      </c>
      <c r="F48" s="2114">
        <f t="shared" si="13"/>
        <v>45748</v>
      </c>
      <c r="G48" s="2114">
        <f t="shared" si="13"/>
        <v>45717</v>
      </c>
      <c r="H48" s="2114">
        <f t="shared" si="13"/>
        <v>45689</v>
      </c>
      <c r="I48" s="2114">
        <f t="shared" si="13"/>
        <v>45658</v>
      </c>
      <c r="J48" s="2114">
        <f t="shared" si="13"/>
        <v>45627</v>
      </c>
      <c r="K48" s="2114">
        <f t="shared" si="13"/>
        <v>45597</v>
      </c>
      <c r="L48" s="2114">
        <f t="shared" si="13"/>
        <v>45566</v>
      </c>
      <c r="M48" s="2114">
        <f t="shared" si="13"/>
        <v>45536</v>
      </c>
      <c r="N48" s="2114">
        <f t="shared" si="13"/>
        <v>45505</v>
      </c>
      <c r="O48" s="2114">
        <f t="shared" si="13"/>
        <v>45474</v>
      </c>
      <c r="P48" s="1764"/>
      <c r="Q48" s="1764"/>
      <c r="R48" s="1764"/>
      <c r="S48" s="1764"/>
      <c r="T48" s="1764"/>
      <c r="U48" s="1764"/>
      <c r="V48" s="1764"/>
      <c r="W48" s="1764"/>
      <c r="X48" s="1764"/>
      <c r="Y48" s="1764"/>
      <c r="Z48" s="1764"/>
      <c r="AA48" s="1764"/>
      <c r="AB48" s="1764"/>
      <c r="AC48" s="1764"/>
    </row>
    <row r="49" spans="1:29" s="1060" customFormat="1">
      <c r="A49" s="527"/>
      <c r="B49" s="594"/>
      <c r="C49" s="2113">
        <v>100</v>
      </c>
      <c r="D49" s="596"/>
      <c r="E49" s="596"/>
      <c r="F49" s="596"/>
      <c r="G49" s="596"/>
      <c r="H49" s="596"/>
      <c r="I49" s="596"/>
      <c r="J49" s="596"/>
      <c r="K49" s="596"/>
      <c r="L49" s="596"/>
      <c r="M49" s="487"/>
      <c r="N49" s="596"/>
      <c r="O49" s="597"/>
      <c r="P49" s="1762"/>
      <c r="Q49" s="1639"/>
      <c r="R49" s="1639"/>
      <c r="S49" s="1639"/>
      <c r="T49" s="1639"/>
      <c r="U49" s="1639"/>
      <c r="V49" s="1639"/>
      <c r="W49" s="1639"/>
      <c r="X49" s="1639"/>
      <c r="Y49" s="1639"/>
      <c r="Z49" s="1639"/>
      <c r="AA49" s="1639"/>
      <c r="AB49" s="1639"/>
      <c r="AC49" s="1639"/>
    </row>
    <row r="50" spans="1:29" s="1060" customFormat="1" ht="15" thickBot="1">
      <c r="A50" s="262" t="s">
        <v>523</v>
      </c>
      <c r="B50" s="598"/>
      <c r="C50" s="599"/>
      <c r="D50" s="600"/>
      <c r="E50" s="600"/>
      <c r="F50" s="600"/>
      <c r="G50" s="600"/>
      <c r="H50" s="600"/>
      <c r="I50" s="600"/>
      <c r="J50" s="600"/>
      <c r="K50" s="600"/>
      <c r="L50" s="600"/>
      <c r="M50" s="601"/>
      <c r="N50" s="600"/>
      <c r="O50" s="602"/>
      <c r="P50" s="1762"/>
      <c r="Q50" s="1762"/>
      <c r="R50" s="1639"/>
      <c r="S50" s="1639"/>
      <c r="T50" s="1639"/>
      <c r="U50" s="1639"/>
      <c r="V50" s="1639"/>
      <c r="W50" s="1639"/>
      <c r="X50" s="1639"/>
      <c r="Y50" s="1639"/>
      <c r="Z50" s="1639"/>
      <c r="AA50" s="1639"/>
      <c r="AB50" s="1639"/>
      <c r="AC50" s="1639"/>
    </row>
    <row r="51" spans="1:29" s="1060" customFormat="1" ht="14.4">
      <c r="A51" s="603" t="s">
        <v>480</v>
      </c>
      <c r="B51" s="594"/>
      <c r="C51" s="604" t="s">
        <v>524</v>
      </c>
      <c r="D51" s="80"/>
      <c r="E51" s="80"/>
      <c r="F51" s="80"/>
      <c r="G51" s="80"/>
      <c r="H51" s="80"/>
      <c r="I51" s="80"/>
      <c r="J51" s="80"/>
      <c r="K51" s="80"/>
      <c r="L51" s="605"/>
      <c r="M51" s="606"/>
      <c r="N51" s="1765"/>
      <c r="O51" s="1765"/>
      <c r="P51" s="1646"/>
      <c r="Q51" s="1762"/>
      <c r="R51" s="1639"/>
      <c r="S51" s="1639"/>
      <c r="T51" s="1639"/>
      <c r="U51" s="1639"/>
      <c r="V51" s="1639"/>
      <c r="W51" s="1639"/>
      <c r="X51" s="1639"/>
      <c r="Y51" s="1639"/>
      <c r="Z51" s="1639"/>
      <c r="AA51" s="1639"/>
      <c r="AB51" s="1639"/>
      <c r="AC51" s="1639"/>
    </row>
    <row r="52" spans="1:29" s="1060" customFormat="1" ht="14.4" thickBot="1">
      <c r="A52" s="603"/>
      <c r="B52" s="594"/>
      <c r="C52" s="595">
        <v>100</v>
      </c>
      <c r="D52" s="596"/>
      <c r="E52" s="596"/>
      <c r="F52" s="596"/>
      <c r="G52" s="596"/>
      <c r="H52" s="596"/>
      <c r="I52" s="596"/>
      <c r="J52" s="596"/>
      <c r="K52" s="596"/>
      <c r="L52" s="596"/>
      <c r="M52" s="597"/>
      <c r="N52" s="1765"/>
      <c r="O52" s="1765"/>
      <c r="P52" s="1762"/>
      <c r="Q52" s="1762"/>
      <c r="R52" s="1639"/>
      <c r="S52" s="1639"/>
      <c r="T52" s="1639"/>
      <c r="U52" s="1639"/>
      <c r="V52" s="1639"/>
      <c r="W52" s="1639"/>
      <c r="X52" s="1639"/>
      <c r="Y52" s="1639"/>
      <c r="Z52" s="1639"/>
      <c r="AA52" s="1639"/>
      <c r="AB52" s="1639"/>
      <c r="AC52" s="1639"/>
    </row>
    <row r="53" spans="1:29" ht="14.4">
      <c r="A53" s="607" t="s">
        <v>525</v>
      </c>
      <c r="B53" s="608" t="s">
        <v>483</v>
      </c>
      <c r="C53" s="645">
        <f>C9</f>
        <v>0</v>
      </c>
      <c r="D53" s="547"/>
      <c r="E53" s="547"/>
      <c r="F53" s="547"/>
      <c r="G53" s="547"/>
      <c r="H53" s="547"/>
      <c r="I53" s="547"/>
      <c r="J53" s="547"/>
      <c r="K53" s="609"/>
      <c r="L53" s="610"/>
      <c r="M53" s="611"/>
      <c r="N53" s="1766"/>
      <c r="O53" s="1766"/>
      <c r="P53" s="1765"/>
      <c r="Q53" s="1762"/>
      <c r="R53" s="1741"/>
      <c r="S53" s="1741"/>
      <c r="T53" s="1741"/>
      <c r="U53" s="1741"/>
      <c r="V53" s="1741"/>
      <c r="W53" s="1741"/>
      <c r="X53" s="1741"/>
      <c r="Y53" s="1741"/>
      <c r="Z53" s="1741"/>
      <c r="AA53" s="1741"/>
      <c r="AB53" s="1741"/>
      <c r="AC53" s="1741"/>
    </row>
    <row r="54" spans="1:29" ht="14.4" thickBot="1">
      <c r="A54" s="482"/>
      <c r="B54" s="612"/>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29.4" thickTop="1">
      <c r="A55" s="482"/>
      <c r="B55" s="615" t="s">
        <v>486</v>
      </c>
      <c r="C55" s="658"/>
      <c r="D55" s="658"/>
      <c r="E55" s="658"/>
      <c r="F55" s="658"/>
      <c r="G55" s="658"/>
      <c r="H55" s="658"/>
      <c r="I55" s="658"/>
      <c r="J55" s="658"/>
      <c r="K55" s="659"/>
      <c r="L55" s="660"/>
      <c r="M55" s="661"/>
      <c r="N55" s="1766"/>
      <c r="O55" s="1766"/>
      <c r="P55" s="1765"/>
      <c r="Q55" s="1762"/>
      <c r="R55" s="1741"/>
      <c r="S55" s="1741"/>
      <c r="T55" s="1741"/>
      <c r="U55" s="1741"/>
      <c r="V55" s="1741"/>
      <c r="W55" s="1741"/>
      <c r="X55" s="1741"/>
      <c r="Y55" s="1741"/>
      <c r="Z55" s="1741"/>
      <c r="AA55" s="1741"/>
      <c r="AB55" s="1741"/>
      <c r="AC55" s="1741"/>
    </row>
    <row r="56" spans="1:29" ht="14.4" thickBot="1">
      <c r="A56" s="482"/>
      <c r="B56" s="620"/>
      <c r="C56" s="613"/>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ht="14.4" thickTop="1">
      <c r="A57" s="482"/>
      <c r="B57" s="856">
        <f>B11</f>
        <v>111</v>
      </c>
      <c r="C57" s="491"/>
      <c r="D57" s="491"/>
      <c r="E57" s="491"/>
      <c r="F57" s="491"/>
      <c r="G57" s="491"/>
      <c r="H57" s="491"/>
      <c r="I57" s="491"/>
      <c r="J57" s="491"/>
      <c r="K57" s="626"/>
      <c r="L57" s="627"/>
      <c r="M57" s="628"/>
      <c r="N57" s="1766"/>
      <c r="O57" s="1766"/>
      <c r="P57" s="1765"/>
      <c r="Q57" s="1762"/>
      <c r="R57" s="1741"/>
      <c r="S57" s="1741"/>
      <c r="T57" s="1741"/>
      <c r="U57" s="1741"/>
      <c r="V57" s="1741"/>
      <c r="W57" s="1741"/>
      <c r="X57" s="1741"/>
      <c r="Y57" s="1741"/>
      <c r="Z57" s="1741"/>
      <c r="AA57" s="1741"/>
      <c r="AB57" s="1741"/>
      <c r="AC57" s="1741"/>
    </row>
    <row r="58" spans="1:29" ht="14.4" thickBot="1">
      <c r="A58" s="482"/>
      <c r="B58" s="612"/>
      <c r="C58" s="634"/>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s="1134" customFormat="1" ht="14.4" thickTop="1">
      <c r="A59" s="629"/>
      <c r="B59" s="615">
        <f>B12</f>
        <v>111</v>
      </c>
      <c r="C59" s="491"/>
      <c r="D59" s="491"/>
      <c r="E59" s="491"/>
      <c r="F59" s="491"/>
      <c r="G59" s="630"/>
      <c r="H59" s="631"/>
      <c r="I59" s="631"/>
      <c r="J59" s="631"/>
      <c r="K59" s="631"/>
      <c r="L59" s="632"/>
      <c r="M59" s="633"/>
      <c r="N59" s="1768"/>
      <c r="O59" s="1768"/>
      <c r="P59" s="1768"/>
      <c r="Q59" s="1769"/>
      <c r="R59" s="1770"/>
      <c r="S59" s="1770"/>
      <c r="T59" s="1770"/>
      <c r="U59" s="1770"/>
      <c r="V59" s="1770"/>
      <c r="W59" s="1770"/>
      <c r="X59" s="1770"/>
      <c r="Y59" s="1770"/>
      <c r="Z59" s="1770"/>
      <c r="AA59" s="1770"/>
      <c r="AB59" s="1770"/>
      <c r="AC59" s="1770"/>
    </row>
    <row r="60" spans="1:29" s="1134" customFormat="1" ht="14.4" thickBot="1">
      <c r="A60" s="629"/>
      <c r="B60" s="620"/>
      <c r="C60" s="634"/>
      <c r="D60" s="613"/>
      <c r="E60" s="613"/>
      <c r="F60" s="613"/>
      <c r="G60" s="613"/>
      <c r="H60" s="613"/>
      <c r="I60" s="613"/>
      <c r="J60" s="613"/>
      <c r="K60" s="613"/>
      <c r="L60" s="613"/>
      <c r="M60" s="614"/>
      <c r="N60" s="1767"/>
      <c r="O60" s="1767"/>
      <c r="P60" s="1768"/>
      <c r="Q60" s="1769"/>
      <c r="R60" s="1770"/>
      <c r="S60" s="1770"/>
      <c r="T60" s="1770"/>
      <c r="U60" s="1770"/>
      <c r="V60" s="1770"/>
      <c r="W60" s="1770"/>
      <c r="X60" s="1770"/>
      <c r="Y60" s="1770"/>
      <c r="Z60" s="1770"/>
      <c r="AA60" s="1770"/>
      <c r="AB60" s="1770"/>
      <c r="AC60" s="1770"/>
    </row>
    <row r="61" spans="1:29" s="1134" customFormat="1" ht="14.4" thickTop="1">
      <c r="A61" s="629"/>
      <c r="B61" s="615">
        <f>B13</f>
        <v>111</v>
      </c>
      <c r="C61" s="630"/>
      <c r="D61" s="630"/>
      <c r="E61" s="630"/>
      <c r="F61" s="630"/>
      <c r="G61" s="630"/>
      <c r="H61" s="631"/>
      <c r="I61" s="631"/>
      <c r="J61" s="631"/>
      <c r="K61" s="631"/>
      <c r="L61" s="632"/>
      <c r="M61" s="633"/>
      <c r="N61" s="1768"/>
      <c r="O61" s="1768"/>
      <c r="P61" s="1770"/>
      <c r="Q61" s="1771"/>
      <c r="R61" s="1770"/>
      <c r="S61" s="1770"/>
      <c r="T61" s="1770"/>
      <c r="U61" s="1770"/>
      <c r="V61" s="1770"/>
      <c r="W61" s="1770"/>
      <c r="X61" s="1770"/>
      <c r="Y61" s="1770"/>
      <c r="Z61" s="1770"/>
      <c r="AA61" s="1770"/>
      <c r="AB61" s="1770"/>
      <c r="AC61" s="1770"/>
    </row>
    <row r="62" spans="1:29" s="1134" customFormat="1" ht="14.4" thickBot="1">
      <c r="A62" s="629"/>
      <c r="B62" s="620"/>
      <c r="C62" s="634"/>
      <c r="D62" s="634"/>
      <c r="E62" s="634"/>
      <c r="F62" s="634"/>
      <c r="G62" s="634"/>
      <c r="H62" s="635"/>
      <c r="I62" s="635"/>
      <c r="J62" s="635"/>
      <c r="K62" s="635"/>
      <c r="L62" s="635"/>
      <c r="M62" s="636"/>
      <c r="N62" s="1768"/>
      <c r="O62" s="1768"/>
      <c r="P62" s="1768"/>
      <c r="Q62" s="1769"/>
      <c r="R62" s="1770"/>
      <c r="S62" s="1770"/>
      <c r="T62" s="1770"/>
      <c r="U62" s="1770"/>
      <c r="V62" s="1770"/>
      <c r="W62" s="1770"/>
      <c r="X62" s="1770"/>
      <c r="Y62" s="1770"/>
      <c r="Z62" s="1770"/>
      <c r="AA62" s="1770"/>
      <c r="AB62" s="1770"/>
      <c r="AC62" s="1770"/>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6"/>
      <c r="O63" s="1766"/>
      <c r="P63" s="1773"/>
      <c r="Q63" s="1762"/>
      <c r="R63" s="1741"/>
      <c r="S63" s="1741"/>
      <c r="T63" s="1741"/>
      <c r="U63" s="1741"/>
      <c r="V63" s="1741"/>
      <c r="W63" s="1741"/>
      <c r="X63" s="1741"/>
      <c r="Y63" s="1741"/>
      <c r="Z63" s="1741"/>
      <c r="AA63" s="1741"/>
      <c r="AB63" s="1741"/>
      <c r="AC63" s="1741"/>
    </row>
    <row r="64" spans="1:29" ht="14.4" thickBot="1">
      <c r="A64" s="482"/>
      <c r="B64" s="620"/>
      <c r="C64" s="621">
        <v>100</v>
      </c>
      <c r="D64" s="621">
        <f>C64-$K14</f>
        <v>100</v>
      </c>
      <c r="E64" s="621">
        <f>D64-$K14</f>
        <v>100</v>
      </c>
      <c r="F64" s="621">
        <f>E64-$K14</f>
        <v>100</v>
      </c>
      <c r="G64" s="621">
        <f>F64-$K14</f>
        <v>100</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 thickTop="1">
      <c r="A65" s="482"/>
      <c r="B65" s="1554" t="s">
        <v>1840</v>
      </c>
      <c r="C65" s="649" t="s">
        <v>527</v>
      </c>
      <c r="D65" s="649" t="s">
        <v>528</v>
      </c>
      <c r="E65" s="649" t="s">
        <v>529</v>
      </c>
      <c r="F65" s="649" t="s">
        <v>530</v>
      </c>
      <c r="G65" s="649" t="s">
        <v>531</v>
      </c>
      <c r="H65" s="616"/>
      <c r="I65" s="616"/>
      <c r="J65" s="616"/>
      <c r="K65" s="617"/>
      <c r="L65" s="618"/>
      <c r="M65" s="619"/>
      <c r="N65" s="1766"/>
      <c r="O65" s="1766"/>
      <c r="P65" s="1765"/>
      <c r="Q65" s="1762"/>
      <c r="R65" s="1741"/>
      <c r="S65" s="1741"/>
      <c r="T65" s="1741"/>
      <c r="U65" s="1741"/>
      <c r="V65" s="1741"/>
      <c r="W65" s="1741"/>
      <c r="X65" s="1741"/>
      <c r="Y65" s="1741"/>
      <c r="Z65" s="1741"/>
      <c r="AA65" s="1741"/>
      <c r="AB65" s="1741"/>
      <c r="AC65" s="1741"/>
    </row>
    <row r="66" spans="1:29" ht="14.4" thickBot="1">
      <c r="A66" s="482"/>
      <c r="B66" s="620"/>
      <c r="C66" s="621">
        <v>100</v>
      </c>
      <c r="D66" s="621">
        <f>C66-$K16</f>
        <v>100</v>
      </c>
      <c r="E66" s="621">
        <f>D66-$K16</f>
        <v>100</v>
      </c>
      <c r="F66" s="621">
        <f>E66-$K16</f>
        <v>100</v>
      </c>
      <c r="G66" s="621">
        <f>F66-$K16</f>
        <v>100</v>
      </c>
      <c r="H66" s="621"/>
      <c r="I66" s="621"/>
      <c r="J66" s="621"/>
      <c r="K66" s="621"/>
      <c r="L66" s="621"/>
      <c r="M66" s="622"/>
      <c r="N66" s="1767"/>
      <c r="O66" s="1767"/>
      <c r="P66" s="1765"/>
      <c r="Q66" s="1762"/>
      <c r="R66" s="1741"/>
      <c r="S66" s="1741"/>
      <c r="T66" s="1741"/>
      <c r="U66" s="1741"/>
      <c r="V66" s="1741"/>
      <c r="W66" s="1741"/>
      <c r="X66" s="1741"/>
      <c r="Y66" s="1741"/>
      <c r="Z66" s="1741"/>
      <c r="AA66" s="1741"/>
      <c r="AB66" s="1741"/>
      <c r="AC66" s="1741"/>
    </row>
    <row r="67" spans="1:29" ht="15" thickTop="1">
      <c r="A67" s="482"/>
      <c r="B67" s="2055" t="s">
        <v>1841</v>
      </c>
      <c r="C67" s="2056" t="s">
        <v>1842</v>
      </c>
      <c r="D67" s="2056" t="s">
        <v>1843</v>
      </c>
      <c r="E67" s="2056" t="s">
        <v>1844</v>
      </c>
      <c r="F67" s="2056" t="s">
        <v>1845</v>
      </c>
      <c r="G67" s="2056" t="s">
        <v>1846</v>
      </c>
      <c r="H67" s="616"/>
      <c r="I67" s="616"/>
      <c r="J67" s="616"/>
      <c r="K67" s="616"/>
      <c r="L67" s="616"/>
      <c r="M67" s="2059"/>
      <c r="N67" s="1767"/>
      <c r="O67" s="1767"/>
      <c r="P67" s="1765"/>
      <c r="Q67" s="1762"/>
      <c r="R67" s="1741"/>
      <c r="S67" s="1741"/>
      <c r="T67" s="1741"/>
      <c r="U67" s="1741"/>
      <c r="V67" s="1741"/>
      <c r="W67" s="1741"/>
      <c r="X67" s="1741"/>
      <c r="Y67" s="1741"/>
      <c r="Z67" s="1741"/>
      <c r="AA67" s="1741"/>
      <c r="AB67" s="1741"/>
      <c r="AC67" s="1741"/>
    </row>
    <row r="68" spans="1:29" ht="14.4" thickBot="1">
      <c r="A68" s="482"/>
      <c r="B68" s="623"/>
      <c r="C68" s="621">
        <v>100</v>
      </c>
      <c r="D68" s="621">
        <f>C68-$K18</f>
        <v>100</v>
      </c>
      <c r="E68" s="621">
        <f>D68-$K18</f>
        <v>100</v>
      </c>
      <c r="F68" s="621">
        <f>E68-$K18</f>
        <v>100</v>
      </c>
      <c r="G68" s="621">
        <f>F68-$K18</f>
        <v>100</v>
      </c>
      <c r="H68" s="856"/>
      <c r="I68" s="856"/>
      <c r="J68" s="856"/>
      <c r="K68" s="856"/>
      <c r="L68" s="856"/>
      <c r="M68" s="509"/>
      <c r="N68" s="1767"/>
      <c r="O68" s="1767"/>
      <c r="P68" s="1765"/>
      <c r="Q68" s="1762"/>
      <c r="R68" s="1741"/>
      <c r="S68" s="1741"/>
      <c r="T68" s="1741"/>
      <c r="U68" s="1741"/>
      <c r="V68" s="1741"/>
      <c r="W68" s="1741"/>
      <c r="X68" s="1741"/>
      <c r="Y68" s="1741"/>
      <c r="Z68" s="1741"/>
      <c r="AA68" s="1741"/>
      <c r="AB68" s="1741"/>
      <c r="AC68" s="1741"/>
    </row>
    <row r="69" spans="1:29" ht="15" thickTop="1">
      <c r="A69" s="482"/>
      <c r="B69" s="615" t="s">
        <v>684</v>
      </c>
      <c r="C69" s="649" t="s">
        <v>527</v>
      </c>
      <c r="D69" s="649" t="s">
        <v>528</v>
      </c>
      <c r="E69" s="649" t="s">
        <v>529</v>
      </c>
      <c r="F69" s="649" t="s">
        <v>530</v>
      </c>
      <c r="G69" s="649" t="s">
        <v>531</v>
      </c>
      <c r="H69" s="616"/>
      <c r="I69" s="616"/>
      <c r="J69" s="616"/>
      <c r="K69" s="617"/>
      <c r="L69" s="618"/>
      <c r="M69" s="619"/>
      <c r="N69" s="1766"/>
      <c r="O69" s="1766"/>
      <c r="P69" s="1765"/>
      <c r="Q69" s="1762"/>
      <c r="R69" s="1741"/>
      <c r="S69" s="1741"/>
      <c r="T69" s="1741"/>
      <c r="U69" s="1741"/>
      <c r="V69" s="1741"/>
      <c r="W69" s="1741"/>
      <c r="X69" s="1741"/>
      <c r="Y69" s="1741"/>
      <c r="Z69" s="1741"/>
      <c r="AA69" s="1741"/>
      <c r="AB69" s="1741"/>
      <c r="AC69" s="1741"/>
    </row>
    <row r="70" spans="1:29" ht="14.4" thickBot="1">
      <c r="A70" s="482"/>
      <c r="B70" s="620"/>
      <c r="C70" s="621">
        <v>100</v>
      </c>
      <c r="D70" s="621">
        <f>C70-$K20</f>
        <v>100</v>
      </c>
      <c r="E70" s="621">
        <f>D70-$K20</f>
        <v>100</v>
      </c>
      <c r="F70" s="621">
        <f>E70-$K20</f>
        <v>100</v>
      </c>
      <c r="G70" s="621">
        <f>F70-$K20</f>
        <v>100</v>
      </c>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ht="15" thickTop="1">
      <c r="A71" s="482"/>
      <c r="B71" s="615" t="s">
        <v>685</v>
      </c>
      <c r="C71" s="630"/>
      <c r="D71" s="630"/>
      <c r="E71" s="630"/>
      <c r="F71" s="630"/>
      <c r="G71" s="630"/>
      <c r="H71" s="658"/>
      <c r="I71" s="658"/>
      <c r="J71" s="658"/>
      <c r="K71" s="659"/>
      <c r="L71" s="660"/>
      <c r="M71" s="661"/>
      <c r="N71" s="1766"/>
      <c r="O71" s="1766"/>
      <c r="P71" s="1765"/>
      <c r="Q71" s="1762"/>
      <c r="R71" s="1741"/>
      <c r="S71" s="1741"/>
      <c r="T71" s="1741"/>
      <c r="U71" s="1741"/>
      <c r="V71" s="1741"/>
      <c r="W71" s="1741"/>
      <c r="X71" s="1741"/>
      <c r="Y71" s="1741"/>
      <c r="Z71" s="1741"/>
      <c r="AA71" s="1741"/>
      <c r="AB71" s="1741"/>
      <c r="AC71" s="1741"/>
    </row>
    <row r="72" spans="1:29" ht="14.4" thickBot="1">
      <c r="A72" s="482"/>
      <c r="B72" s="620"/>
      <c r="C72" s="621">
        <v>100</v>
      </c>
      <c r="D72" s="621">
        <f>C72-$K22</f>
        <v>100</v>
      </c>
      <c r="E72" s="621">
        <f>D72-$K22</f>
        <v>100</v>
      </c>
      <c r="F72" s="621">
        <f>E72-$K22</f>
        <v>100</v>
      </c>
      <c r="G72" s="621">
        <f>F72-$K22</f>
        <v>100</v>
      </c>
      <c r="H72" s="621"/>
      <c r="I72" s="621"/>
      <c r="J72" s="621"/>
      <c r="K72" s="621"/>
      <c r="L72" s="621"/>
      <c r="M72" s="622"/>
      <c r="N72" s="1767"/>
      <c r="O72" s="1767"/>
      <c r="P72" s="1765"/>
      <c r="Q72" s="1762"/>
      <c r="R72" s="1741"/>
      <c r="S72" s="1741"/>
      <c r="T72" s="1741"/>
      <c r="U72" s="1741"/>
      <c r="V72" s="1741"/>
      <c r="W72" s="1741"/>
      <c r="X72" s="1741"/>
      <c r="Y72" s="1741"/>
      <c r="Z72" s="1741"/>
      <c r="AA72" s="1741"/>
      <c r="AB72" s="1741"/>
      <c r="AC72" s="1741"/>
    </row>
    <row r="73" spans="1:29" s="1060" customFormat="1" ht="14.4" thickTop="1">
      <c r="A73" s="486"/>
      <c r="B73" s="615">
        <f>B23</f>
        <v>111</v>
      </c>
      <c r="C73" s="491"/>
      <c r="D73" s="491"/>
      <c r="E73" s="491"/>
      <c r="F73" s="491"/>
      <c r="G73" s="630"/>
      <c r="H73" s="630"/>
      <c r="I73" s="630"/>
      <c r="J73" s="630"/>
      <c r="K73" s="630"/>
      <c r="L73" s="815"/>
      <c r="M73" s="816"/>
      <c r="N73" s="1765"/>
      <c r="O73" s="1765"/>
      <c r="P73" s="1765"/>
      <c r="Q73" s="1762"/>
      <c r="R73" s="1639"/>
      <c r="S73" s="1639"/>
      <c r="T73" s="1639"/>
      <c r="U73" s="1639"/>
      <c r="V73" s="1639"/>
      <c r="W73" s="1639"/>
      <c r="X73" s="1639"/>
      <c r="Y73" s="1639"/>
      <c r="Z73" s="1639"/>
      <c r="AA73" s="1639"/>
      <c r="AB73" s="1639"/>
      <c r="AC73" s="1639"/>
    </row>
    <row r="74" spans="1:29" s="1060" customFormat="1" ht="14.4"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060" customFormat="1" ht="14.4" thickTop="1">
      <c r="A75" s="486"/>
      <c r="B75" s="615">
        <f>B24</f>
        <v>111</v>
      </c>
      <c r="C75" s="491"/>
      <c r="D75" s="491"/>
      <c r="E75" s="491"/>
      <c r="F75" s="491"/>
      <c r="G75" s="630"/>
      <c r="H75" s="630"/>
      <c r="I75" s="630"/>
      <c r="J75" s="630"/>
      <c r="K75" s="630"/>
      <c r="L75" s="630"/>
      <c r="M75" s="816"/>
      <c r="N75" s="1765"/>
      <c r="O75" s="1765"/>
      <c r="P75" s="1765"/>
      <c r="Q75" s="1762"/>
      <c r="R75" s="1639"/>
      <c r="S75" s="1639"/>
      <c r="T75" s="1639"/>
      <c r="U75" s="1639"/>
      <c r="V75" s="1639"/>
      <c r="W75" s="1639"/>
      <c r="X75" s="1639"/>
      <c r="Y75" s="1639"/>
      <c r="Z75" s="1639"/>
      <c r="AA75" s="1639"/>
      <c r="AB75" s="1639"/>
      <c r="AC75" s="1639"/>
    </row>
    <row r="76" spans="1:29" s="1060" customFormat="1" ht="14.4" thickBot="1">
      <c r="A76" s="486"/>
      <c r="B76" s="620"/>
      <c r="C76" s="634"/>
      <c r="D76" s="613"/>
      <c r="E76" s="613"/>
      <c r="F76" s="613"/>
      <c r="G76" s="613"/>
      <c r="H76" s="613"/>
      <c r="I76" s="613"/>
      <c r="J76" s="613"/>
      <c r="K76" s="613"/>
      <c r="L76" s="613"/>
      <c r="M76" s="614"/>
      <c r="N76" s="1767"/>
      <c r="O76" s="1767"/>
      <c r="P76" s="1765"/>
      <c r="Q76" s="1762"/>
      <c r="R76" s="1639"/>
      <c r="S76" s="1639"/>
      <c r="T76" s="1639"/>
      <c r="U76" s="1639"/>
      <c r="V76" s="1639"/>
      <c r="W76" s="1639"/>
      <c r="X76" s="1639"/>
      <c r="Y76" s="1639"/>
      <c r="Z76" s="1639"/>
      <c r="AA76" s="1639"/>
      <c r="AB76" s="1639"/>
      <c r="AC76" s="1639"/>
    </row>
    <row r="77" spans="1:29" s="1134" customFormat="1" ht="14.4" thickTop="1">
      <c r="A77" s="629"/>
      <c r="B77" s="615">
        <f>B25</f>
        <v>111</v>
      </c>
      <c r="C77" s="630"/>
      <c r="D77" s="630"/>
      <c r="E77" s="630"/>
      <c r="F77" s="630"/>
      <c r="G77" s="630"/>
      <c r="H77" s="631"/>
      <c r="I77" s="631"/>
      <c r="J77" s="631"/>
      <c r="K77" s="631"/>
      <c r="L77" s="632"/>
      <c r="M77" s="633"/>
      <c r="N77" s="1768"/>
      <c r="O77" s="1768"/>
      <c r="P77" s="1768"/>
      <c r="Q77" s="1769"/>
      <c r="R77" s="1770"/>
      <c r="S77" s="1770"/>
      <c r="T77" s="1770"/>
      <c r="U77" s="1770"/>
      <c r="V77" s="1770"/>
      <c r="W77" s="1770"/>
      <c r="X77" s="1770"/>
      <c r="Y77" s="1770"/>
      <c r="Z77" s="1770"/>
      <c r="AA77" s="1770"/>
      <c r="AB77" s="1770"/>
      <c r="AC77" s="1770"/>
    </row>
    <row r="78" spans="1:29" s="1134" customFormat="1" ht="14.4" thickBot="1">
      <c r="A78" s="629"/>
      <c r="B78" s="620"/>
      <c r="C78" s="634"/>
      <c r="D78" s="634"/>
      <c r="E78" s="634"/>
      <c r="F78" s="634"/>
      <c r="G78" s="613"/>
      <c r="H78" s="613"/>
      <c r="I78" s="613"/>
      <c r="J78" s="613"/>
      <c r="K78" s="613"/>
      <c r="L78" s="613"/>
      <c r="M78" s="614"/>
      <c r="N78" s="1768"/>
      <c r="O78" s="1768"/>
      <c r="P78" s="1768"/>
      <c r="Q78" s="1769"/>
      <c r="R78" s="1770"/>
      <c r="S78" s="1770"/>
      <c r="T78" s="1770"/>
      <c r="U78" s="1770"/>
      <c r="V78" s="1770"/>
      <c r="W78" s="1770"/>
      <c r="X78" s="1770"/>
      <c r="Y78" s="1770"/>
      <c r="Z78" s="1770"/>
      <c r="AA78" s="1770"/>
      <c r="AB78" s="1770"/>
      <c r="AC78" s="1770"/>
    </row>
    <row r="79" spans="1:29" ht="29.4" thickTop="1">
      <c r="A79" s="607" t="s">
        <v>500</v>
      </c>
      <c r="B79" s="608" t="s">
        <v>754</v>
      </c>
      <c r="C79" s="645">
        <f>C26</f>
        <v>0</v>
      </c>
      <c r="D79" s="547"/>
      <c r="E79" s="547"/>
      <c r="F79" s="547"/>
      <c r="G79" s="547"/>
      <c r="H79" s="547"/>
      <c r="I79" s="547"/>
      <c r="J79" s="547"/>
      <c r="K79" s="609"/>
      <c r="L79" s="610"/>
      <c r="M79" s="611"/>
      <c r="N79" s="1766"/>
      <c r="O79" s="1766"/>
      <c r="P79" s="1765"/>
      <c r="Q79" s="1762"/>
      <c r="R79" s="1741"/>
      <c r="S79" s="1741"/>
      <c r="T79" s="1741"/>
      <c r="U79" s="1741"/>
      <c r="V79" s="1741"/>
      <c r="W79" s="1741"/>
      <c r="X79" s="1741"/>
      <c r="Y79" s="1741"/>
      <c r="Z79" s="1741"/>
      <c r="AA79" s="1741"/>
      <c r="AB79" s="1741"/>
      <c r="AC79" s="1741"/>
    </row>
    <row r="80" spans="1:29" ht="14.4"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7"/>
      <c r="O80" s="1767"/>
      <c r="P80" s="1765"/>
      <c r="Q80" s="1762"/>
      <c r="R80" s="1741"/>
      <c r="S80" s="1741"/>
      <c r="T80" s="1741"/>
      <c r="U80" s="1741"/>
      <c r="V80" s="1741"/>
      <c r="W80" s="1741"/>
      <c r="X80" s="1741"/>
      <c r="Y80" s="1741"/>
      <c r="Z80" s="1741"/>
      <c r="AA80" s="1741"/>
      <c r="AB80" s="1741"/>
      <c r="AC80" s="1741"/>
    </row>
    <row r="81" spans="1:29" ht="15" thickTop="1">
      <c r="A81" s="482"/>
      <c r="B81" s="615" t="s">
        <v>755</v>
      </c>
      <c r="C81" s="857"/>
      <c r="D81" s="857"/>
      <c r="E81" s="857"/>
      <c r="F81" s="857"/>
      <c r="G81" s="857"/>
      <c r="H81" s="857"/>
      <c r="I81" s="857"/>
      <c r="J81" s="857"/>
      <c r="K81" s="858"/>
      <c r="L81" s="859"/>
      <c r="M81" s="860"/>
      <c r="N81" s="1765"/>
      <c r="O81" s="1765"/>
      <c r="P81" s="1765"/>
      <c r="Q81" s="1762"/>
      <c r="R81" s="1741"/>
      <c r="S81" s="1741"/>
      <c r="T81" s="1741"/>
      <c r="U81" s="1741"/>
      <c r="V81" s="1741"/>
      <c r="W81" s="1741"/>
      <c r="X81" s="1741"/>
      <c r="Y81" s="1741"/>
      <c r="Z81" s="1741"/>
      <c r="AA81" s="1741"/>
      <c r="AB81" s="1741"/>
      <c r="AC81" s="1741"/>
    </row>
    <row r="82" spans="1:29" s="1134" customFormat="1" ht="14.4" thickBot="1">
      <c r="A82" s="629"/>
      <c r="B82" s="620"/>
      <c r="C82" s="634"/>
      <c r="D82" s="613"/>
      <c r="E82" s="613"/>
      <c r="F82" s="613"/>
      <c r="G82" s="613"/>
      <c r="H82" s="613"/>
      <c r="I82" s="613"/>
      <c r="J82" s="613"/>
      <c r="K82" s="613"/>
      <c r="L82" s="613"/>
      <c r="M82" s="614"/>
      <c r="N82" s="1767"/>
      <c r="O82" s="1767"/>
      <c r="P82" s="1768"/>
      <c r="Q82" s="1769"/>
      <c r="R82" s="1770"/>
      <c r="S82" s="1770"/>
      <c r="T82" s="1770"/>
      <c r="U82" s="1770"/>
      <c r="V82" s="1770"/>
      <c r="W82" s="1770"/>
      <c r="X82" s="1770"/>
      <c r="Y82" s="1770"/>
      <c r="Z82" s="1770"/>
      <c r="AA82" s="1770"/>
      <c r="AB82" s="1770"/>
      <c r="AC82" s="1770"/>
    </row>
    <row r="83" spans="1:29" ht="15" thickTop="1">
      <c r="A83" s="543"/>
      <c r="B83" s="615" t="s">
        <v>691</v>
      </c>
      <c r="C83" s="630"/>
      <c r="D83" s="630"/>
      <c r="E83" s="658"/>
      <c r="F83" s="658"/>
      <c r="G83" s="658"/>
      <c r="H83" s="658"/>
      <c r="I83" s="658"/>
      <c r="J83" s="658"/>
      <c r="K83" s="659"/>
      <c r="L83" s="660"/>
      <c r="M83" s="661"/>
      <c r="N83" s="1766"/>
      <c r="O83" s="1766"/>
      <c r="P83" s="1765"/>
      <c r="Q83" s="1762"/>
      <c r="R83" s="1741"/>
      <c r="S83" s="1741"/>
      <c r="T83" s="1741"/>
      <c r="U83" s="1741"/>
      <c r="V83" s="1741"/>
      <c r="W83" s="1741"/>
      <c r="X83" s="1741"/>
      <c r="Y83" s="1741"/>
      <c r="Z83" s="1741"/>
      <c r="AA83" s="1741"/>
      <c r="AB83" s="1741"/>
      <c r="AC83" s="1741"/>
    </row>
    <row r="84" spans="1:29" ht="14.4"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7"/>
      <c r="O84" s="1767"/>
      <c r="P84" s="1765"/>
      <c r="Q84" s="1762"/>
      <c r="R84" s="1741"/>
      <c r="S84" s="1741"/>
      <c r="T84" s="1741"/>
      <c r="U84" s="1741"/>
      <c r="V84" s="1741"/>
      <c r="W84" s="1741"/>
      <c r="X84" s="1741"/>
      <c r="Y84" s="1741"/>
      <c r="Z84" s="1741"/>
      <c r="AA84" s="1741"/>
      <c r="AB84" s="1741"/>
      <c r="AC84" s="1741"/>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6"/>
      <c r="O85" s="1766"/>
      <c r="P85" s="1765"/>
      <c r="Q85" s="1762"/>
      <c r="R85" s="1741"/>
      <c r="S85" s="1741"/>
      <c r="T85" s="1741"/>
      <c r="U85" s="1741"/>
      <c r="V85" s="1741"/>
      <c r="W85" s="1741"/>
      <c r="X85" s="1741"/>
      <c r="Y85" s="1741"/>
      <c r="Z85" s="1741"/>
      <c r="AA85" s="1741"/>
      <c r="AB85" s="1741"/>
      <c r="AC85" s="1741"/>
    </row>
    <row r="86" spans="1:29">
      <c r="A86" s="543"/>
      <c r="B86" s="623"/>
      <c r="C86" s="818">
        <v>0.5</v>
      </c>
      <c r="D86" s="818">
        <v>0.6</v>
      </c>
      <c r="E86" s="818">
        <v>0.7</v>
      </c>
      <c r="F86" s="818">
        <v>0.8</v>
      </c>
      <c r="G86" s="818">
        <v>0.9</v>
      </c>
      <c r="H86" s="818">
        <v>1.0001</v>
      </c>
      <c r="I86" s="828"/>
      <c r="J86" s="828"/>
      <c r="K86" s="829"/>
      <c r="L86" s="830"/>
      <c r="M86" s="831"/>
      <c r="N86" s="1766"/>
      <c r="O86" s="1766"/>
      <c r="P86" s="1765"/>
      <c r="Q86" s="1762"/>
      <c r="R86" s="1741"/>
      <c r="S86" s="1741"/>
      <c r="T86" s="1741"/>
      <c r="U86" s="1741"/>
      <c r="V86" s="1741"/>
      <c r="W86" s="1741"/>
      <c r="X86" s="1741"/>
      <c r="Y86" s="1741"/>
      <c r="Z86" s="1741"/>
      <c r="AA86" s="1741"/>
      <c r="AB86" s="1741"/>
      <c r="AC86" s="1741"/>
    </row>
    <row r="87" spans="1:29" ht="14.4"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741"/>
      <c r="S87" s="1741"/>
      <c r="T87" s="1741"/>
      <c r="U87" s="1741"/>
      <c r="V87" s="1741"/>
      <c r="W87" s="1741"/>
      <c r="X87" s="1741"/>
      <c r="Y87" s="1741"/>
      <c r="Z87" s="1741"/>
      <c r="AA87" s="1741"/>
      <c r="AB87" s="1741"/>
      <c r="AC87" s="1741"/>
    </row>
    <row r="88" spans="1:29" ht="15" thickTop="1">
      <c r="A88" s="543"/>
      <c r="B88" s="623" t="s">
        <v>757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4.4"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741"/>
      <c r="S89" s="1741"/>
      <c r="T89" s="1741"/>
      <c r="U89" s="1741"/>
      <c r="V89" s="1741"/>
      <c r="W89" s="1741"/>
      <c r="X89" s="1741"/>
      <c r="Y89" s="1741"/>
      <c r="Z89" s="1741"/>
      <c r="AA89" s="1741"/>
      <c r="AB89" s="1741"/>
      <c r="AC89" s="1741"/>
    </row>
    <row r="90" spans="1:29" s="1134"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8"/>
      <c r="O90" s="1768"/>
      <c r="P90" s="1768"/>
      <c r="Q90" s="1769"/>
      <c r="R90" s="1770"/>
      <c r="S90" s="1770"/>
      <c r="T90" s="1770"/>
      <c r="U90" s="1770"/>
      <c r="V90" s="1770"/>
      <c r="W90" s="1770"/>
      <c r="X90" s="1770"/>
      <c r="Y90" s="1770"/>
      <c r="Z90" s="1770"/>
      <c r="AA90" s="1770"/>
      <c r="AB90" s="1770"/>
      <c r="AC90" s="1770"/>
    </row>
    <row r="91" spans="1:29" s="1134" customFormat="1">
      <c r="A91" s="552"/>
      <c r="B91" s="623"/>
      <c r="C91" s="79"/>
      <c r="D91" s="79"/>
      <c r="E91" s="79"/>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4" customFormat="1" ht="14.4" thickBot="1">
      <c r="A92" s="629"/>
      <c r="B92" s="620"/>
      <c r="C92" s="634"/>
      <c r="D92" s="613"/>
      <c r="E92" s="613"/>
      <c r="F92" s="613"/>
      <c r="G92" s="613"/>
      <c r="H92" s="613"/>
      <c r="I92" s="613"/>
      <c r="J92" s="613"/>
      <c r="K92" s="613"/>
      <c r="L92" s="613"/>
      <c r="M92" s="614"/>
      <c r="N92" s="1768"/>
      <c r="O92" s="1768"/>
      <c r="P92" s="1768"/>
      <c r="Q92" s="1769"/>
      <c r="R92" s="1770"/>
      <c r="S92" s="1770"/>
      <c r="T92" s="1770"/>
      <c r="U92" s="1770"/>
      <c r="V92" s="1770"/>
      <c r="W92" s="1770"/>
      <c r="X92" s="1770"/>
      <c r="Y92" s="1770"/>
      <c r="Z92" s="1770"/>
      <c r="AA92" s="1770"/>
      <c r="AB92" s="1770"/>
      <c r="AC92" s="1770"/>
    </row>
    <row r="93" spans="1:29" ht="15" thickTop="1">
      <c r="A93" s="543"/>
      <c r="B93" s="615" t="s">
        <v>759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4.4"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760</v>
      </c>
      <c r="C95" s="547"/>
      <c r="D95" s="547"/>
      <c r="E95" s="547"/>
      <c r="F95" s="547"/>
      <c r="G95" s="547"/>
      <c r="H95" s="547"/>
      <c r="I95" s="547"/>
      <c r="J95" s="547"/>
      <c r="K95" s="609"/>
      <c r="L95" s="610"/>
      <c r="M95" s="611"/>
      <c r="N95" s="1766"/>
      <c r="O95" s="1766"/>
      <c r="P95" s="1765"/>
      <c r="Q95" s="1762"/>
      <c r="R95" s="1741"/>
      <c r="S95" s="1741"/>
      <c r="T95" s="1741"/>
      <c r="U95" s="1741"/>
      <c r="V95" s="1741"/>
      <c r="W95" s="1741"/>
      <c r="X95" s="1741"/>
      <c r="Y95" s="1741"/>
      <c r="Z95" s="1741"/>
      <c r="AA95" s="1741"/>
      <c r="AB95" s="1741"/>
      <c r="AC95" s="1741"/>
    </row>
    <row r="96" spans="1:29" ht="14.4" thickBot="1">
      <c r="A96" s="482"/>
      <c r="B96" s="620"/>
      <c r="C96" s="621">
        <v>100</v>
      </c>
      <c r="D96" s="621">
        <f>C96-$K33</f>
        <v>100</v>
      </c>
      <c r="E96" s="621">
        <f>D96-$K33</f>
        <v>100</v>
      </c>
      <c r="F96" s="621">
        <f>E96-$K33</f>
        <v>100</v>
      </c>
      <c r="G96" s="621">
        <f>F96-$K33</f>
        <v>100</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ht="14.4" thickTop="1">
      <c r="A97" s="543"/>
      <c r="B97" s="839">
        <f>B34</f>
        <v>111</v>
      </c>
      <c r="C97" s="491"/>
      <c r="D97" s="491"/>
      <c r="E97" s="491"/>
      <c r="F97" s="491"/>
      <c r="G97" s="630"/>
      <c r="H97" s="631"/>
      <c r="I97" s="631"/>
      <c r="J97" s="631"/>
      <c r="K97" s="631"/>
      <c r="L97" s="632"/>
      <c r="M97" s="633"/>
      <c r="N97" s="1767"/>
      <c r="O97" s="1767"/>
      <c r="P97" s="1767"/>
      <c r="Q97" s="1802"/>
      <c r="R97" s="1741"/>
      <c r="S97" s="1741"/>
      <c r="T97" s="1741"/>
      <c r="U97" s="1741"/>
      <c r="V97" s="1741"/>
      <c r="W97" s="1741"/>
      <c r="X97" s="1741"/>
      <c r="Y97" s="1741"/>
      <c r="Z97" s="1741"/>
      <c r="AA97" s="1741"/>
      <c r="AB97" s="1741"/>
      <c r="AC97" s="1741"/>
    </row>
    <row r="98" spans="1:29" ht="14.4" thickBot="1">
      <c r="A98" s="482"/>
      <c r="B98" s="620"/>
      <c r="C98" s="634"/>
      <c r="D98" s="613"/>
      <c r="E98" s="613"/>
      <c r="F98" s="613"/>
      <c r="G98" s="634"/>
      <c r="H98" s="635"/>
      <c r="I98" s="635"/>
      <c r="J98" s="635"/>
      <c r="K98" s="635"/>
      <c r="L98" s="635"/>
      <c r="M98" s="636"/>
      <c r="N98" s="1767"/>
      <c r="O98" s="1767"/>
      <c r="P98" s="1765"/>
      <c r="Q98" s="1762"/>
      <c r="R98" s="1741"/>
      <c r="S98" s="1741"/>
      <c r="T98" s="1741"/>
      <c r="U98" s="1741"/>
      <c r="V98" s="1741"/>
      <c r="W98" s="1741"/>
      <c r="X98" s="1741"/>
      <c r="Y98" s="1741"/>
      <c r="Z98" s="1741"/>
      <c r="AA98" s="1741"/>
      <c r="AB98" s="1741"/>
      <c r="AC98" s="1741"/>
    </row>
    <row r="99" spans="1:29" s="1134" customFormat="1" ht="14.4" thickTop="1">
      <c r="A99" s="552"/>
      <c r="B99" s="615">
        <f>B35</f>
        <v>111</v>
      </c>
      <c r="C99" s="491"/>
      <c r="D99" s="491"/>
      <c r="E99" s="491"/>
      <c r="F99" s="491"/>
      <c r="G99" s="630"/>
      <c r="H99" s="631"/>
      <c r="I99" s="631"/>
      <c r="J99" s="631"/>
      <c r="K99" s="631"/>
      <c r="L99" s="632"/>
      <c r="M99" s="633"/>
      <c r="N99" s="1768"/>
      <c r="O99" s="1768"/>
      <c r="P99" s="1768"/>
      <c r="Q99" s="1769"/>
      <c r="R99" s="1770"/>
      <c r="S99" s="1770"/>
      <c r="T99" s="1770"/>
      <c r="U99" s="1770"/>
      <c r="V99" s="1770"/>
      <c r="W99" s="1770"/>
      <c r="X99" s="1770"/>
      <c r="Y99" s="1770"/>
      <c r="Z99" s="1770"/>
      <c r="AA99" s="1770"/>
      <c r="AB99" s="1770"/>
      <c r="AC99" s="1770"/>
    </row>
    <row r="100" spans="1:29" s="1134" customFormat="1" ht="14.4" thickBot="1">
      <c r="A100" s="629"/>
      <c r="B100" s="612"/>
      <c r="C100" s="634"/>
      <c r="D100" s="613"/>
      <c r="E100" s="613"/>
      <c r="F100" s="613"/>
      <c r="G100" s="634"/>
      <c r="H100" s="635"/>
      <c r="I100" s="635"/>
      <c r="J100" s="635"/>
      <c r="K100" s="635"/>
      <c r="L100" s="635"/>
      <c r="M100" s="636"/>
      <c r="N100" s="1768"/>
      <c r="O100" s="1768"/>
      <c r="P100" s="1768"/>
      <c r="Q100" s="1769"/>
      <c r="R100" s="1770"/>
      <c r="S100" s="1770"/>
      <c r="T100" s="1770"/>
      <c r="U100" s="1770"/>
      <c r="V100" s="1770"/>
      <c r="W100" s="1770"/>
      <c r="X100" s="1770"/>
      <c r="Y100" s="1770"/>
      <c r="Z100" s="1770"/>
      <c r="AA100" s="1770"/>
      <c r="AB100" s="1770"/>
      <c r="AC100" s="1770"/>
    </row>
    <row r="101" spans="1:29" ht="14.4" thickTop="1">
      <c r="A101" s="543"/>
      <c r="B101" s="615">
        <f>B36</f>
        <v>111</v>
      </c>
      <c r="C101" s="630"/>
      <c r="D101" s="630"/>
      <c r="E101" s="630"/>
      <c r="F101" s="630"/>
      <c r="G101" s="630"/>
      <c r="H101" s="631"/>
      <c r="I101" s="631"/>
      <c r="J101" s="631"/>
      <c r="K101" s="631"/>
      <c r="L101" s="632"/>
      <c r="M101" s="633"/>
      <c r="N101" s="1766"/>
      <c r="O101" s="1766"/>
      <c r="P101" s="1765"/>
      <c r="Q101" s="1762"/>
      <c r="R101" s="1741"/>
      <c r="S101" s="1741"/>
      <c r="T101" s="1741"/>
      <c r="U101" s="1741"/>
      <c r="V101" s="1741"/>
      <c r="W101" s="1741"/>
      <c r="X101" s="1741"/>
      <c r="Y101" s="1741"/>
      <c r="Z101" s="1741"/>
      <c r="AA101" s="1741"/>
      <c r="AB101" s="1741"/>
      <c r="AC101" s="1741"/>
    </row>
    <row r="102" spans="1:29" ht="14.4" thickBot="1">
      <c r="A102" s="482"/>
      <c r="B102" s="620"/>
      <c r="C102" s="634"/>
      <c r="D102" s="634"/>
      <c r="E102" s="634"/>
      <c r="F102" s="634"/>
      <c r="G102" s="634"/>
      <c r="H102" s="635"/>
      <c r="I102" s="635"/>
      <c r="J102" s="635"/>
      <c r="K102" s="635"/>
      <c r="L102" s="635"/>
      <c r="M102" s="636"/>
      <c r="N102" s="1767"/>
      <c r="O102" s="1767"/>
      <c r="P102" s="1765"/>
      <c r="Q102" s="1762"/>
      <c r="R102" s="1741"/>
      <c r="S102" s="1741"/>
      <c r="T102" s="1741"/>
      <c r="U102" s="1741"/>
      <c r="V102" s="1741"/>
      <c r="W102" s="1741"/>
      <c r="X102" s="1741"/>
      <c r="Y102" s="1741"/>
      <c r="Z102" s="1741"/>
      <c r="AA102" s="1741"/>
      <c r="AB102" s="1741"/>
      <c r="AC102" s="1741"/>
    </row>
    <row r="103" spans="1:29" ht="14.4"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75" customWidth="1"/>
    <col min="2" max="2" width="9" style="1475"/>
    <col min="3" max="4" width="9.6640625" style="1475" customWidth="1"/>
    <col min="5" max="16384" width="9" style="1475"/>
  </cols>
  <sheetData>
    <row r="1" spans="1:4" ht="22.2">
      <c r="A1" s="1474" t="s">
        <v>1428</v>
      </c>
    </row>
    <row r="3" spans="1:4" ht="17.399999999999999">
      <c r="A3" s="1492" t="str">
        <f>项目基本情况!B5&amp;"："</f>
        <v>：</v>
      </c>
    </row>
    <row r="4" spans="1:4" ht="34.799999999999997">
      <c r="A4" s="1487" t="str">
        <f>"受贵公司委托，我公司对"&amp;项目基本情况!K2&amp;项目基本情况!B9&amp;"进行了预评估。"</f>
        <v>受贵公司委托，我公司对江苏省淮安市淮安区淮安生态文旅区站前路西侧、淮启路南侧出让国有建设用地使用权抵押价格进行了预评估。</v>
      </c>
    </row>
    <row r="5" spans="1:4" ht="17.399999999999999">
      <c r="A5" s="1490" t="s">
        <v>1429</v>
      </c>
    </row>
    <row r="6" spans="1:4" ht="87">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淮安高新置业有限公司使用的、位于江苏省淮安市淮安区淮安生态文旅区站前路西侧、淮启路南侧出让国有建设用地使用权。根据《国有土地使用证》[]，估价对象（分摊）出让国有建设用地使用权面积为21555平方米。根据《建设工程规划许可证》[]、《出让合同》[]，估价对象规划建筑面积为28022平方米。</v>
      </c>
    </row>
    <row r="7" spans="1:4" ht="87">
      <c r="A7" s="2177" t="s">
        <v>2030</v>
      </c>
    </row>
    <row r="8" spans="1:4" ht="17.399999999999999">
      <c r="A8" s="1490" t="s">
        <v>1430</v>
      </c>
    </row>
    <row r="9" spans="1:4" ht="87">
      <c r="A9" s="1487" t="str">
        <f>IF(项目基本情况!B8="抵押",IF(项目基本情况!B5=项目基本情况!B6,定义!C51,定义!B51),定义!D51)</f>
        <v>拟使用江苏省淮安市淮安区淮安生态文旅区站前路西侧、淮启路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492" t="s">
        <v>1544</v>
      </c>
    </row>
    <row r="11" spans="1:4" ht="17.399999999999999">
      <c r="A11" s="1476" t="str">
        <f>TEXT(项目基本情况!D3,"yyyy年m月d日;;")&amp;IF(项目基本情况!B3=项目基本情况!D3,"（评估专业人员勘察现场之日）","")</f>
        <v>2025年7月11日</v>
      </c>
    </row>
    <row r="12" spans="1:4" ht="17.399999999999999">
      <c r="A12" s="1492" t="s">
        <v>1543</v>
      </c>
    </row>
    <row r="13" spans="1:4" ht="17.399999999999999">
      <c r="A13" s="1487" t="s">
        <v>1589</v>
      </c>
    </row>
    <row r="14" spans="1:4" ht="34.799999999999997">
      <c r="A14" s="1487" t="str">
        <f>"根据"&amp;项目基本情况!F12&amp;"，本次评估估价对象证载（地类）用途为"&amp;项目基本情况!B12&amp;"。"</f>
        <v>根据《国有土地使用证》[]，本次评估估价对象证载（地类）用途为商业、住宅。</v>
      </c>
      <c r="C14" s="1477"/>
      <c r="D14" s="1478"/>
    </row>
    <row r="15" spans="1:4" ht="17.399999999999999">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7"/>
      <c r="D15" s="1478"/>
    </row>
    <row r="16" spans="1:4" ht="17.399999999999999">
      <c r="A16" s="1487" t="s">
        <v>1590</v>
      </c>
    </row>
    <row r="17" spans="1:1" ht="52.2">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87" t="s">
        <v>1591</v>
      </c>
    </row>
    <row r="20" spans="1:1" ht="52.2">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根据《国有土地使用证》[]，估价对象（分摊）出让国有建设用地使用权面积为21555平方米。根据《建设工程规划许可证》[]、《出让合同》[]，估价对象规划建筑面积为28022平方米。</v>
      </c>
    </row>
    <row r="21" spans="1:1" ht="87">
      <c r="A21" s="21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87" t="s">
        <v>1592</v>
      </c>
    </row>
    <row r="23" spans="1:1" ht="17.399999999999999">
      <c r="A23" s="2179" t="s">
        <v>2031</v>
      </c>
    </row>
    <row r="24" spans="1:1" ht="17.399999999999999">
      <c r="A24" s="1487" t="s">
        <v>1593</v>
      </c>
    </row>
    <row r="25" spans="1:1" ht="87">
      <c r="A25" s="1487" t="str">
        <f>定义!C53</f>
        <v>本次估价的“出让国有建设用地使用权价格”是指在估价对象土地所有权为国家所有，使用权性质为出让，在公开市场条件下、于估价期日2025年7月11日，在规划利用条件下、设定土地开发程度为红线外“七通”、宗地内场地，设定用途为，剩余土地使用年限为的出让国有建设用地使用权价格。</v>
      </c>
    </row>
    <row r="26" spans="1:1" ht="52.2">
      <c r="A26" s="14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487" t="str">
        <f>IF(项目基本情况!E9="——","",定义!C57)</f>
        <v/>
      </c>
    </row>
    <row r="29" spans="1:1" ht="17.399999999999999">
      <c r="A29" s="1492" t="s">
        <v>1545</v>
      </c>
    </row>
    <row r="30" spans="1:1" ht="69.599999999999994">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493"/>
    </row>
    <row r="32" spans="1:1" ht="17.399999999999999">
      <c r="A32" s="149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32" customWidth="1"/>
    <col min="2" max="2" width="15.77734375" style="1132" customWidth="1"/>
    <col min="3" max="3" width="14.33203125" style="1132" customWidth="1"/>
    <col min="4" max="4" width="12.21875" style="1132" customWidth="1"/>
    <col min="5" max="5" width="14.33203125" style="1132" customWidth="1"/>
    <col min="6" max="6" width="12.21875" style="1132" customWidth="1"/>
    <col min="7" max="7" width="14.44140625" style="1132" customWidth="1"/>
    <col min="8" max="8" width="12.21875" style="1132" customWidth="1"/>
    <col min="9" max="9" width="14.44140625" style="1132" customWidth="1"/>
    <col min="10" max="10" width="12.21875" style="1132" customWidth="1"/>
    <col min="11" max="11" width="12.21875" style="1137" customWidth="1"/>
    <col min="12" max="12" width="12.21875" style="1138" customWidth="1"/>
    <col min="13" max="15" width="12.21875" style="1132" customWidth="1"/>
    <col min="16" max="16" width="4.77734375" style="1132" customWidth="1"/>
    <col min="17" max="17" width="19.44140625" style="1132" customWidth="1"/>
    <col min="18" max="22" width="6.109375" style="1132" customWidth="1"/>
    <col min="23" max="23" width="5.77734375" style="1132" customWidth="1"/>
    <col min="24" max="24" width="4.21875" style="1132" customWidth="1"/>
    <col min="25" max="25" width="3.44140625" style="1132" customWidth="1"/>
    <col min="26" max="26" width="19.77734375" style="1132" customWidth="1"/>
    <col min="27" max="28" width="9.33203125" style="1132" customWidth="1"/>
    <col min="29" max="16384" width="9" style="1132"/>
  </cols>
  <sheetData>
    <row r="1" spans="1:29" s="1131" customFormat="1" ht="28.5" customHeight="1">
      <c r="A1" s="453" t="s">
        <v>665</v>
      </c>
      <c r="B1" s="845"/>
      <c r="C1" s="455" t="s">
        <v>732</v>
      </c>
      <c r="D1" s="783"/>
      <c r="E1" s="457"/>
      <c r="F1" s="2117"/>
      <c r="G1" s="1327" t="s">
        <v>733</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31" customFormat="1" ht="28.5" customHeight="1">
      <c r="A2" s="393" t="s">
        <v>734</v>
      </c>
      <c r="B2" s="784" t="e">
        <f>ROUND(B3*D3/10000,0)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31" customFormat="1" ht="28.5" customHeight="1" thickBot="1">
      <c r="A3" s="460" t="s">
        <v>735</v>
      </c>
      <c r="B3" s="461" t="e">
        <f>C37</f>
        <v>#DIV/0!</v>
      </c>
      <c r="C3" s="786" t="s">
        <v>736</v>
      </c>
      <c r="D3" s="785">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4.4">
      <c r="A4" s="463" t="s">
        <v>737</v>
      </c>
      <c r="B4" s="464"/>
      <c r="C4" s="3635" t="s">
        <v>738</v>
      </c>
      <c r="D4" s="3636"/>
      <c r="E4" s="3657" t="s">
        <v>739</v>
      </c>
      <c r="F4" s="3658"/>
      <c r="G4" s="3635" t="s">
        <v>740</v>
      </c>
      <c r="H4" s="3636"/>
      <c r="I4" s="3635" t="s">
        <v>741</v>
      </c>
      <c r="J4" s="3636"/>
      <c r="K4" s="465" t="s">
        <v>742</v>
      </c>
      <c r="L4" s="1740"/>
      <c r="M4" s="1741"/>
      <c r="N4" s="1741"/>
      <c r="O4" s="1741"/>
      <c r="P4" s="3637" t="s">
        <v>743</v>
      </c>
      <c r="Q4" s="3638"/>
      <c r="R4" s="3621" t="s">
        <v>739</v>
      </c>
      <c r="S4" s="3622"/>
      <c r="T4" s="3621" t="s">
        <v>740</v>
      </c>
      <c r="U4" s="3622"/>
      <c r="V4" s="3643" t="s">
        <v>741</v>
      </c>
      <c r="W4" s="3643"/>
      <c r="X4" s="1301"/>
      <c r="Y4" s="3621" t="s">
        <v>743</v>
      </c>
      <c r="Z4" s="3622"/>
      <c r="AA4" s="3616" t="s">
        <v>739</v>
      </c>
      <c r="AB4" s="3617" t="s">
        <v>740</v>
      </c>
      <c r="AC4" s="3616" t="s">
        <v>741</v>
      </c>
    </row>
    <row r="5" spans="1:29">
      <c r="A5" s="466"/>
      <c r="B5" s="467"/>
      <c r="C5" s="3646" t="s">
        <v>2192</v>
      </c>
      <c r="D5" s="3647"/>
      <c r="E5" s="3659" t="s">
        <v>2193</v>
      </c>
      <c r="F5" s="3660"/>
      <c r="G5" s="3646" t="s">
        <v>2194</v>
      </c>
      <c r="H5" s="3647"/>
      <c r="I5" s="3646" t="s">
        <v>2195</v>
      </c>
      <c r="J5" s="3647"/>
      <c r="K5" s="465"/>
      <c r="L5" s="1740"/>
      <c r="M5" s="1741"/>
      <c r="N5" s="1741"/>
      <c r="O5" s="1741"/>
      <c r="P5" s="3639"/>
      <c r="Q5" s="3640"/>
      <c r="R5" s="3623"/>
      <c r="S5" s="3624"/>
      <c r="T5" s="3623"/>
      <c r="U5" s="3624"/>
      <c r="V5" s="3643"/>
      <c r="W5" s="3643"/>
      <c r="X5" s="1301"/>
      <c r="Y5" s="3623"/>
      <c r="Z5" s="3624"/>
      <c r="AA5" s="3617"/>
      <c r="AB5" s="3617"/>
      <c r="AC5" s="3617"/>
    </row>
    <row r="6" spans="1:29" ht="15" thickBot="1">
      <c r="A6" s="468"/>
      <c r="B6" s="469"/>
      <c r="C6" s="3644" t="s">
        <v>2196</v>
      </c>
      <c r="D6" s="3645"/>
      <c r="E6" s="3661" t="s">
        <v>2196</v>
      </c>
      <c r="F6" s="3662"/>
      <c r="G6" s="3644" t="s">
        <v>2196</v>
      </c>
      <c r="H6" s="3645"/>
      <c r="I6" s="3644" t="s">
        <v>2196</v>
      </c>
      <c r="J6" s="3645"/>
      <c r="K6" s="465" t="s">
        <v>477</v>
      </c>
      <c r="L6" s="1740"/>
      <c r="M6" s="1741"/>
      <c r="N6" s="1741"/>
      <c r="O6" s="1741"/>
      <c r="P6" s="3641"/>
      <c r="Q6" s="3642"/>
      <c r="R6" s="3623"/>
      <c r="S6" s="3624"/>
      <c r="T6" s="3625"/>
      <c r="U6" s="3626"/>
      <c r="V6" s="3643"/>
      <c r="W6" s="3643"/>
      <c r="X6" s="1301"/>
      <c r="Y6" s="3625"/>
      <c r="Z6" s="3626"/>
      <c r="AA6" s="3618"/>
      <c r="AB6" s="3618"/>
      <c r="AC6" s="3618"/>
    </row>
    <row r="7" spans="1:29" s="1060" customFormat="1" ht="15" thickBot="1">
      <c r="A7" s="2208"/>
      <c r="B7" s="2215" t="s">
        <v>478</v>
      </c>
      <c r="C7" s="470">
        <f>'数据-取费表'!B2</f>
        <v>45849</v>
      </c>
      <c r="D7" s="471">
        <v>100</v>
      </c>
      <c r="E7" s="472"/>
      <c r="F7" s="473">
        <f>SUMIF(46:46,YEAR(E7)&amp;"-"&amp;MONTH(E7),47:47)</f>
        <v>0</v>
      </c>
      <c r="G7" s="474"/>
      <c r="H7" s="471">
        <f>SUMIF(46:46,YEAR(G7)&amp;"-"&amp;MONTH(G7),47:47)</f>
        <v>0</v>
      </c>
      <c r="I7" s="474"/>
      <c r="J7" s="471">
        <f>SUMIF(46:46,YEAR(I7)&amp;"-"&amp;MONTH(I7),47:47)</f>
        <v>0</v>
      </c>
      <c r="K7" s="88"/>
      <c r="L7" s="1742"/>
      <c r="M7" s="1639"/>
      <c r="N7" s="1639"/>
      <c r="O7" s="1639"/>
      <c r="P7" s="3619" t="s">
        <v>479</v>
      </c>
      <c r="Q7" s="3628"/>
      <c r="R7" s="1302" t="s">
        <v>5</v>
      </c>
      <c r="S7" s="1303">
        <f t="shared" ref="S7:S14" si="0">F7</f>
        <v>0</v>
      </c>
      <c r="T7" s="1302" t="s">
        <v>5</v>
      </c>
      <c r="U7" s="1303">
        <f t="shared" ref="U7:U14" si="1">H7</f>
        <v>0</v>
      </c>
      <c r="V7" s="1302" t="s">
        <v>5</v>
      </c>
      <c r="W7" s="1303">
        <f t="shared" ref="W7:W14" si="2">J7</f>
        <v>0</v>
      </c>
      <c r="X7" s="1304"/>
      <c r="Y7" s="3619" t="s">
        <v>479</v>
      </c>
      <c r="Z7" s="3620"/>
      <c r="AA7" s="997" t="e">
        <f>D7/F7</f>
        <v>#DIV/0!</v>
      </c>
      <c r="AB7" s="997" t="e">
        <f>D7/H7</f>
        <v>#DIV/0!</v>
      </c>
      <c r="AC7" s="997" t="e">
        <f>D7/J7</f>
        <v>#DIV/0!</v>
      </c>
    </row>
    <row r="8" spans="1:29" s="1060" customFormat="1" ht="1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2"/>
      <c r="M8" s="1639"/>
      <c r="N8" s="1639"/>
      <c r="O8" s="1639"/>
      <c r="P8" s="3619" t="s">
        <v>482</v>
      </c>
      <c r="Q8" s="3620"/>
      <c r="R8" s="1302" t="s">
        <v>5</v>
      </c>
      <c r="S8" s="1303">
        <f t="shared" si="0"/>
        <v>0</v>
      </c>
      <c r="T8" s="1302" t="s">
        <v>5</v>
      </c>
      <c r="U8" s="1303">
        <f t="shared" si="1"/>
        <v>0</v>
      </c>
      <c r="V8" s="1302" t="s">
        <v>5</v>
      </c>
      <c r="W8" s="1303">
        <f t="shared" si="2"/>
        <v>0</v>
      </c>
      <c r="X8" s="1304"/>
      <c r="Y8" s="3619" t="s">
        <v>482</v>
      </c>
      <c r="Z8" s="3620"/>
      <c r="AA8" s="997" t="e">
        <f t="shared" ref="AA8:AA34" si="3">D8/F8</f>
        <v>#DIV/0!</v>
      </c>
      <c r="AB8" s="997" t="e">
        <f t="shared" ref="AB8:AB34" si="4">D8/H8</f>
        <v>#DIV/0!</v>
      </c>
      <c r="AC8" s="997" t="e">
        <f t="shared" ref="AC8:AC34" si="5">D8/J8</f>
        <v>#DIV/0!</v>
      </c>
    </row>
    <row r="9" spans="1:29" s="1060" customFormat="1" ht="14.4">
      <c r="A9" s="2210"/>
      <c r="B9" s="2217" t="s">
        <v>2038</v>
      </c>
      <c r="C9" s="791"/>
      <c r="D9" s="154">
        <v>100</v>
      </c>
      <c r="E9" s="793"/>
      <c r="F9" s="154">
        <f>SUMIF(51:51,E9,52:52)-SUMIF(51:51,C9,52:52)+100</f>
        <v>100</v>
      </c>
      <c r="G9" s="793"/>
      <c r="H9" s="154">
        <f>SUMIF(51:51,G9,52:52)-SUMIF(51:51,C9,52:52)+100</f>
        <v>100</v>
      </c>
      <c r="I9" s="793"/>
      <c r="J9" s="154">
        <f>SUMIF(51:51,I9,52:52)-SUMIF(51:51,C9,52:52)+100</f>
        <v>100</v>
      </c>
      <c r="K9" s="88"/>
      <c r="L9" s="1742"/>
      <c r="M9" s="1639"/>
      <c r="N9" s="1639"/>
      <c r="O9" s="1743"/>
      <c r="P9" s="3627" t="s">
        <v>484</v>
      </c>
      <c r="Q9" s="818" t="str">
        <f t="shared" ref="Q9:Q14" si="6">B9</f>
        <v>用途</v>
      </c>
      <c r="R9" s="1302" t="s">
        <v>5</v>
      </c>
      <c r="S9" s="1303">
        <f t="shared" si="0"/>
        <v>100</v>
      </c>
      <c r="T9" s="1302" t="s">
        <v>5</v>
      </c>
      <c r="U9" s="1303">
        <f t="shared" si="1"/>
        <v>100</v>
      </c>
      <c r="V9" s="1302" t="s">
        <v>5</v>
      </c>
      <c r="W9" s="1303">
        <f t="shared" si="2"/>
        <v>100</v>
      </c>
      <c r="X9" s="1304"/>
      <c r="Y9" s="3575" t="s">
        <v>485</v>
      </c>
      <c r="Z9" s="997" t="str">
        <f t="shared" ref="Z9:Z14" si="7">Q9</f>
        <v>用途</v>
      </c>
      <c r="AA9" s="997">
        <f t="shared" si="3"/>
        <v>1</v>
      </c>
      <c r="AB9" s="997">
        <f t="shared" si="4"/>
        <v>1</v>
      </c>
      <c r="AC9" s="997">
        <f t="shared" si="5"/>
        <v>1</v>
      </c>
    </row>
    <row r="10" spans="1:29" s="1133" customFormat="1" ht="28.8">
      <c r="A10" s="2211"/>
      <c r="B10" s="2216" t="s">
        <v>2039</v>
      </c>
      <c r="C10" s="3385"/>
      <c r="D10" s="235">
        <v>100</v>
      </c>
      <c r="E10" s="3385"/>
      <c r="F10" s="235">
        <f>SUMIF(53:53,E10,54:54)-SUMIF(53:53,C10,54:54)+100</f>
        <v>100</v>
      </c>
      <c r="G10" s="3386"/>
      <c r="H10" s="235">
        <f>SUMIF(53:53,G10,54:54)-SUMIF(53:53,C10,54:54)+100</f>
        <v>100</v>
      </c>
      <c r="I10" s="3385"/>
      <c r="J10" s="235">
        <f>SUMIF(53:53,I10,54:54)-SUMIF(53:53,C10,54:54)+100</f>
        <v>100</v>
      </c>
      <c r="K10" s="88"/>
      <c r="L10" s="1744"/>
      <c r="M10" s="1777"/>
      <c r="N10" s="1777"/>
      <c r="O10" s="1745"/>
      <c r="P10" s="3627"/>
      <c r="Q10" s="818" t="str">
        <f t="shared" si="6"/>
        <v>土地使用年限（年）</v>
      </c>
      <c r="R10" s="1302" t="s">
        <v>5</v>
      </c>
      <c r="S10" s="1303">
        <f t="shared" si="0"/>
        <v>100</v>
      </c>
      <c r="T10" s="1302" t="s">
        <v>5</v>
      </c>
      <c r="U10" s="1303">
        <f t="shared" si="1"/>
        <v>100</v>
      </c>
      <c r="V10" s="1302" t="s">
        <v>5</v>
      </c>
      <c r="W10" s="1303">
        <f t="shared" si="2"/>
        <v>100</v>
      </c>
      <c r="X10" s="1304"/>
      <c r="Y10" s="3575"/>
      <c r="Z10" s="997" t="str">
        <f t="shared" si="7"/>
        <v>土地使用年限（年）</v>
      </c>
      <c r="AA10" s="997">
        <f t="shared" si="3"/>
        <v>1</v>
      </c>
      <c r="AB10" s="997">
        <f t="shared" si="4"/>
        <v>1</v>
      </c>
      <c r="AC10" s="997">
        <f t="shared" si="5"/>
        <v>1</v>
      </c>
    </row>
    <row r="11" spans="1:29" ht="15">
      <c r="A11" s="2213"/>
      <c r="B11" s="2219">
        <v>111</v>
      </c>
      <c r="C11" s="478"/>
      <c r="D11" s="235">
        <v>100</v>
      </c>
      <c r="E11" s="806"/>
      <c r="F11" s="235">
        <f>SUMIF(55:55,E11,56:56)-SUMIF(55:55,C11,56:56)+100</f>
        <v>100</v>
      </c>
      <c r="G11" s="806"/>
      <c r="H11" s="235">
        <f>SUMIF(55:55,G11,56:56)-SUMIF(55:55,C11,56:56)+100</f>
        <v>100</v>
      </c>
      <c r="I11" s="806"/>
      <c r="J11" s="235">
        <f>SUMIF(55:55,I11,56:56)-SUMIF(55:55,C11,56:56)+100</f>
        <v>100</v>
      </c>
      <c r="K11" s="531"/>
      <c r="L11" s="1746"/>
      <c r="M11" s="1741"/>
      <c r="N11" s="1741"/>
      <c r="O11" s="1747"/>
      <c r="P11" s="3627"/>
      <c r="Q11" s="818">
        <f t="shared" si="6"/>
        <v>111</v>
      </c>
      <c r="R11" s="1302" t="s">
        <v>5</v>
      </c>
      <c r="S11" s="1303">
        <f t="shared" si="0"/>
        <v>100</v>
      </c>
      <c r="T11" s="1302" t="s">
        <v>5</v>
      </c>
      <c r="U11" s="1303">
        <f t="shared" si="1"/>
        <v>100</v>
      </c>
      <c r="V11" s="1302" t="s">
        <v>5</v>
      </c>
      <c r="W11" s="1303">
        <f t="shared" si="2"/>
        <v>100</v>
      </c>
      <c r="X11" s="1304"/>
      <c r="Y11" s="3575"/>
      <c r="Z11" s="997">
        <f t="shared" si="7"/>
        <v>111</v>
      </c>
      <c r="AA11" s="997">
        <f t="shared" si="3"/>
        <v>1</v>
      </c>
      <c r="AB11" s="997">
        <f t="shared" si="4"/>
        <v>1</v>
      </c>
      <c r="AC11" s="997">
        <f t="shared" si="5"/>
        <v>1</v>
      </c>
    </row>
    <row r="12" spans="1:29" s="1060" customFormat="1" ht="15">
      <c r="A12" s="2213"/>
      <c r="B12" s="2219">
        <v>111</v>
      </c>
      <c r="C12" s="478"/>
      <c r="D12" s="488">
        <v>100</v>
      </c>
      <c r="E12" s="806"/>
      <c r="F12" s="235">
        <f>SUMIF(57:57,E12,58:58)-SUMIF(57:57,C12,58:58)+100</f>
        <v>100</v>
      </c>
      <c r="G12" s="806"/>
      <c r="H12" s="235">
        <f>SUMIF(57:57,G12,58:58)-SUMIF(57:57,C12,58:58)+100</f>
        <v>100</v>
      </c>
      <c r="I12" s="806"/>
      <c r="J12" s="235">
        <f>SUMIF(57:57,I12,58:58)-SUMIF(57:57,C12,58:58)+100</f>
        <v>100</v>
      </c>
      <c r="K12" s="531"/>
      <c r="L12" s="1742"/>
      <c r="M12" s="1639"/>
      <c r="N12" s="1639"/>
      <c r="O12" s="1743"/>
      <c r="P12" s="3627"/>
      <c r="Q12" s="818">
        <f t="shared" si="6"/>
        <v>111</v>
      </c>
      <c r="R12" s="1302" t="s">
        <v>5</v>
      </c>
      <c r="S12" s="1303">
        <f t="shared" si="0"/>
        <v>100</v>
      </c>
      <c r="T12" s="1302" t="s">
        <v>5</v>
      </c>
      <c r="U12" s="1303">
        <f t="shared" si="1"/>
        <v>100</v>
      </c>
      <c r="V12" s="1302" t="s">
        <v>5</v>
      </c>
      <c r="W12" s="1303">
        <f t="shared" si="2"/>
        <v>100</v>
      </c>
      <c r="X12" s="1304"/>
      <c r="Y12" s="3575"/>
      <c r="Z12" s="997">
        <f t="shared" si="7"/>
        <v>111</v>
      </c>
      <c r="AA12" s="997">
        <f>D12/F12</f>
        <v>1</v>
      </c>
      <c r="AB12" s="997">
        <f>D12/H12</f>
        <v>1</v>
      </c>
      <c r="AC12" s="997">
        <f>D12/J12</f>
        <v>1</v>
      </c>
    </row>
    <row r="13" spans="1:29" ht="15.6" thickBot="1">
      <c r="A13" s="2214"/>
      <c r="B13" s="2220">
        <v>111</v>
      </c>
      <c r="C13" s="489"/>
      <c r="D13" s="490">
        <v>100</v>
      </c>
      <c r="E13" s="806"/>
      <c r="F13" s="235">
        <f>SUMIF(59:59,E13,60:60)-SUMIF(59:59,C13,60:60)+100</f>
        <v>100</v>
      </c>
      <c r="G13" s="806"/>
      <c r="H13" s="490">
        <f>SUMIF(59:59,G13,60:60)-SUMIF(59:59,C13,60:60)+100</f>
        <v>100</v>
      </c>
      <c r="I13" s="806"/>
      <c r="J13" s="490">
        <f>SUMIF(59:59,I13,60:60)-SUMIF(59:59,C13,60:60)+100</f>
        <v>100</v>
      </c>
      <c r="K13" s="531"/>
      <c r="L13" s="1748"/>
      <c r="M13" s="1741"/>
      <c r="N13" s="1741"/>
      <c r="O13" s="1747"/>
      <c r="P13" s="3627"/>
      <c r="Q13" s="818">
        <f t="shared" si="6"/>
        <v>111</v>
      </c>
      <c r="R13" s="1302" t="s">
        <v>5</v>
      </c>
      <c r="S13" s="1303">
        <f t="shared" si="0"/>
        <v>100</v>
      </c>
      <c r="T13" s="1302" t="s">
        <v>5</v>
      </c>
      <c r="U13" s="1303">
        <f t="shared" si="1"/>
        <v>100</v>
      </c>
      <c r="V13" s="1302" t="s">
        <v>5</v>
      </c>
      <c r="W13" s="1303">
        <f t="shared" si="2"/>
        <v>100</v>
      </c>
      <c r="X13" s="1304"/>
      <c r="Y13" s="3575"/>
      <c r="Z13" s="997">
        <f t="shared" si="7"/>
        <v>111</v>
      </c>
      <c r="AA13" s="997">
        <f t="shared" si="3"/>
        <v>1</v>
      </c>
      <c r="AB13" s="997">
        <f t="shared" si="4"/>
        <v>1</v>
      </c>
      <c r="AC13" s="997">
        <f t="shared" si="5"/>
        <v>1</v>
      </c>
    </row>
    <row r="14" spans="1:29" ht="96.6">
      <c r="A14" s="2206" t="s">
        <v>2036</v>
      </c>
      <c r="B14" s="150" t="s">
        <v>492</v>
      </c>
      <c r="C14" s="843"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2"/>
      <c r="L14" s="1748"/>
      <c r="M14" s="1741"/>
      <c r="N14" s="1741"/>
      <c r="O14" s="1747"/>
      <c r="P14" s="3629" t="s">
        <v>489</v>
      </c>
      <c r="Q14" s="1305" t="str">
        <f t="shared" si="6"/>
        <v>交通便捷度</v>
      </c>
      <c r="R14" s="1306" t="s">
        <v>5</v>
      </c>
      <c r="S14" s="1307">
        <f t="shared" si="0"/>
        <v>100</v>
      </c>
      <c r="T14" s="1306" t="s">
        <v>5</v>
      </c>
      <c r="U14" s="1307">
        <f t="shared" si="1"/>
        <v>100</v>
      </c>
      <c r="V14" s="1306" t="s">
        <v>5</v>
      </c>
      <c r="W14" s="1307">
        <f t="shared" si="2"/>
        <v>100</v>
      </c>
      <c r="X14" s="1301"/>
      <c r="Y14" s="3629" t="s">
        <v>489</v>
      </c>
      <c r="Z14" s="1308" t="str">
        <f t="shared" si="7"/>
        <v>交通便捷度</v>
      </c>
      <c r="AA14" s="1308">
        <f t="shared" si="3"/>
        <v>1</v>
      </c>
      <c r="AB14" s="1308">
        <f t="shared" si="4"/>
        <v>1</v>
      </c>
      <c r="AC14" s="1308">
        <f t="shared" si="5"/>
        <v>1</v>
      </c>
    </row>
    <row r="15" spans="1:29" ht="15">
      <c r="A15" s="482"/>
      <c r="B15" s="799"/>
      <c r="C15" s="526"/>
      <c r="D15" s="505"/>
      <c r="E15" s="526"/>
      <c r="F15" s="507"/>
      <c r="G15" s="526"/>
      <c r="H15" s="509"/>
      <c r="I15" s="526"/>
      <c r="J15" s="505"/>
      <c r="K15" s="823"/>
      <c r="L15" s="1748"/>
      <c r="M15" s="1741"/>
      <c r="N15" s="1741"/>
      <c r="O15" s="1747"/>
      <c r="P15" s="3630"/>
      <c r="Q15" s="1305"/>
      <c r="R15" s="1306"/>
      <c r="S15" s="1307"/>
      <c r="T15" s="1306"/>
      <c r="U15" s="1307"/>
      <c r="V15" s="1306"/>
      <c r="W15" s="1307"/>
      <c r="X15" s="1301"/>
      <c r="Y15" s="3630"/>
      <c r="Z15" s="1308"/>
      <c r="AA15" s="1308">
        <v>1</v>
      </c>
      <c r="AB15" s="1308">
        <v>1</v>
      </c>
      <c r="AC15" s="1308">
        <v>1</v>
      </c>
    </row>
    <row r="16" spans="1:29" ht="41.4">
      <c r="A16" s="482"/>
      <c r="B16" s="2061" t="s">
        <v>1829</v>
      </c>
      <c r="C16" s="801"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2"/>
      <c r="L16" s="1748"/>
      <c r="M16" s="1741"/>
      <c r="N16" s="1741"/>
      <c r="O16" s="1747"/>
      <c r="P16" s="3630"/>
      <c r="Q16" s="1305" t="str">
        <f>B16</f>
        <v>公共配套设施</v>
      </c>
      <c r="R16" s="1306" t="s">
        <v>5</v>
      </c>
      <c r="S16" s="1307">
        <f>F16</f>
        <v>100</v>
      </c>
      <c r="T16" s="1306" t="s">
        <v>5</v>
      </c>
      <c r="U16" s="1307">
        <f>H16</f>
        <v>100</v>
      </c>
      <c r="V16" s="1306" t="s">
        <v>5</v>
      </c>
      <c r="W16" s="1307">
        <f>J16</f>
        <v>100</v>
      </c>
      <c r="X16" s="1301"/>
      <c r="Y16" s="3630"/>
      <c r="Z16" s="1308" t="str">
        <f>Q16</f>
        <v>公共配套设施</v>
      </c>
      <c r="AA16" s="1308">
        <f t="shared" si="3"/>
        <v>1</v>
      </c>
      <c r="AB16" s="1308">
        <f t="shared" si="4"/>
        <v>1</v>
      </c>
      <c r="AC16" s="1308">
        <f t="shared" si="5"/>
        <v>1</v>
      </c>
    </row>
    <row r="17" spans="1:29" ht="15">
      <c r="A17" s="482"/>
      <c r="B17" s="516"/>
      <c r="C17" s="802"/>
      <c r="D17" s="505"/>
      <c r="E17" s="526"/>
      <c r="F17" s="507"/>
      <c r="G17" s="526"/>
      <c r="H17" s="505"/>
      <c r="I17" s="526"/>
      <c r="J17" s="505"/>
      <c r="K17" s="823"/>
      <c r="L17" s="1748"/>
      <c r="M17" s="1741"/>
      <c r="N17" s="1741"/>
      <c r="O17" s="1747"/>
      <c r="P17" s="3630"/>
      <c r="Q17" s="1305"/>
      <c r="R17" s="1306"/>
      <c r="S17" s="1307"/>
      <c r="T17" s="1306"/>
      <c r="U17" s="1307"/>
      <c r="V17" s="1306"/>
      <c r="W17" s="1307"/>
      <c r="X17" s="1301"/>
      <c r="Y17" s="3630"/>
      <c r="Z17" s="1308"/>
      <c r="AA17" s="1308">
        <v>1</v>
      </c>
      <c r="AB17" s="1308">
        <v>1</v>
      </c>
      <c r="AC17" s="1308">
        <v>1</v>
      </c>
    </row>
    <row r="18" spans="1:29" ht="41.4">
      <c r="A18" s="482"/>
      <c r="B18" s="2049" t="s">
        <v>1841</v>
      </c>
      <c r="C18" s="801"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2"/>
      <c r="L18" s="1748"/>
      <c r="M18" s="1741"/>
      <c r="N18" s="1741"/>
      <c r="O18" s="1747"/>
      <c r="P18" s="3630"/>
      <c r="Q18" s="1305" t="str">
        <f>B18</f>
        <v>基础设施水平</v>
      </c>
      <c r="R18" s="1306" t="s">
        <v>5</v>
      </c>
      <c r="S18" s="1307">
        <f>F18</f>
        <v>100</v>
      </c>
      <c r="T18" s="1306" t="s">
        <v>5</v>
      </c>
      <c r="U18" s="1307">
        <f>H18</f>
        <v>100</v>
      </c>
      <c r="V18" s="1306" t="s">
        <v>5</v>
      </c>
      <c r="W18" s="1307">
        <f>J18</f>
        <v>100</v>
      </c>
      <c r="X18" s="1301"/>
      <c r="Y18" s="3630"/>
      <c r="Z18" s="1308" t="str">
        <f>Q18</f>
        <v>基础设施水平</v>
      </c>
      <c r="AA18" s="1308">
        <f>D18/F18</f>
        <v>1</v>
      </c>
      <c r="AB18" s="1308">
        <f>D18/H18</f>
        <v>1</v>
      </c>
      <c r="AC18" s="1308">
        <f>D18/J18</f>
        <v>1</v>
      </c>
    </row>
    <row r="19" spans="1:29" ht="15">
      <c r="A19" s="482"/>
      <c r="B19" s="528"/>
      <c r="C19" s="802"/>
      <c r="D19" s="509"/>
      <c r="E19" s="802"/>
      <c r="F19" s="513"/>
      <c r="G19" s="802"/>
      <c r="H19" s="505"/>
      <c r="I19" s="526"/>
      <c r="J19" s="505"/>
      <c r="K19" s="2060"/>
      <c r="L19" s="1748"/>
      <c r="M19" s="1741"/>
      <c r="N19" s="1741"/>
      <c r="O19" s="1747"/>
      <c r="P19" s="3630"/>
      <c r="Q19" s="1305"/>
      <c r="R19" s="1306"/>
      <c r="S19" s="1307"/>
      <c r="T19" s="1306"/>
      <c r="U19" s="1307"/>
      <c r="V19" s="1306"/>
      <c r="W19" s="1307"/>
      <c r="X19" s="1301"/>
      <c r="Y19" s="3630"/>
      <c r="Z19" s="1308"/>
      <c r="AA19" s="1308">
        <v>1</v>
      </c>
      <c r="AB19" s="1308">
        <v>1</v>
      </c>
      <c r="AC19" s="1308">
        <v>1</v>
      </c>
    </row>
    <row r="20" spans="1:29" ht="55.2">
      <c r="A20" s="482"/>
      <c r="B20" s="677" t="s">
        <v>744</v>
      </c>
      <c r="C20" s="801"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2"/>
      <c r="L20" s="1748"/>
      <c r="M20" s="1741"/>
      <c r="N20" s="1741"/>
      <c r="O20" s="1747"/>
      <c r="P20" s="3630"/>
      <c r="Q20" s="1305" t="str">
        <f>B20</f>
        <v>自然及人文环境</v>
      </c>
      <c r="R20" s="1306" t="s">
        <v>5</v>
      </c>
      <c r="S20" s="1307">
        <f>F20</f>
        <v>100</v>
      </c>
      <c r="T20" s="1306" t="s">
        <v>5</v>
      </c>
      <c r="U20" s="1307">
        <f>H20</f>
        <v>100</v>
      </c>
      <c r="V20" s="1306" t="s">
        <v>5</v>
      </c>
      <c r="W20" s="1307">
        <f>J20</f>
        <v>100</v>
      </c>
      <c r="X20" s="1301"/>
      <c r="Y20" s="3630"/>
      <c r="Z20" s="1308" t="str">
        <f>Q20</f>
        <v>自然及人文环境</v>
      </c>
      <c r="AA20" s="1308">
        <f t="shared" si="3"/>
        <v>1</v>
      </c>
      <c r="AB20" s="1308">
        <f t="shared" si="4"/>
        <v>1</v>
      </c>
      <c r="AC20" s="1308">
        <f t="shared" si="5"/>
        <v>1</v>
      </c>
    </row>
    <row r="21" spans="1:29" ht="15">
      <c r="A21" s="482"/>
      <c r="B21" s="544"/>
      <c r="C21" s="526"/>
      <c r="D21" s="505"/>
      <c r="E21" s="526"/>
      <c r="F21" s="507"/>
      <c r="G21" s="526"/>
      <c r="H21" s="505"/>
      <c r="I21" s="526"/>
      <c r="J21" s="505"/>
      <c r="K21" s="823"/>
      <c r="L21" s="1748"/>
      <c r="M21" s="1741"/>
      <c r="N21" s="1741"/>
      <c r="O21" s="1747"/>
      <c r="P21" s="3630"/>
      <c r="Q21" s="1305"/>
      <c r="R21" s="1306"/>
      <c r="S21" s="1307"/>
      <c r="T21" s="1306"/>
      <c r="U21" s="1307"/>
      <c r="V21" s="1306"/>
      <c r="W21" s="1307"/>
      <c r="X21" s="1301"/>
      <c r="Y21" s="3630"/>
      <c r="Z21" s="1308"/>
      <c r="AA21" s="1308">
        <v>1</v>
      </c>
      <c r="AB21" s="1308">
        <v>1</v>
      </c>
      <c r="AC21" s="1308">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8"/>
      <c r="M22" s="1741"/>
      <c r="N22" s="1741"/>
      <c r="O22" s="1747"/>
      <c r="P22" s="3630"/>
      <c r="Q22" s="1305" t="str">
        <f>B22</f>
        <v>楼层</v>
      </c>
      <c r="R22" s="1306" t="s">
        <v>5</v>
      </c>
      <c r="S22" s="1307">
        <f>F22</f>
        <v>100</v>
      </c>
      <c r="T22" s="1306" t="s">
        <v>5</v>
      </c>
      <c r="U22" s="1307">
        <f>H22</f>
        <v>100</v>
      </c>
      <c r="V22" s="1306" t="s">
        <v>5</v>
      </c>
      <c r="W22" s="1307">
        <f>J22</f>
        <v>100</v>
      </c>
      <c r="X22" s="1301"/>
      <c r="Y22" s="3630"/>
      <c r="Z22" s="1308" t="str">
        <f>Q22</f>
        <v>楼层</v>
      </c>
      <c r="AA22" s="1308">
        <f t="shared" si="3"/>
        <v>1</v>
      </c>
      <c r="AB22" s="1308">
        <f t="shared" si="4"/>
        <v>1</v>
      </c>
      <c r="AC22" s="1308">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8"/>
      <c r="M23" s="1741"/>
      <c r="N23" s="1741"/>
      <c r="O23" s="1747"/>
      <c r="P23" s="3630"/>
      <c r="Q23" s="1305">
        <f>B23</f>
        <v>111</v>
      </c>
      <c r="R23" s="1306" t="s">
        <v>5</v>
      </c>
      <c r="S23" s="1307">
        <f>F23</f>
        <v>100</v>
      </c>
      <c r="T23" s="1306" t="s">
        <v>5</v>
      </c>
      <c r="U23" s="1307">
        <f>H23</f>
        <v>100</v>
      </c>
      <c r="V23" s="1306" t="s">
        <v>5</v>
      </c>
      <c r="W23" s="1307">
        <f>J23</f>
        <v>100</v>
      </c>
      <c r="X23" s="1301"/>
      <c r="Y23" s="3630"/>
      <c r="Z23" s="1308">
        <f>Q23</f>
        <v>111</v>
      </c>
      <c r="AA23" s="1308">
        <f t="shared" si="3"/>
        <v>1</v>
      </c>
      <c r="AB23" s="1308">
        <f t="shared" si="4"/>
        <v>1</v>
      </c>
      <c r="AC23" s="1308">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8"/>
      <c r="M24" s="1741"/>
      <c r="N24" s="1741"/>
      <c r="O24" s="1747"/>
      <c r="P24" s="3630"/>
      <c r="Q24" s="1305">
        <f t="shared" ref="Q24:Q34" si="8">B24</f>
        <v>111</v>
      </c>
      <c r="R24" s="1306" t="s">
        <v>5</v>
      </c>
      <c r="S24" s="1307">
        <f>F24</f>
        <v>100</v>
      </c>
      <c r="T24" s="1306" t="s">
        <v>5</v>
      </c>
      <c r="U24" s="1307">
        <f>H24</f>
        <v>100</v>
      </c>
      <c r="V24" s="1306" t="s">
        <v>5</v>
      </c>
      <c r="W24" s="1307">
        <f>J24</f>
        <v>100</v>
      </c>
      <c r="X24" s="1301"/>
      <c r="Y24" s="3630"/>
      <c r="Z24" s="1308">
        <f>Q24</f>
        <v>111</v>
      </c>
      <c r="AA24" s="1308">
        <f t="shared" si="3"/>
        <v>1</v>
      </c>
      <c r="AB24" s="1308">
        <f t="shared" si="4"/>
        <v>1</v>
      </c>
      <c r="AC24" s="1308">
        <f t="shared" si="5"/>
        <v>1</v>
      </c>
    </row>
    <row r="25" spans="1:29" s="1060" customFormat="1" ht="15.6"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2"/>
      <c r="M25" s="1639"/>
      <c r="N25" s="1639"/>
      <c r="O25" s="1743"/>
      <c r="P25" s="3630"/>
      <c r="Q25" s="818">
        <f t="shared" si="8"/>
        <v>111</v>
      </c>
      <c r="R25" s="1302" t="s">
        <v>5</v>
      </c>
      <c r="S25" s="1303">
        <f>F25</f>
        <v>100</v>
      </c>
      <c r="T25" s="1302" t="s">
        <v>5</v>
      </c>
      <c r="U25" s="1303">
        <f>H25</f>
        <v>100</v>
      </c>
      <c r="V25" s="1302" t="s">
        <v>5</v>
      </c>
      <c r="W25" s="1303">
        <f>J25</f>
        <v>100</v>
      </c>
      <c r="X25" s="1304"/>
      <c r="Y25" s="3630"/>
      <c r="Z25" s="997">
        <f>Q25</f>
        <v>111</v>
      </c>
      <c r="AA25" s="1308">
        <f>D25/F25</f>
        <v>1</v>
      </c>
      <c r="AB25" s="1308">
        <f>D25/H25</f>
        <v>1</v>
      </c>
      <c r="AC25" s="1308">
        <f>D25/J25</f>
        <v>1</v>
      </c>
    </row>
    <row r="26" spans="1:29" ht="15">
      <c r="A26" s="2203"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48"/>
      <c r="M26" s="1741"/>
      <c r="N26" s="1741"/>
      <c r="O26" s="1747"/>
      <c r="P26" s="3631" t="s">
        <v>761</v>
      </c>
      <c r="Q26" s="1305" t="str">
        <f t="shared" si="8"/>
        <v>公共部分装修</v>
      </c>
      <c r="R26" s="1306" t="s">
        <v>5</v>
      </c>
      <c r="S26" s="1307">
        <f t="shared" ref="S26:S34" si="9">F26</f>
        <v>100</v>
      </c>
      <c r="T26" s="1306" t="s">
        <v>5</v>
      </c>
      <c r="U26" s="1307">
        <f t="shared" ref="U26:U34" si="10">H26</f>
        <v>100</v>
      </c>
      <c r="V26" s="1306" t="s">
        <v>5</v>
      </c>
      <c r="W26" s="1307">
        <f t="shared" ref="W26:W34" si="11">J26</f>
        <v>100</v>
      </c>
      <c r="X26" s="1301"/>
      <c r="Y26" s="3632" t="s">
        <v>761</v>
      </c>
      <c r="Z26" s="1308" t="str">
        <f t="shared" ref="Z26:Z34" si="12">Q26</f>
        <v>公共部分装修</v>
      </c>
      <c r="AA26" s="1308">
        <f t="shared" si="3"/>
        <v>1</v>
      </c>
      <c r="AB26" s="1308">
        <f t="shared" si="4"/>
        <v>1</v>
      </c>
      <c r="AC26" s="1308">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6"/>
      <c r="M27" s="1770"/>
      <c r="N27" s="1770"/>
      <c r="O27" s="1749"/>
      <c r="P27" s="3632"/>
      <c r="Q27" s="819" t="str">
        <f t="shared" si="8"/>
        <v>成新率</v>
      </c>
      <c r="R27" s="1309" t="s">
        <v>5</v>
      </c>
      <c r="S27" s="1310" t="e">
        <f t="shared" si="9"/>
        <v>#N/A</v>
      </c>
      <c r="T27" s="1309" t="s">
        <v>5</v>
      </c>
      <c r="U27" s="1310" t="e">
        <f t="shared" si="10"/>
        <v>#N/A</v>
      </c>
      <c r="V27" s="1309" t="s">
        <v>5</v>
      </c>
      <c r="W27" s="1310" t="e">
        <f t="shared" si="11"/>
        <v>#N/A</v>
      </c>
      <c r="X27" s="1311"/>
      <c r="Y27" s="3632"/>
      <c r="Z27" s="1312" t="str">
        <f t="shared" si="12"/>
        <v>成新率</v>
      </c>
      <c r="AA27" s="1308" t="e">
        <f t="shared" si="3"/>
        <v>#N/A</v>
      </c>
      <c r="AB27" s="1308" t="e">
        <f t="shared" si="4"/>
        <v>#N/A</v>
      </c>
      <c r="AC27" s="1308"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8"/>
      <c r="M28" s="1741"/>
      <c r="N28" s="1741"/>
      <c r="O28" s="1747"/>
      <c r="P28" s="3632"/>
      <c r="Q28" s="1305" t="str">
        <f t="shared" si="8"/>
        <v>物业等级</v>
      </c>
      <c r="R28" s="1306" t="s">
        <v>5</v>
      </c>
      <c r="S28" s="1307">
        <f t="shared" si="9"/>
        <v>100</v>
      </c>
      <c r="T28" s="1306" t="s">
        <v>5</v>
      </c>
      <c r="U28" s="1307">
        <f t="shared" si="10"/>
        <v>100</v>
      </c>
      <c r="V28" s="1306" t="s">
        <v>5</v>
      </c>
      <c r="W28" s="1307">
        <f t="shared" si="11"/>
        <v>100</v>
      </c>
      <c r="X28" s="1301"/>
      <c r="Y28" s="3632"/>
      <c r="Z28" s="1308" t="str">
        <f t="shared" si="12"/>
        <v>物业等级</v>
      </c>
      <c r="AA28" s="1308">
        <f t="shared" si="3"/>
        <v>1</v>
      </c>
      <c r="AB28" s="1308">
        <f t="shared" si="4"/>
        <v>1</v>
      </c>
      <c r="AC28" s="1308">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48"/>
      <c r="M29" s="1741"/>
      <c r="N29" s="1741"/>
      <c r="O29" s="1747"/>
      <c r="P29" s="3632"/>
      <c r="Q29" s="1305" t="str">
        <f t="shared" si="8"/>
        <v>有无电梯</v>
      </c>
      <c r="R29" s="1306" t="s">
        <v>5</v>
      </c>
      <c r="S29" s="1307">
        <f t="shared" si="9"/>
        <v>100</v>
      </c>
      <c r="T29" s="1306" t="s">
        <v>5</v>
      </c>
      <c r="U29" s="1307">
        <f t="shared" si="10"/>
        <v>100</v>
      </c>
      <c r="V29" s="1306" t="s">
        <v>5</v>
      </c>
      <c r="W29" s="1307">
        <f t="shared" si="11"/>
        <v>100</v>
      </c>
      <c r="X29" s="1301"/>
      <c r="Y29" s="3632"/>
      <c r="Z29" s="1308" t="str">
        <f t="shared" si="12"/>
        <v>有无电梯</v>
      </c>
      <c r="AA29" s="1308">
        <f t="shared" si="3"/>
        <v>1</v>
      </c>
      <c r="AB29" s="1308">
        <f t="shared" si="4"/>
        <v>1</v>
      </c>
      <c r="AC29" s="1308">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8"/>
      <c r="M30" s="1741"/>
      <c r="N30" s="1741"/>
      <c r="O30" s="1747"/>
      <c r="P30" s="3632"/>
      <c r="Q30" s="1305" t="str">
        <f t="shared" si="8"/>
        <v>建筑面积</v>
      </c>
      <c r="R30" s="1306" t="s">
        <v>5</v>
      </c>
      <c r="S30" s="1307" t="e">
        <f t="shared" si="9"/>
        <v>#N/A</v>
      </c>
      <c r="T30" s="1306" t="s">
        <v>5</v>
      </c>
      <c r="U30" s="1307" t="e">
        <f t="shared" si="10"/>
        <v>#N/A</v>
      </c>
      <c r="V30" s="1306" t="s">
        <v>5</v>
      </c>
      <c r="W30" s="1307" t="e">
        <f t="shared" si="11"/>
        <v>#N/A</v>
      </c>
      <c r="X30" s="1301"/>
      <c r="Y30" s="3632"/>
      <c r="Z30" s="1308" t="str">
        <f t="shared" si="12"/>
        <v>建筑面积</v>
      </c>
      <c r="AA30" s="1308" t="e">
        <f t="shared" si="3"/>
        <v>#N/A</v>
      </c>
      <c r="AB30" s="1308" t="e">
        <f t="shared" si="4"/>
        <v>#N/A</v>
      </c>
      <c r="AC30" s="1308"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2"/>
      <c r="M31" s="1639"/>
      <c r="N31" s="1639"/>
      <c r="O31" s="1743"/>
      <c r="P31" s="3632"/>
      <c r="Q31" s="818" t="str">
        <f t="shared" si="8"/>
        <v>是否封闭</v>
      </c>
      <c r="R31" s="1302" t="s">
        <v>5</v>
      </c>
      <c r="S31" s="1303">
        <f t="shared" si="9"/>
        <v>100</v>
      </c>
      <c r="T31" s="1302" t="s">
        <v>5</v>
      </c>
      <c r="U31" s="1303">
        <f t="shared" si="10"/>
        <v>100</v>
      </c>
      <c r="V31" s="1302" t="s">
        <v>5</v>
      </c>
      <c r="W31" s="1303">
        <f t="shared" si="11"/>
        <v>100</v>
      </c>
      <c r="X31" s="1304"/>
      <c r="Y31" s="3632"/>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8"/>
      <c r="M32" s="1741"/>
      <c r="N32" s="1741"/>
      <c r="O32" s="1747"/>
      <c r="P32" s="3632" t="s">
        <v>499</v>
      </c>
      <c r="Q32" s="1305">
        <f t="shared" si="8"/>
        <v>111</v>
      </c>
      <c r="R32" s="1306" t="s">
        <v>5</v>
      </c>
      <c r="S32" s="1307">
        <f t="shared" si="9"/>
        <v>100</v>
      </c>
      <c r="T32" s="1306" t="s">
        <v>5</v>
      </c>
      <c r="U32" s="1307">
        <f t="shared" si="10"/>
        <v>100</v>
      </c>
      <c r="V32" s="1306" t="s">
        <v>5</v>
      </c>
      <c r="W32" s="1307">
        <f t="shared" si="11"/>
        <v>100</v>
      </c>
      <c r="X32" s="1301"/>
      <c r="Y32" s="3632" t="s">
        <v>499</v>
      </c>
      <c r="Z32" s="1308">
        <f t="shared" si="12"/>
        <v>111</v>
      </c>
      <c r="AA32" s="1308">
        <f t="shared" si="3"/>
        <v>1</v>
      </c>
      <c r="AB32" s="1308">
        <f t="shared" si="4"/>
        <v>1</v>
      </c>
      <c r="AC32" s="1308">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8"/>
      <c r="M33" s="1741"/>
      <c r="N33" s="1741"/>
      <c r="O33" s="1747"/>
      <c r="P33" s="3632"/>
      <c r="Q33" s="1305">
        <f t="shared" si="8"/>
        <v>111</v>
      </c>
      <c r="R33" s="1306" t="s">
        <v>5</v>
      </c>
      <c r="S33" s="1307">
        <f t="shared" si="9"/>
        <v>100</v>
      </c>
      <c r="T33" s="1306" t="s">
        <v>5</v>
      </c>
      <c r="U33" s="1307">
        <f t="shared" si="10"/>
        <v>100</v>
      </c>
      <c r="V33" s="1306" t="s">
        <v>5</v>
      </c>
      <c r="W33" s="1307">
        <f t="shared" si="11"/>
        <v>100</v>
      </c>
      <c r="X33" s="1301"/>
      <c r="Y33" s="3632"/>
      <c r="Z33" s="1308">
        <f t="shared" si="12"/>
        <v>111</v>
      </c>
      <c r="AA33" s="1308">
        <f t="shared" si="3"/>
        <v>1</v>
      </c>
      <c r="AB33" s="1308">
        <f t="shared" si="4"/>
        <v>1</v>
      </c>
      <c r="AC33" s="1308">
        <f t="shared" si="5"/>
        <v>1</v>
      </c>
    </row>
    <row r="34" spans="1:29" ht="15.6"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8"/>
      <c r="M34" s="1741"/>
      <c r="N34" s="1741"/>
      <c r="O34" s="1747"/>
      <c r="P34" s="3632"/>
      <c r="Q34" s="1305">
        <f t="shared" si="8"/>
        <v>111</v>
      </c>
      <c r="R34" s="1306" t="s">
        <v>5</v>
      </c>
      <c r="S34" s="1307">
        <f t="shared" si="9"/>
        <v>100</v>
      </c>
      <c r="T34" s="1306" t="s">
        <v>5</v>
      </c>
      <c r="U34" s="1307">
        <f t="shared" si="10"/>
        <v>100</v>
      </c>
      <c r="V34" s="1306" t="s">
        <v>5</v>
      </c>
      <c r="W34" s="1307">
        <f t="shared" si="11"/>
        <v>100</v>
      </c>
      <c r="X34" s="1301"/>
      <c r="Y34" s="3632"/>
      <c r="Z34" s="1308">
        <f t="shared" si="12"/>
        <v>111</v>
      </c>
      <c r="AA34" s="1308">
        <f t="shared" si="3"/>
        <v>1</v>
      </c>
      <c r="AB34" s="1308">
        <f t="shared" si="4"/>
        <v>1</v>
      </c>
      <c r="AC34" s="1308">
        <f t="shared" si="5"/>
        <v>1</v>
      </c>
    </row>
    <row r="35" spans="1:29" ht="14.4">
      <c r="A35" s="556" t="s">
        <v>683</v>
      </c>
      <c r="B35" s="812"/>
      <c r="C35" s="2080" t="s">
        <v>0</v>
      </c>
      <c r="D35" s="559"/>
      <c r="E35" s="560"/>
      <c r="F35" s="561"/>
      <c r="G35" s="562"/>
      <c r="H35" s="563"/>
      <c r="I35" s="560"/>
      <c r="J35" s="563"/>
      <c r="K35" s="1334"/>
      <c r="L35" s="1750"/>
      <c r="M35" s="1741"/>
      <c r="N35" s="1741"/>
      <c r="O35" s="1741"/>
      <c r="P35" s="3627" t="str">
        <f>A35</f>
        <v>成交单价（元/平方米）</v>
      </c>
      <c r="Q35" s="3627"/>
      <c r="R35" s="3643">
        <f>E35</f>
        <v>0</v>
      </c>
      <c r="S35" s="3643"/>
      <c r="T35" s="3643">
        <f>G35</f>
        <v>0</v>
      </c>
      <c r="U35" s="3643"/>
      <c r="V35" s="3643">
        <f>I35</f>
        <v>0</v>
      </c>
      <c r="W35" s="3643"/>
      <c r="X35" s="799"/>
      <c r="Y35" s="1313"/>
      <c r="Z35" s="799"/>
      <c r="AA35" s="799"/>
      <c r="AB35" s="799"/>
      <c r="AC35" s="799"/>
    </row>
    <row r="36" spans="1:29" ht="15" thickBot="1">
      <c r="A36" s="564" t="s">
        <v>2042</v>
      </c>
      <c r="B36" s="813"/>
      <c r="C36" s="2081" t="e">
        <f>R37</f>
        <v>#DIV/0!</v>
      </c>
      <c r="D36" s="2549" t="s">
        <v>2262</v>
      </c>
      <c r="E36" s="2082" t="e">
        <f>R36</f>
        <v>#DIV/0!</v>
      </c>
      <c r="F36" s="2550"/>
      <c r="G36" s="2081" t="e">
        <f>T36</f>
        <v>#DIV/0!</v>
      </c>
      <c r="H36" s="2550"/>
      <c r="I36" s="2082" t="e">
        <f>V36</f>
        <v>#DIV/0!</v>
      </c>
      <c r="J36" s="2550"/>
      <c r="K36" s="2557">
        <f>F36+H36+J36</f>
        <v>0</v>
      </c>
      <c r="L36" s="1750"/>
      <c r="M36" s="1741"/>
      <c r="N36" s="1741"/>
      <c r="O36" s="1741"/>
      <c r="P36" s="3627" t="str">
        <f>A36</f>
        <v>比较价格（元/平方米）</v>
      </c>
      <c r="Q36" s="3627"/>
      <c r="R36" s="3643" t="e">
        <f>IF(F1="售价",ROUND(PRODUCT(R35,AA7:AA34),0),ROUND(PRODUCT(R35,AA7:AA34),1))</f>
        <v>#DIV/0!</v>
      </c>
      <c r="S36" s="3643"/>
      <c r="T36" s="3643" t="e">
        <f>IF(F1="售价",ROUND(PRODUCT(T35,AB7:AB34),0),ROUND(PRODUCT(T35,AB7:AB34),1))</f>
        <v>#DIV/0!</v>
      </c>
      <c r="U36" s="3643"/>
      <c r="V36" s="3643" t="e">
        <f>IF(F1="售价",ROUND(PRODUCT(V35,AC7:AC34),0),ROUND(PRODUCT(V35,AC7:AC34),1))</f>
        <v>#DIV/0!</v>
      </c>
      <c r="W36" s="3643"/>
      <c r="X36" s="799"/>
      <c r="Y36" s="799"/>
      <c r="Z36" s="799"/>
      <c r="AA36" s="799"/>
      <c r="AB36" s="799"/>
      <c r="AC36" s="799"/>
    </row>
    <row r="37" spans="1:29" ht="15" thickBot="1">
      <c r="A37" s="568" t="s">
        <v>2198</v>
      </c>
      <c r="B37" s="569"/>
      <c r="C37" s="469" t="e">
        <f>R37</f>
        <v>#DIV/0!</v>
      </c>
      <c r="D37" s="469"/>
      <c r="E37" s="469"/>
      <c r="F37" s="469"/>
      <c r="G37" s="469"/>
      <c r="H37" s="469"/>
      <c r="I37" s="469"/>
      <c r="J37" s="469"/>
      <c r="K37" s="1335"/>
      <c r="L37" s="1750"/>
      <c r="M37" s="1741"/>
      <c r="N37" s="1741"/>
      <c r="O37" s="1741"/>
      <c r="P37" s="3633" t="str">
        <f>A37</f>
        <v>估价对象XX用房的比较价格（楼面单价，元/平方米）</v>
      </c>
      <c r="Q37" s="3634"/>
      <c r="R37" s="3740" t="e">
        <f>IF(F1="售价",ROUND(IF(D36="简单平均",AVERAGE(R36:W36),R36*F36+T36*H36+V36*J36),0),ROUND(IF(D36="简单平均",AVERAGE(R36:V36),R36*F36+T36*H36+V36*J36),1))</f>
        <v>#DIV/0!</v>
      </c>
      <c r="S37" s="3740"/>
      <c r="T37" s="3740"/>
      <c r="U37" s="3740"/>
      <c r="V37" s="3740"/>
      <c r="W37" s="3740"/>
      <c r="X37" s="799"/>
      <c r="Y37" s="799"/>
      <c r="Z37" s="799"/>
      <c r="AA37" s="799"/>
      <c r="AB37" s="799"/>
      <c r="AC37" s="799"/>
    </row>
    <row r="38" spans="1:29">
      <c r="A38" s="2720"/>
      <c r="B38" s="2720"/>
      <c r="C38" s="2720"/>
      <c r="D38" s="2720"/>
      <c r="E38" s="2720"/>
      <c r="F38" s="2720"/>
      <c r="G38" s="2722"/>
      <c r="H38" s="2720"/>
      <c r="I38" s="2720"/>
      <c r="J38" s="2720"/>
      <c r="K38" s="2723"/>
      <c r="L38" s="1754"/>
      <c r="M38" s="1741"/>
      <c r="N38" s="1741"/>
      <c r="O38" s="1741"/>
      <c r="P38" s="1741"/>
      <c r="Q38" s="1741"/>
      <c r="R38" s="1741"/>
      <c r="S38" s="1741"/>
      <c r="T38" s="1741"/>
      <c r="U38" s="1741"/>
      <c r="V38" s="1741"/>
      <c r="W38" s="1741"/>
      <c r="X38" s="1741"/>
      <c r="Y38" s="1741"/>
      <c r="Z38" s="1741"/>
      <c r="AA38" s="1741"/>
      <c r="AB38" s="1741"/>
      <c r="AC38" s="1741"/>
    </row>
    <row r="39" spans="1:29">
      <c r="A39" s="2720"/>
      <c r="B39" s="2720"/>
      <c r="C39" s="2720"/>
      <c r="D39" s="2720"/>
      <c r="E39" s="2720"/>
      <c r="F39" s="2720"/>
      <c r="G39" s="2720"/>
      <c r="H39" s="2720"/>
      <c r="I39" s="2720"/>
      <c r="J39" s="2720"/>
      <c r="K39" s="2723"/>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20"/>
      <c r="B40" s="2720"/>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3"/>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20"/>
      <c r="B41" s="2720"/>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3"/>
      <c r="L41" s="1754"/>
      <c r="M41" s="1741"/>
      <c r="N41" s="1741"/>
      <c r="O41" s="1741"/>
      <c r="P41" s="1741"/>
      <c r="Q41" s="1741"/>
      <c r="R41" s="1741"/>
      <c r="S41" s="1741"/>
      <c r="T41" s="1741"/>
      <c r="U41" s="1741"/>
      <c r="V41" s="1741"/>
      <c r="W41" s="1741"/>
      <c r="X41" s="1741"/>
      <c r="Y41" s="1741"/>
      <c r="Z41" s="1741"/>
      <c r="AA41" s="1741"/>
      <c r="AB41" s="1741"/>
      <c r="AC41" s="1741"/>
    </row>
    <row r="42" spans="1:29" s="1139" customFormat="1" ht="13.5" customHeight="1">
      <c r="A42" s="2721"/>
      <c r="B42" s="2721"/>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4"/>
      <c r="L42" s="1757"/>
      <c r="M42" s="1751"/>
      <c r="N42" s="1751"/>
      <c r="O42" s="1751"/>
      <c r="P42" s="1751"/>
      <c r="Q42" s="1751"/>
      <c r="R42" s="1751"/>
      <c r="S42" s="1751"/>
      <c r="T42" s="1751"/>
      <c r="U42" s="1751"/>
      <c r="V42" s="1751"/>
      <c r="W42" s="1751"/>
      <c r="X42" s="1751"/>
      <c r="Y42" s="1751"/>
      <c r="Z42" s="1751"/>
      <c r="AA42" s="1751"/>
      <c r="AB42" s="1751"/>
      <c r="AC42" s="1751"/>
    </row>
    <row r="43" spans="1:29" s="1139"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2.2" thickBot="1">
      <c r="A45" s="1316" t="s">
        <v>522</v>
      </c>
      <c r="B45" s="799"/>
      <c r="C45" s="1315"/>
      <c r="D45" s="1315"/>
      <c r="E45" s="1315"/>
      <c r="F45" s="1317"/>
      <c r="G45" s="1317"/>
      <c r="H45" s="1315"/>
      <c r="I45" s="1315"/>
      <c r="J45" s="1315"/>
      <c r="K45" s="1318"/>
      <c r="L45" s="1314"/>
      <c r="M45" s="1315"/>
      <c r="N45" s="1761"/>
      <c r="O45" s="1761"/>
      <c r="P45" s="1761"/>
      <c r="Q45" s="1762"/>
      <c r="R45" s="1741"/>
      <c r="S45" s="1741"/>
      <c r="T45" s="1741"/>
      <c r="U45" s="1741"/>
      <c r="V45" s="1741"/>
      <c r="W45" s="1741"/>
      <c r="X45" s="1741"/>
      <c r="Y45" s="1741"/>
      <c r="Z45" s="1741"/>
      <c r="AA45" s="1741"/>
      <c r="AB45" s="1741"/>
      <c r="AC45" s="1741"/>
    </row>
    <row r="46" spans="1:29" s="1141" customFormat="1" ht="14.4">
      <c r="A46" s="592" t="s">
        <v>478</v>
      </c>
      <c r="B46" s="593"/>
      <c r="C46" s="2112" t="str">
        <f>YEAR(C7)&amp;"-"&amp;MONTH(C7)</f>
        <v>2025-7</v>
      </c>
      <c r="D46" s="2114">
        <f>EDATE(C46,-1)</f>
        <v>45809</v>
      </c>
      <c r="E46" s="2114">
        <f t="shared" ref="E46:O46" si="13">EDATE(D46,-1)</f>
        <v>45778</v>
      </c>
      <c r="F46" s="2114">
        <f t="shared" si="13"/>
        <v>45748</v>
      </c>
      <c r="G46" s="2114">
        <f t="shared" si="13"/>
        <v>45717</v>
      </c>
      <c r="H46" s="2114">
        <f t="shared" si="13"/>
        <v>45689</v>
      </c>
      <c r="I46" s="2114">
        <f t="shared" si="13"/>
        <v>45658</v>
      </c>
      <c r="J46" s="2114">
        <f t="shared" si="13"/>
        <v>45627</v>
      </c>
      <c r="K46" s="2114">
        <f t="shared" si="13"/>
        <v>45597</v>
      </c>
      <c r="L46" s="2114">
        <f t="shared" si="13"/>
        <v>45566</v>
      </c>
      <c r="M46" s="2114">
        <f t="shared" si="13"/>
        <v>45536</v>
      </c>
      <c r="N46" s="2114">
        <f t="shared" si="13"/>
        <v>45505</v>
      </c>
      <c r="O46" s="2114">
        <f t="shared" si="13"/>
        <v>45474</v>
      </c>
      <c r="P46" s="1764"/>
      <c r="Q46" s="1764"/>
      <c r="R46" s="1764"/>
      <c r="S46" s="1764"/>
      <c r="T46" s="1764"/>
      <c r="U46" s="1764"/>
      <c r="V46" s="1764"/>
      <c r="W46" s="1764"/>
      <c r="X46" s="1764"/>
      <c r="Y46" s="1764"/>
      <c r="Z46" s="1764"/>
      <c r="AA46" s="1764"/>
      <c r="AB46" s="1764"/>
      <c r="AC46" s="1764"/>
    </row>
    <row r="47" spans="1:29" s="1060" customFormat="1">
      <c r="A47" s="527"/>
      <c r="B47" s="594"/>
      <c r="C47" s="595">
        <v>100</v>
      </c>
      <c r="D47" s="596"/>
      <c r="E47" s="596"/>
      <c r="F47" s="596"/>
      <c r="G47" s="596"/>
      <c r="H47" s="596"/>
      <c r="I47" s="596"/>
      <c r="J47" s="596"/>
      <c r="K47" s="596"/>
      <c r="L47" s="596"/>
      <c r="M47" s="487"/>
      <c r="N47" s="596"/>
      <c r="O47" s="597"/>
      <c r="P47" s="1762"/>
      <c r="Q47" s="1639"/>
      <c r="R47" s="1639"/>
      <c r="S47" s="1639"/>
      <c r="T47" s="1639"/>
      <c r="U47" s="1639"/>
      <c r="V47" s="1639"/>
      <c r="W47" s="1639"/>
      <c r="X47" s="1639"/>
      <c r="Y47" s="1639"/>
      <c r="Z47" s="1639"/>
      <c r="AA47" s="1639"/>
      <c r="AB47" s="1639"/>
      <c r="AC47" s="1639"/>
    </row>
    <row r="48" spans="1:29" s="1060" customFormat="1" ht="15" thickBot="1">
      <c r="A48" s="262" t="s">
        <v>523</v>
      </c>
      <c r="B48" s="598"/>
      <c r="C48" s="599"/>
      <c r="D48" s="600"/>
      <c r="E48" s="600"/>
      <c r="F48" s="600"/>
      <c r="G48" s="600"/>
      <c r="H48" s="600"/>
      <c r="I48" s="600"/>
      <c r="J48" s="600"/>
      <c r="K48" s="600"/>
      <c r="L48" s="600"/>
      <c r="M48" s="601"/>
      <c r="N48" s="600"/>
      <c r="O48" s="602"/>
      <c r="P48" s="1762"/>
      <c r="Q48" s="1762"/>
      <c r="R48" s="1639"/>
      <c r="S48" s="1639"/>
      <c r="T48" s="1639"/>
      <c r="U48" s="1639"/>
      <c r="V48" s="1639"/>
      <c r="W48" s="1639"/>
      <c r="X48" s="1639"/>
      <c r="Y48" s="1639"/>
      <c r="Z48" s="1639"/>
      <c r="AA48" s="1639"/>
      <c r="AB48" s="1639"/>
      <c r="AC48" s="1639"/>
    </row>
    <row r="49" spans="1:29" s="1060" customFormat="1" ht="14.4">
      <c r="A49" s="603" t="s">
        <v>480</v>
      </c>
      <c r="B49" s="594"/>
      <c r="C49" s="604" t="s">
        <v>524</v>
      </c>
      <c r="D49" s="80"/>
      <c r="E49" s="80"/>
      <c r="F49" s="80"/>
      <c r="G49" s="80"/>
      <c r="H49" s="80"/>
      <c r="I49" s="80"/>
      <c r="J49" s="80"/>
      <c r="K49" s="80"/>
      <c r="L49" s="605"/>
      <c r="M49" s="606"/>
      <c r="N49" s="1765"/>
      <c r="O49" s="1765"/>
      <c r="P49" s="1646"/>
      <c r="Q49" s="1762"/>
      <c r="R49" s="1639"/>
      <c r="S49" s="1639"/>
      <c r="T49" s="1639"/>
      <c r="U49" s="1639"/>
      <c r="V49" s="1639"/>
      <c r="W49" s="1639"/>
      <c r="X49" s="1639"/>
      <c r="Y49" s="1639"/>
      <c r="Z49" s="1639"/>
      <c r="AA49" s="1639"/>
      <c r="AB49" s="1639"/>
      <c r="AC49" s="1639"/>
    </row>
    <row r="50" spans="1:29" s="1060" customFormat="1" ht="14.4" thickBot="1">
      <c r="A50" s="603"/>
      <c r="B50" s="594"/>
      <c r="C50" s="595">
        <v>100</v>
      </c>
      <c r="D50" s="596"/>
      <c r="E50" s="596"/>
      <c r="F50" s="596"/>
      <c r="G50" s="596"/>
      <c r="H50" s="596"/>
      <c r="I50" s="596"/>
      <c r="J50" s="596"/>
      <c r="K50" s="596"/>
      <c r="L50" s="596"/>
      <c r="M50" s="597"/>
      <c r="N50" s="1765"/>
      <c r="O50" s="1765"/>
      <c r="P50" s="1762"/>
      <c r="Q50" s="1762"/>
      <c r="R50" s="1639"/>
      <c r="S50" s="1639"/>
      <c r="T50" s="1639"/>
      <c r="U50" s="1639"/>
      <c r="V50" s="1639"/>
      <c r="W50" s="1639"/>
      <c r="X50" s="1639"/>
      <c r="Y50" s="1639"/>
      <c r="Z50" s="1639"/>
      <c r="AA50" s="1639"/>
      <c r="AB50" s="1639"/>
      <c r="AC50" s="1639"/>
    </row>
    <row r="51" spans="1:29" ht="14.4">
      <c r="A51" s="607" t="s">
        <v>525</v>
      </c>
      <c r="B51" s="608" t="s">
        <v>483</v>
      </c>
      <c r="C51" s="645">
        <f>C9</f>
        <v>0</v>
      </c>
      <c r="D51" s="547"/>
      <c r="E51" s="547"/>
      <c r="F51" s="547"/>
      <c r="G51" s="547"/>
      <c r="H51" s="547"/>
      <c r="I51" s="547"/>
      <c r="J51" s="547"/>
      <c r="K51" s="609"/>
      <c r="L51" s="610"/>
      <c r="M51" s="611"/>
      <c r="N51" s="1766"/>
      <c r="O51" s="1766"/>
      <c r="P51" s="1765"/>
      <c r="Q51" s="1762"/>
      <c r="R51" s="1741"/>
      <c r="S51" s="1741"/>
      <c r="T51" s="1741"/>
      <c r="U51" s="1741"/>
      <c r="V51" s="1741"/>
      <c r="W51" s="1741"/>
      <c r="X51" s="1741"/>
      <c r="Y51" s="1741"/>
      <c r="Z51" s="1741"/>
      <c r="AA51" s="1741"/>
      <c r="AB51" s="1741"/>
      <c r="AC51" s="1741"/>
    </row>
    <row r="52" spans="1:29" ht="14.4" thickBot="1">
      <c r="A52" s="482"/>
      <c r="B52" s="612"/>
      <c r="C52" s="613">
        <v>100</v>
      </c>
      <c r="D52" s="613"/>
      <c r="E52" s="613"/>
      <c r="F52" s="613"/>
      <c r="G52" s="613"/>
      <c r="H52" s="613"/>
      <c r="I52" s="613"/>
      <c r="J52" s="613"/>
      <c r="K52" s="613"/>
      <c r="L52" s="613"/>
      <c r="M52" s="614"/>
      <c r="N52" s="1767"/>
      <c r="O52" s="1767"/>
      <c r="P52" s="1765"/>
      <c r="Q52" s="1762"/>
      <c r="R52" s="1741"/>
      <c r="S52" s="1741"/>
      <c r="T52" s="1741"/>
      <c r="U52" s="1741"/>
      <c r="V52" s="1741"/>
      <c r="W52" s="1741"/>
      <c r="X52" s="1741"/>
      <c r="Y52" s="1741"/>
      <c r="Z52" s="1741"/>
      <c r="AA52" s="1741"/>
      <c r="AB52" s="1741"/>
      <c r="AC52" s="1741"/>
    </row>
    <row r="53" spans="1:29" ht="29.4" thickTop="1">
      <c r="A53" s="482"/>
      <c r="B53" s="615" t="s">
        <v>486</v>
      </c>
      <c r="C53" s="658"/>
      <c r="D53" s="658"/>
      <c r="E53" s="658"/>
      <c r="F53" s="658"/>
      <c r="G53" s="658"/>
      <c r="H53" s="658"/>
      <c r="I53" s="658"/>
      <c r="J53" s="658"/>
      <c r="K53" s="659"/>
      <c r="L53" s="660"/>
      <c r="M53" s="661"/>
      <c r="N53" s="1766"/>
      <c r="O53" s="1766"/>
      <c r="P53" s="1765"/>
      <c r="Q53" s="1762"/>
      <c r="R53" s="1741"/>
      <c r="S53" s="1741"/>
      <c r="T53" s="1741"/>
      <c r="U53" s="1741"/>
      <c r="V53" s="1741"/>
      <c r="W53" s="1741"/>
      <c r="X53" s="1741"/>
      <c r="Y53" s="1741"/>
      <c r="Z53" s="1741"/>
      <c r="AA53" s="1741"/>
      <c r="AB53" s="1741"/>
      <c r="AC53" s="1741"/>
    </row>
    <row r="54" spans="1:29" ht="14.4" thickBot="1">
      <c r="A54" s="482"/>
      <c r="B54" s="620"/>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14.4" thickTop="1">
      <c r="A55" s="482"/>
      <c r="B55" s="856">
        <f>B11</f>
        <v>111</v>
      </c>
      <c r="C55" s="491"/>
      <c r="D55" s="491"/>
      <c r="E55" s="491"/>
      <c r="F55" s="491"/>
      <c r="G55" s="491"/>
      <c r="H55" s="491"/>
      <c r="I55" s="491"/>
      <c r="J55" s="491"/>
      <c r="K55" s="626"/>
      <c r="L55" s="627"/>
      <c r="M55" s="628"/>
      <c r="N55" s="1766"/>
      <c r="O55" s="1766"/>
      <c r="P55" s="1765"/>
      <c r="Q55" s="1762"/>
      <c r="R55" s="1741"/>
      <c r="S55" s="1741"/>
      <c r="T55" s="1741"/>
      <c r="U55" s="1741"/>
      <c r="V55" s="1741"/>
      <c r="W55" s="1741"/>
      <c r="X55" s="1741"/>
      <c r="Y55" s="1741"/>
      <c r="Z55" s="1741"/>
      <c r="AA55" s="1741"/>
      <c r="AB55" s="1741"/>
      <c r="AC55" s="1741"/>
    </row>
    <row r="56" spans="1:29" ht="14.4" thickBot="1">
      <c r="A56" s="482"/>
      <c r="B56" s="612"/>
      <c r="C56" s="634"/>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s="1134" customFormat="1" ht="14.4" thickTop="1">
      <c r="A57" s="629"/>
      <c r="B57" s="615">
        <f>B12</f>
        <v>111</v>
      </c>
      <c r="C57" s="491"/>
      <c r="D57" s="491"/>
      <c r="E57" s="491"/>
      <c r="F57" s="491"/>
      <c r="G57" s="630"/>
      <c r="H57" s="631"/>
      <c r="I57" s="631"/>
      <c r="J57" s="631"/>
      <c r="K57" s="631"/>
      <c r="L57" s="632"/>
      <c r="M57" s="633"/>
      <c r="N57" s="1768"/>
      <c r="O57" s="1768"/>
      <c r="P57" s="1768"/>
      <c r="Q57" s="1769"/>
      <c r="R57" s="1770"/>
      <c r="S57" s="1770"/>
      <c r="T57" s="1770"/>
      <c r="U57" s="1770"/>
      <c r="V57" s="1770"/>
      <c r="W57" s="1770"/>
      <c r="X57" s="1770"/>
      <c r="Y57" s="1770"/>
      <c r="Z57" s="1770"/>
      <c r="AA57" s="1770"/>
      <c r="AB57" s="1770"/>
      <c r="AC57" s="1770"/>
    </row>
    <row r="58" spans="1:29" s="1134" customFormat="1" ht="14.4" thickBot="1">
      <c r="A58" s="629"/>
      <c r="B58" s="620"/>
      <c r="C58" s="634"/>
      <c r="D58" s="613"/>
      <c r="E58" s="613"/>
      <c r="F58" s="613"/>
      <c r="G58" s="613"/>
      <c r="H58" s="613"/>
      <c r="I58" s="613"/>
      <c r="J58" s="613"/>
      <c r="K58" s="613"/>
      <c r="L58" s="613"/>
      <c r="M58" s="614"/>
      <c r="N58" s="1767"/>
      <c r="O58" s="1767"/>
      <c r="P58" s="1768"/>
      <c r="Q58" s="1769"/>
      <c r="R58" s="1770"/>
      <c r="S58" s="1770"/>
      <c r="T58" s="1770"/>
      <c r="U58" s="1770"/>
      <c r="V58" s="1770"/>
      <c r="W58" s="1770"/>
      <c r="X58" s="1770"/>
      <c r="Y58" s="1770"/>
      <c r="Z58" s="1770"/>
      <c r="AA58" s="1770"/>
      <c r="AB58" s="1770"/>
      <c r="AC58" s="1770"/>
    </row>
    <row r="59" spans="1:29" s="1134" customFormat="1" ht="14.4" thickTop="1">
      <c r="A59" s="629"/>
      <c r="B59" s="615">
        <f>B13</f>
        <v>111</v>
      </c>
      <c r="C59" s="491"/>
      <c r="D59" s="491"/>
      <c r="E59" s="491"/>
      <c r="F59" s="491"/>
      <c r="G59" s="630"/>
      <c r="H59" s="631"/>
      <c r="I59" s="631"/>
      <c r="J59" s="631"/>
      <c r="K59" s="631"/>
      <c r="L59" s="632"/>
      <c r="M59" s="633"/>
      <c r="N59" s="1768"/>
      <c r="O59" s="1768"/>
      <c r="P59" s="1770"/>
      <c r="Q59" s="1771"/>
      <c r="R59" s="1770"/>
      <c r="S59" s="1770"/>
      <c r="T59" s="1770"/>
      <c r="U59" s="1770"/>
      <c r="V59" s="1770"/>
      <c r="W59" s="1770"/>
      <c r="X59" s="1770"/>
      <c r="Y59" s="1770"/>
      <c r="Z59" s="1770"/>
      <c r="AA59" s="1770"/>
      <c r="AB59" s="1770"/>
      <c r="AC59" s="1770"/>
    </row>
    <row r="60" spans="1:29" s="1134" customFormat="1" ht="14.4" thickBot="1">
      <c r="A60" s="629"/>
      <c r="B60" s="620"/>
      <c r="C60" s="634"/>
      <c r="D60" s="634"/>
      <c r="E60" s="634"/>
      <c r="F60" s="634"/>
      <c r="G60" s="634"/>
      <c r="H60" s="635"/>
      <c r="I60" s="635"/>
      <c r="J60" s="635"/>
      <c r="K60" s="635"/>
      <c r="L60" s="635"/>
      <c r="M60" s="636"/>
      <c r="N60" s="1768"/>
      <c r="O60" s="1768"/>
      <c r="P60" s="1768"/>
      <c r="Q60" s="1769"/>
      <c r="R60" s="1770"/>
      <c r="S60" s="1770"/>
      <c r="T60" s="1770"/>
      <c r="U60" s="1770"/>
      <c r="V60" s="1770"/>
      <c r="W60" s="1770"/>
      <c r="X60" s="1770"/>
      <c r="Y60" s="1770"/>
      <c r="Z60" s="1770"/>
      <c r="AA60" s="1770"/>
      <c r="AB60" s="1770"/>
      <c r="AC60" s="1770"/>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6"/>
      <c r="O61" s="1766"/>
      <c r="P61" s="1773"/>
      <c r="Q61" s="1762"/>
      <c r="R61" s="1741"/>
      <c r="S61" s="1741"/>
      <c r="T61" s="1741"/>
      <c r="U61" s="1741"/>
      <c r="V61" s="1741"/>
      <c r="W61" s="1741"/>
      <c r="X61" s="1741"/>
      <c r="Y61" s="1741"/>
      <c r="Z61" s="1741"/>
      <c r="AA61" s="1741"/>
      <c r="AB61" s="1741"/>
      <c r="AC61" s="1741"/>
    </row>
    <row r="62" spans="1:29" ht="14.4" thickBot="1">
      <c r="A62" s="482"/>
      <c r="B62" s="620"/>
      <c r="C62" s="621">
        <v>100</v>
      </c>
      <c r="D62" s="621">
        <f>C62-$K14</f>
        <v>100</v>
      </c>
      <c r="E62" s="621">
        <f>D62-$K14</f>
        <v>100</v>
      </c>
      <c r="F62" s="621">
        <f>E62-$K14</f>
        <v>100</v>
      </c>
      <c r="G62" s="621">
        <f>F62-$K14</f>
        <v>100</v>
      </c>
      <c r="H62" s="621"/>
      <c r="I62" s="621"/>
      <c r="J62" s="621"/>
      <c r="K62" s="621"/>
      <c r="L62" s="621"/>
      <c r="M62" s="622"/>
      <c r="N62" s="1767"/>
      <c r="O62" s="1767"/>
      <c r="P62" s="1765"/>
      <c r="Q62" s="1762"/>
      <c r="R62" s="1741"/>
      <c r="S62" s="1741"/>
      <c r="T62" s="1741"/>
      <c r="U62" s="1741"/>
      <c r="V62" s="1741"/>
      <c r="W62" s="1741"/>
      <c r="X62" s="1741"/>
      <c r="Y62" s="1741"/>
      <c r="Z62" s="1741"/>
      <c r="AA62" s="1741"/>
      <c r="AB62" s="1741"/>
      <c r="AC62" s="1741"/>
    </row>
    <row r="63" spans="1:29" ht="15" thickTop="1">
      <c r="A63" s="482"/>
      <c r="B63" s="1554" t="s">
        <v>1840</v>
      </c>
      <c r="C63" s="649" t="s">
        <v>527</v>
      </c>
      <c r="D63" s="649" t="s">
        <v>528</v>
      </c>
      <c r="E63" s="649" t="s">
        <v>529</v>
      </c>
      <c r="F63" s="649" t="s">
        <v>530</v>
      </c>
      <c r="G63" s="649" t="s">
        <v>531</v>
      </c>
      <c r="H63" s="616"/>
      <c r="I63" s="616"/>
      <c r="J63" s="616"/>
      <c r="K63" s="617"/>
      <c r="L63" s="618"/>
      <c r="M63" s="619"/>
      <c r="N63" s="1766"/>
      <c r="O63" s="1766"/>
      <c r="P63" s="1765"/>
      <c r="Q63" s="1762"/>
      <c r="R63" s="1741"/>
      <c r="S63" s="1741"/>
      <c r="T63" s="1741"/>
      <c r="U63" s="1741"/>
      <c r="V63" s="1741"/>
      <c r="W63" s="1741"/>
      <c r="X63" s="1741"/>
      <c r="Y63" s="1741"/>
      <c r="Z63" s="1741"/>
      <c r="AA63" s="1741"/>
      <c r="AB63" s="1741"/>
      <c r="AC63" s="1741"/>
    </row>
    <row r="64" spans="1:29" ht="14.4" thickBot="1">
      <c r="A64" s="482"/>
      <c r="B64" s="620"/>
      <c r="C64" s="621">
        <v>100</v>
      </c>
      <c r="D64" s="621">
        <f>C64-$K16</f>
        <v>100</v>
      </c>
      <c r="E64" s="621">
        <f>D64-$K16</f>
        <v>100</v>
      </c>
      <c r="F64" s="621">
        <f>E64-$K16</f>
        <v>100</v>
      </c>
      <c r="G64" s="621">
        <f>F64-$K16</f>
        <v>100</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 thickTop="1">
      <c r="A65" s="482"/>
      <c r="B65" s="2055" t="s">
        <v>1841</v>
      </c>
      <c r="C65" s="2056" t="s">
        <v>1842</v>
      </c>
      <c r="D65" s="2056" t="s">
        <v>1843</v>
      </c>
      <c r="E65" s="2056" t="s">
        <v>1844</v>
      </c>
      <c r="F65" s="2056" t="s">
        <v>1845</v>
      </c>
      <c r="G65" s="2056" t="s">
        <v>1846</v>
      </c>
      <c r="H65" s="616"/>
      <c r="I65" s="616"/>
      <c r="J65" s="616"/>
      <c r="K65" s="616"/>
      <c r="L65" s="616"/>
      <c r="M65" s="2059"/>
      <c r="N65" s="1767"/>
      <c r="O65" s="1767"/>
      <c r="P65" s="1765"/>
      <c r="Q65" s="1762"/>
      <c r="R65" s="1741"/>
      <c r="S65" s="1741"/>
      <c r="T65" s="1741"/>
      <c r="U65" s="1741"/>
      <c r="V65" s="1741"/>
      <c r="W65" s="1741"/>
      <c r="X65" s="1741"/>
      <c r="Y65" s="1741"/>
      <c r="Z65" s="1741"/>
      <c r="AA65" s="1741"/>
      <c r="AB65" s="1741"/>
      <c r="AC65" s="1741"/>
    </row>
    <row r="66" spans="1:29" ht="14.4" thickBot="1">
      <c r="A66" s="482"/>
      <c r="B66" s="623"/>
      <c r="C66" s="621">
        <v>100</v>
      </c>
      <c r="D66" s="621">
        <f>C66-$K18</f>
        <v>100</v>
      </c>
      <c r="E66" s="621">
        <f>D66-$K18</f>
        <v>100</v>
      </c>
      <c r="F66" s="621">
        <f>E66-$K18</f>
        <v>100</v>
      </c>
      <c r="G66" s="621">
        <f>F66-$K18</f>
        <v>100</v>
      </c>
      <c r="H66" s="856"/>
      <c r="I66" s="856"/>
      <c r="J66" s="856"/>
      <c r="K66" s="856"/>
      <c r="L66" s="856"/>
      <c r="M66" s="509"/>
      <c r="N66" s="1767"/>
      <c r="O66" s="1767"/>
      <c r="P66" s="1765"/>
      <c r="Q66" s="1762"/>
      <c r="R66" s="1741"/>
      <c r="S66" s="1741"/>
      <c r="T66" s="1741"/>
      <c r="U66" s="1741"/>
      <c r="V66" s="1741"/>
      <c r="W66" s="1741"/>
      <c r="X66" s="1741"/>
      <c r="Y66" s="1741"/>
      <c r="Z66" s="1741"/>
      <c r="AA66" s="1741"/>
      <c r="AB66" s="1741"/>
      <c r="AC66" s="1741"/>
    </row>
    <row r="67" spans="1:29" ht="15" thickTop="1">
      <c r="A67" s="482"/>
      <c r="B67" s="615" t="s">
        <v>684</v>
      </c>
      <c r="C67" s="649" t="s">
        <v>527</v>
      </c>
      <c r="D67" s="649" t="s">
        <v>528</v>
      </c>
      <c r="E67" s="649" t="s">
        <v>529</v>
      </c>
      <c r="F67" s="649" t="s">
        <v>530</v>
      </c>
      <c r="G67" s="649" t="s">
        <v>531</v>
      </c>
      <c r="H67" s="616"/>
      <c r="I67" s="616"/>
      <c r="J67" s="616"/>
      <c r="K67" s="617"/>
      <c r="L67" s="618"/>
      <c r="M67" s="619"/>
      <c r="N67" s="1766"/>
      <c r="O67" s="1766"/>
      <c r="P67" s="1765"/>
      <c r="Q67" s="1762"/>
      <c r="R67" s="1741"/>
      <c r="S67" s="1741"/>
      <c r="T67" s="1741"/>
      <c r="U67" s="1741"/>
      <c r="V67" s="1741"/>
      <c r="W67" s="1741"/>
      <c r="X67" s="1741"/>
      <c r="Y67" s="1741"/>
      <c r="Z67" s="1741"/>
      <c r="AA67" s="1741"/>
      <c r="AB67" s="1741"/>
      <c r="AC67" s="1741"/>
    </row>
    <row r="68" spans="1:29" ht="14.4" thickBot="1">
      <c r="A68" s="482"/>
      <c r="B68" s="620"/>
      <c r="C68" s="621">
        <v>100</v>
      </c>
      <c r="D68" s="621">
        <f>C68-$K20</f>
        <v>100</v>
      </c>
      <c r="E68" s="621">
        <f>D68-$K20</f>
        <v>100</v>
      </c>
      <c r="F68" s="621">
        <f>E68-$K20</f>
        <v>100</v>
      </c>
      <c r="G68" s="621">
        <f>F68-$K20</f>
        <v>100</v>
      </c>
      <c r="H68" s="621"/>
      <c r="I68" s="621"/>
      <c r="J68" s="621"/>
      <c r="K68" s="621"/>
      <c r="L68" s="621"/>
      <c r="M68" s="622"/>
      <c r="N68" s="1767"/>
      <c r="O68" s="1767"/>
      <c r="P68" s="1765"/>
      <c r="Q68" s="1762"/>
      <c r="R68" s="1741"/>
      <c r="S68" s="1741"/>
      <c r="T68" s="1741"/>
      <c r="U68" s="1741"/>
      <c r="V68" s="1741"/>
      <c r="W68" s="1741"/>
      <c r="X68" s="1741"/>
      <c r="Y68" s="1741"/>
      <c r="Z68" s="1741"/>
      <c r="AA68" s="1741"/>
      <c r="AB68" s="1741"/>
      <c r="AC68" s="1741"/>
    </row>
    <row r="69" spans="1:29" ht="15" thickTop="1">
      <c r="A69" s="482"/>
      <c r="B69" s="615" t="s">
        <v>685</v>
      </c>
      <c r="C69" s="630"/>
      <c r="D69" s="630"/>
      <c r="E69" s="630"/>
      <c r="F69" s="630"/>
      <c r="G69" s="630"/>
      <c r="H69" s="658"/>
      <c r="I69" s="658"/>
      <c r="J69" s="658"/>
      <c r="K69" s="659"/>
      <c r="L69" s="660"/>
      <c r="M69" s="661"/>
      <c r="N69" s="1766"/>
      <c r="O69" s="1766"/>
      <c r="P69" s="1765"/>
      <c r="Q69" s="1762"/>
      <c r="R69" s="1741"/>
      <c r="S69" s="1741"/>
      <c r="T69" s="1741"/>
      <c r="U69" s="1741"/>
      <c r="V69" s="1741"/>
      <c r="W69" s="1741"/>
      <c r="X69" s="1741"/>
      <c r="Y69" s="1741"/>
      <c r="Z69" s="1741"/>
      <c r="AA69" s="1741"/>
      <c r="AB69" s="1741"/>
      <c r="AC69" s="1741"/>
    </row>
    <row r="70" spans="1:29" ht="14.4" thickBot="1">
      <c r="A70" s="482"/>
      <c r="B70" s="620"/>
      <c r="C70" s="621">
        <v>100</v>
      </c>
      <c r="D70" s="621">
        <f>C70-$K22</f>
        <v>100</v>
      </c>
      <c r="E70" s="621"/>
      <c r="F70" s="621"/>
      <c r="G70" s="621"/>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s="1060" customFormat="1" ht="14.4" thickTop="1">
      <c r="A71" s="486"/>
      <c r="B71" s="615">
        <f>B23</f>
        <v>111</v>
      </c>
      <c r="C71" s="491"/>
      <c r="D71" s="491"/>
      <c r="E71" s="491"/>
      <c r="F71" s="491"/>
      <c r="G71" s="630"/>
      <c r="H71" s="630"/>
      <c r="I71" s="630"/>
      <c r="J71" s="630"/>
      <c r="K71" s="630"/>
      <c r="L71" s="815"/>
      <c r="M71" s="816"/>
      <c r="N71" s="1765"/>
      <c r="O71" s="1765"/>
      <c r="P71" s="1765"/>
      <c r="Q71" s="1762"/>
      <c r="R71" s="1639"/>
      <c r="S71" s="1639"/>
      <c r="T71" s="1639"/>
      <c r="U71" s="1639"/>
      <c r="V71" s="1639"/>
      <c r="W71" s="1639"/>
      <c r="X71" s="1639"/>
      <c r="Y71" s="1639"/>
      <c r="Z71" s="1639"/>
      <c r="AA71" s="1639"/>
      <c r="AB71" s="1639"/>
      <c r="AC71" s="1639"/>
    </row>
    <row r="72" spans="1:29" s="1060" customFormat="1" ht="14.4" thickBot="1">
      <c r="A72" s="486"/>
      <c r="B72" s="620"/>
      <c r="C72" s="634"/>
      <c r="D72" s="613"/>
      <c r="E72" s="613"/>
      <c r="F72" s="613"/>
      <c r="G72" s="613"/>
      <c r="H72" s="613"/>
      <c r="I72" s="613"/>
      <c r="J72" s="613"/>
      <c r="K72" s="613"/>
      <c r="L72" s="613"/>
      <c r="M72" s="614"/>
      <c r="N72" s="1767"/>
      <c r="O72" s="1767"/>
      <c r="P72" s="1765"/>
      <c r="Q72" s="1762"/>
      <c r="R72" s="1639"/>
      <c r="S72" s="1639"/>
      <c r="T72" s="1639"/>
      <c r="U72" s="1639"/>
      <c r="V72" s="1639"/>
      <c r="W72" s="1639"/>
      <c r="X72" s="1639"/>
      <c r="Y72" s="1639"/>
      <c r="Z72" s="1639"/>
      <c r="AA72" s="1639"/>
      <c r="AB72" s="1639"/>
      <c r="AC72" s="1639"/>
    </row>
    <row r="73" spans="1:29" s="1060" customFormat="1" ht="14.4" thickTop="1">
      <c r="A73" s="486"/>
      <c r="B73" s="615">
        <f>B24</f>
        <v>111</v>
      </c>
      <c r="C73" s="491"/>
      <c r="D73" s="491"/>
      <c r="E73" s="491"/>
      <c r="F73" s="491"/>
      <c r="G73" s="630"/>
      <c r="H73" s="630"/>
      <c r="I73" s="630"/>
      <c r="J73" s="630"/>
      <c r="K73" s="630"/>
      <c r="L73" s="630"/>
      <c r="M73" s="816"/>
      <c r="N73" s="1765"/>
      <c r="O73" s="1765"/>
      <c r="P73" s="1765"/>
      <c r="Q73" s="1762"/>
      <c r="R73" s="1639"/>
      <c r="S73" s="1639"/>
      <c r="T73" s="1639"/>
      <c r="U73" s="1639"/>
      <c r="V73" s="1639"/>
      <c r="W73" s="1639"/>
      <c r="X73" s="1639"/>
      <c r="Y73" s="1639"/>
      <c r="Z73" s="1639"/>
      <c r="AA73" s="1639"/>
      <c r="AB73" s="1639"/>
      <c r="AC73" s="1639"/>
    </row>
    <row r="74" spans="1:29" s="1060" customFormat="1" ht="14.4"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134" customFormat="1" ht="14.4" thickTop="1">
      <c r="A75" s="629"/>
      <c r="B75" s="615">
        <f>B25</f>
        <v>111</v>
      </c>
      <c r="C75" s="491"/>
      <c r="D75" s="491"/>
      <c r="E75" s="491"/>
      <c r="F75" s="491"/>
      <c r="G75" s="630"/>
      <c r="H75" s="631"/>
      <c r="I75" s="631"/>
      <c r="J75" s="631"/>
      <c r="K75" s="631"/>
      <c r="L75" s="632"/>
      <c r="M75" s="633"/>
      <c r="N75" s="1768"/>
      <c r="O75" s="1768"/>
      <c r="P75" s="1768"/>
      <c r="Q75" s="1769"/>
      <c r="R75" s="1770"/>
      <c r="S75" s="1770"/>
      <c r="T75" s="1770"/>
      <c r="U75" s="1770"/>
      <c r="V75" s="1770"/>
      <c r="W75" s="1770"/>
      <c r="X75" s="1770"/>
      <c r="Y75" s="1770"/>
      <c r="Z75" s="1770"/>
      <c r="AA75" s="1770"/>
      <c r="AB75" s="1770"/>
      <c r="AC75" s="1770"/>
    </row>
    <row r="76" spans="1:29" s="1134" customFormat="1" ht="14.4" thickBot="1">
      <c r="A76" s="629"/>
      <c r="B76" s="620"/>
      <c r="C76" s="634"/>
      <c r="D76" s="634"/>
      <c r="E76" s="634"/>
      <c r="F76" s="634"/>
      <c r="G76" s="613"/>
      <c r="H76" s="613"/>
      <c r="I76" s="613"/>
      <c r="J76" s="613"/>
      <c r="K76" s="613"/>
      <c r="L76" s="613"/>
      <c r="M76" s="614"/>
      <c r="N76" s="1768"/>
      <c r="O76" s="1768"/>
      <c r="P76" s="1768"/>
      <c r="Q76" s="1769"/>
      <c r="R76" s="1770"/>
      <c r="S76" s="1770"/>
      <c r="T76" s="1770"/>
      <c r="U76" s="1770"/>
      <c r="V76" s="1770"/>
      <c r="W76" s="1770"/>
      <c r="X76" s="1770"/>
      <c r="Y76" s="1770"/>
      <c r="Z76" s="1770"/>
      <c r="AA76" s="1770"/>
      <c r="AB76" s="1770"/>
      <c r="AC76" s="1770"/>
    </row>
    <row r="77" spans="1:29" ht="15" thickTop="1">
      <c r="A77" s="607" t="s">
        <v>500</v>
      </c>
      <c r="B77" s="608" t="s">
        <v>691</v>
      </c>
      <c r="C77" s="630"/>
      <c r="D77" s="630"/>
      <c r="E77" s="547"/>
      <c r="F77" s="547"/>
      <c r="G77" s="547"/>
      <c r="H77" s="547"/>
      <c r="I77" s="547"/>
      <c r="J77" s="547"/>
      <c r="K77" s="609"/>
      <c r="L77" s="610"/>
      <c r="M77" s="611"/>
      <c r="N77" s="1766"/>
      <c r="O77" s="1766"/>
      <c r="P77" s="1765"/>
      <c r="Q77" s="1762"/>
      <c r="R77" s="1741"/>
      <c r="S77" s="1741"/>
      <c r="T77" s="1741"/>
      <c r="U77" s="1741"/>
      <c r="V77" s="1741"/>
      <c r="W77" s="1741"/>
      <c r="X77" s="1741"/>
      <c r="Y77" s="1741"/>
      <c r="Z77" s="1741"/>
      <c r="AA77" s="1741"/>
      <c r="AB77" s="1741"/>
      <c r="AC77" s="1741"/>
    </row>
    <row r="78" spans="1:29" ht="14.4"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7"/>
      <c r="O78" s="1767"/>
      <c r="P78" s="1765"/>
      <c r="Q78" s="1762"/>
      <c r="R78" s="1741"/>
      <c r="S78" s="1741"/>
      <c r="T78" s="1741"/>
      <c r="U78" s="1741"/>
      <c r="V78" s="1741"/>
      <c r="W78" s="1741"/>
      <c r="X78" s="1741"/>
      <c r="Y78" s="1741"/>
      <c r="Z78" s="1741"/>
      <c r="AA78" s="1741"/>
      <c r="AB78" s="1741"/>
      <c r="AC78" s="1741"/>
    </row>
    <row r="79" spans="1:29" ht="1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5"/>
      <c r="O79" s="1765"/>
      <c r="P79" s="1765"/>
      <c r="Q79" s="1762"/>
      <c r="R79" s="1741"/>
      <c r="S79" s="1741"/>
      <c r="T79" s="1741"/>
      <c r="U79" s="1741"/>
      <c r="V79" s="1741"/>
      <c r="W79" s="1741"/>
      <c r="X79" s="1741"/>
      <c r="Y79" s="1741"/>
      <c r="Z79" s="1741"/>
      <c r="AA79" s="1741"/>
      <c r="AB79" s="1741"/>
      <c r="AC79" s="1741"/>
    </row>
    <row r="80" spans="1:29">
      <c r="A80" s="482"/>
      <c r="B80" s="623"/>
      <c r="C80" s="818">
        <v>0.5</v>
      </c>
      <c r="D80" s="818">
        <v>0.6</v>
      </c>
      <c r="E80" s="818">
        <v>0.7</v>
      </c>
      <c r="F80" s="818">
        <v>0.8</v>
      </c>
      <c r="G80" s="818">
        <v>0.9</v>
      </c>
      <c r="H80" s="818">
        <v>1.0001</v>
      </c>
      <c r="I80" s="856"/>
      <c r="J80" s="856"/>
      <c r="K80" s="864"/>
      <c r="L80" s="865"/>
      <c r="M80" s="866"/>
      <c r="N80" s="1765"/>
      <c r="O80" s="1765"/>
      <c r="P80" s="1765"/>
      <c r="Q80" s="1762"/>
      <c r="R80" s="1741"/>
      <c r="S80" s="1741"/>
      <c r="T80" s="1741"/>
      <c r="U80" s="1741"/>
      <c r="V80" s="1741"/>
      <c r="W80" s="1741"/>
      <c r="X80" s="1741"/>
      <c r="Y80" s="1741"/>
      <c r="Z80" s="1741"/>
      <c r="AA80" s="1741"/>
      <c r="AB80" s="1741"/>
      <c r="AC80" s="1741"/>
    </row>
    <row r="81" spans="1:29" s="1134" customFormat="1" ht="14.4"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7"/>
      <c r="O81" s="1767"/>
      <c r="P81" s="1768"/>
      <c r="Q81" s="1769"/>
      <c r="R81" s="1770"/>
      <c r="S81" s="1770"/>
      <c r="T81" s="1770"/>
      <c r="U81" s="1770"/>
      <c r="V81" s="1770"/>
      <c r="W81" s="1770"/>
      <c r="X81" s="1770"/>
      <c r="Y81" s="1770"/>
      <c r="Z81" s="1770"/>
      <c r="AA81" s="1770"/>
      <c r="AB81" s="1770"/>
      <c r="AC81" s="1770"/>
    </row>
    <row r="82" spans="1:29" ht="15" thickTop="1">
      <c r="A82" s="543"/>
      <c r="B82" s="623" t="s">
        <v>757</v>
      </c>
      <c r="C82" s="630"/>
      <c r="D82" s="630"/>
      <c r="E82" s="658"/>
      <c r="F82" s="658"/>
      <c r="G82" s="658"/>
      <c r="H82" s="658"/>
      <c r="I82" s="658"/>
      <c r="J82" s="658"/>
      <c r="K82" s="659"/>
      <c r="L82" s="660"/>
      <c r="M82" s="661"/>
      <c r="N82" s="1766"/>
      <c r="O82" s="1766"/>
      <c r="P82" s="1765"/>
      <c r="Q82" s="1762"/>
      <c r="R82" s="1741"/>
      <c r="S82" s="1741"/>
      <c r="T82" s="1741"/>
      <c r="U82" s="1741"/>
      <c r="V82" s="1741"/>
      <c r="W82" s="1741"/>
      <c r="X82" s="1741"/>
      <c r="Y82" s="1741"/>
      <c r="Z82" s="1741"/>
      <c r="AA82" s="1741"/>
      <c r="AB82" s="1741"/>
      <c r="AC82" s="1741"/>
    </row>
    <row r="83" spans="1:29" ht="14.4"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7"/>
      <c r="O83" s="1767"/>
      <c r="P83" s="1765"/>
      <c r="Q83" s="1762"/>
      <c r="R83" s="1741"/>
      <c r="S83" s="1741"/>
      <c r="T83" s="1741"/>
      <c r="U83" s="1741"/>
      <c r="V83" s="1741"/>
      <c r="W83" s="1741"/>
      <c r="X83" s="1741"/>
      <c r="Y83" s="1741"/>
      <c r="Z83" s="1741"/>
      <c r="AA83" s="1741"/>
      <c r="AB83" s="1741"/>
      <c r="AC83" s="1741"/>
    </row>
    <row r="84" spans="1:29" ht="15" thickTop="1">
      <c r="A84" s="543"/>
      <c r="B84" s="615" t="s">
        <v>765</v>
      </c>
      <c r="C84" s="630"/>
      <c r="D84" s="630"/>
      <c r="E84" s="630"/>
      <c r="F84" s="630"/>
      <c r="G84" s="630"/>
      <c r="H84" s="630"/>
      <c r="I84" s="658"/>
      <c r="J84" s="658"/>
      <c r="K84" s="659"/>
      <c r="L84" s="660"/>
      <c r="M84" s="661"/>
      <c r="N84" s="1766"/>
      <c r="O84" s="1766"/>
      <c r="P84" s="1765"/>
      <c r="Q84" s="1762"/>
      <c r="R84" s="1741"/>
      <c r="S84" s="1741"/>
      <c r="T84" s="1741"/>
      <c r="U84" s="1741"/>
      <c r="V84" s="1741"/>
      <c r="W84" s="1741"/>
      <c r="X84" s="1741"/>
      <c r="Y84" s="1741"/>
      <c r="Z84" s="1741"/>
      <c r="AA84" s="1741"/>
      <c r="AB84" s="1741"/>
      <c r="AC84" s="1741"/>
    </row>
    <row r="85" spans="1:29" ht="14.4"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7"/>
      <c r="O85" s="1767"/>
      <c r="P85" s="1765"/>
      <c r="Q85" s="1762"/>
      <c r="R85" s="1741"/>
      <c r="S85" s="1741"/>
      <c r="T85" s="1741"/>
      <c r="U85" s="1741"/>
      <c r="V85" s="1741"/>
      <c r="W85" s="1741"/>
      <c r="X85" s="1741"/>
      <c r="Y85" s="1741"/>
      <c r="Z85" s="1741"/>
      <c r="AA85" s="1741"/>
      <c r="AB85" s="1741"/>
      <c r="AC85" s="1741"/>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6"/>
      <c r="O86" s="1766"/>
      <c r="P86" s="1765"/>
      <c r="Q86" s="1762"/>
      <c r="R86" s="1741"/>
      <c r="S86" s="1741"/>
      <c r="T86" s="1741"/>
      <c r="U86" s="1741"/>
      <c r="V86" s="1741"/>
      <c r="W86" s="1741"/>
      <c r="X86" s="1741"/>
      <c r="Y86" s="1741"/>
      <c r="Z86" s="1741"/>
      <c r="AA86" s="1741"/>
      <c r="AB86" s="1741"/>
      <c r="AC86" s="1741"/>
    </row>
    <row r="87" spans="1:29">
      <c r="A87" s="543"/>
      <c r="B87" s="623"/>
      <c r="C87" s="79"/>
      <c r="D87" s="79"/>
      <c r="E87" s="79"/>
      <c r="F87" s="79"/>
      <c r="G87" s="79"/>
      <c r="H87" s="79"/>
      <c r="I87" s="79"/>
      <c r="J87" s="669"/>
      <c r="K87" s="669"/>
      <c r="L87" s="670"/>
      <c r="M87" s="671"/>
      <c r="N87" s="1766"/>
      <c r="O87" s="1766"/>
      <c r="P87" s="1765"/>
      <c r="Q87" s="1762"/>
      <c r="R87" s="1741"/>
      <c r="S87" s="1741"/>
      <c r="T87" s="1741"/>
      <c r="U87" s="1741"/>
      <c r="V87" s="1741"/>
      <c r="W87" s="1741"/>
      <c r="X87" s="1741"/>
      <c r="Y87" s="1741"/>
      <c r="Z87" s="1741"/>
      <c r="AA87" s="1741"/>
      <c r="AB87" s="1741"/>
      <c r="AC87" s="1741"/>
    </row>
    <row r="88" spans="1:29" ht="14.4" thickBot="1">
      <c r="A88" s="482"/>
      <c r="B88" s="620"/>
      <c r="C88" s="634"/>
      <c r="D88" s="613"/>
      <c r="E88" s="613"/>
      <c r="F88" s="613"/>
      <c r="G88" s="613"/>
      <c r="H88" s="613"/>
      <c r="I88" s="613"/>
      <c r="J88" s="613"/>
      <c r="K88" s="613"/>
      <c r="L88" s="613"/>
      <c r="M88" s="613"/>
      <c r="N88" s="1767"/>
      <c r="O88" s="1767"/>
      <c r="P88" s="1765"/>
      <c r="Q88" s="1762"/>
      <c r="R88" s="1741"/>
      <c r="S88" s="1741"/>
      <c r="T88" s="1741"/>
      <c r="U88" s="1741"/>
      <c r="V88" s="1741"/>
      <c r="W88" s="1741"/>
      <c r="X88" s="1741"/>
      <c r="Y88" s="1741"/>
      <c r="Z88" s="1741"/>
      <c r="AA88" s="1741"/>
      <c r="AB88" s="1741"/>
      <c r="AC88" s="1741"/>
    </row>
    <row r="89" spans="1:29" s="1134" customFormat="1" ht="15" thickTop="1">
      <c r="A89" s="552"/>
      <c r="B89" s="615" t="s">
        <v>767</v>
      </c>
      <c r="C89" s="630"/>
      <c r="D89" s="630"/>
      <c r="E89" s="630"/>
      <c r="F89" s="630"/>
      <c r="G89" s="630"/>
      <c r="H89" s="630"/>
      <c r="I89" s="630"/>
      <c r="J89" s="630"/>
      <c r="K89" s="630"/>
      <c r="L89" s="630"/>
      <c r="M89" s="816"/>
      <c r="N89" s="1768"/>
      <c r="O89" s="1768"/>
      <c r="P89" s="1768"/>
      <c r="Q89" s="1769"/>
      <c r="R89" s="1770"/>
      <c r="S89" s="1770"/>
      <c r="T89" s="1770"/>
      <c r="U89" s="1770"/>
      <c r="V89" s="1770"/>
      <c r="W89" s="1770"/>
      <c r="X89" s="1770"/>
      <c r="Y89" s="1770"/>
      <c r="Z89" s="1770"/>
      <c r="AA89" s="1770"/>
      <c r="AB89" s="1770"/>
      <c r="AC89" s="1770"/>
    </row>
    <row r="90" spans="1:29" s="1134" customFormat="1" ht="14.4" thickBot="1">
      <c r="A90" s="629"/>
      <c r="B90" s="620"/>
      <c r="C90" s="634"/>
      <c r="D90" s="613"/>
      <c r="E90" s="613"/>
      <c r="F90" s="613"/>
      <c r="G90" s="613"/>
      <c r="H90" s="613"/>
      <c r="I90" s="613"/>
      <c r="J90" s="613"/>
      <c r="K90" s="613"/>
      <c r="L90" s="613"/>
      <c r="M90" s="614"/>
      <c r="N90" s="1768"/>
      <c r="O90" s="1768"/>
      <c r="P90" s="1768"/>
      <c r="Q90" s="1769"/>
      <c r="R90" s="1770"/>
      <c r="S90" s="1770"/>
      <c r="T90" s="1770"/>
      <c r="U90" s="1770"/>
      <c r="V90" s="1770"/>
      <c r="W90" s="1770"/>
      <c r="X90" s="1770"/>
      <c r="Y90" s="1770"/>
      <c r="Z90" s="1770"/>
      <c r="AA90" s="1770"/>
      <c r="AB90" s="1770"/>
      <c r="AC90" s="1770"/>
    </row>
    <row r="91" spans="1:29" ht="14.4" thickTop="1">
      <c r="A91" s="543"/>
      <c r="B91" s="615">
        <f>B32</f>
        <v>111</v>
      </c>
      <c r="C91" s="491"/>
      <c r="D91" s="491"/>
      <c r="E91" s="491"/>
      <c r="F91" s="491"/>
      <c r="G91" s="630"/>
      <c r="H91" s="631"/>
      <c r="I91" s="631"/>
      <c r="J91" s="631"/>
      <c r="K91" s="631"/>
      <c r="L91" s="632"/>
      <c r="M91" s="633"/>
      <c r="N91" s="1766"/>
      <c r="O91" s="1766"/>
      <c r="P91" s="1765"/>
      <c r="Q91" s="1762"/>
      <c r="R91" s="1741"/>
      <c r="S91" s="1741"/>
      <c r="T91" s="1741"/>
      <c r="U91" s="1741"/>
      <c r="V91" s="1741"/>
      <c r="W91" s="1741"/>
      <c r="X91" s="1741"/>
      <c r="Y91" s="1741"/>
      <c r="Z91" s="1741"/>
      <c r="AA91" s="1741"/>
      <c r="AB91" s="1741"/>
      <c r="AC91" s="1741"/>
    </row>
    <row r="92" spans="1:29" ht="14.4" thickBot="1">
      <c r="A92" s="482"/>
      <c r="B92" s="620"/>
      <c r="C92" s="634"/>
      <c r="D92" s="613"/>
      <c r="E92" s="613"/>
      <c r="F92" s="613"/>
      <c r="G92" s="634"/>
      <c r="H92" s="635"/>
      <c r="I92" s="635"/>
      <c r="J92" s="635"/>
      <c r="K92" s="635"/>
      <c r="L92" s="635"/>
      <c r="M92" s="636"/>
      <c r="N92" s="1767"/>
      <c r="O92" s="1767"/>
      <c r="P92" s="1765"/>
      <c r="Q92" s="1762"/>
      <c r="R92" s="1741"/>
      <c r="S92" s="1741"/>
      <c r="T92" s="1741"/>
      <c r="U92" s="1741"/>
      <c r="V92" s="1741"/>
      <c r="W92" s="1741"/>
      <c r="X92" s="1741"/>
      <c r="Y92" s="1741"/>
      <c r="Z92" s="1741"/>
      <c r="AA92" s="1741"/>
      <c r="AB92" s="1741"/>
      <c r="AC92" s="1741"/>
    </row>
    <row r="93" spans="1:29" ht="14.4" thickTop="1">
      <c r="A93" s="543"/>
      <c r="B93" s="615">
        <f>B33</f>
        <v>111</v>
      </c>
      <c r="C93" s="491"/>
      <c r="D93" s="491"/>
      <c r="E93" s="491"/>
      <c r="F93" s="491"/>
      <c r="G93" s="630"/>
      <c r="H93" s="631"/>
      <c r="I93" s="631"/>
      <c r="J93" s="631"/>
      <c r="K93" s="631"/>
      <c r="L93" s="632"/>
      <c r="M93" s="633"/>
      <c r="N93" s="1766"/>
      <c r="O93" s="1766"/>
      <c r="P93" s="1765"/>
      <c r="Q93" s="1762"/>
      <c r="R93" s="1741"/>
      <c r="S93" s="1741"/>
      <c r="T93" s="1741"/>
      <c r="U93" s="1741"/>
      <c r="V93" s="1741"/>
      <c r="W93" s="1741"/>
      <c r="X93" s="1741"/>
      <c r="Y93" s="1741"/>
      <c r="Z93" s="1741"/>
      <c r="AA93" s="1741"/>
      <c r="AB93" s="1741"/>
      <c r="AC93" s="1741"/>
    </row>
    <row r="94" spans="1:29" ht="14.4" thickBot="1">
      <c r="A94" s="482"/>
      <c r="B94" s="620"/>
      <c r="C94" s="634"/>
      <c r="D94" s="613"/>
      <c r="E94" s="613"/>
      <c r="F94" s="613"/>
      <c r="G94" s="634"/>
      <c r="H94" s="635"/>
      <c r="I94" s="635"/>
      <c r="J94" s="635"/>
      <c r="K94" s="635"/>
      <c r="L94" s="635"/>
      <c r="M94" s="636"/>
      <c r="N94" s="1767"/>
      <c r="O94" s="1767"/>
      <c r="P94" s="1765"/>
      <c r="Q94" s="1762"/>
      <c r="R94" s="1741"/>
      <c r="S94" s="1741"/>
      <c r="T94" s="1741"/>
      <c r="U94" s="1741"/>
      <c r="V94" s="1741"/>
      <c r="W94" s="1741"/>
      <c r="X94" s="1741"/>
      <c r="Y94" s="1741"/>
      <c r="Z94" s="1741"/>
      <c r="AA94" s="1741"/>
      <c r="AB94" s="1741"/>
      <c r="AC94" s="1741"/>
    </row>
    <row r="95" spans="1:29" ht="14.4" thickTop="1">
      <c r="A95" s="543"/>
      <c r="B95" s="839">
        <f>B34</f>
        <v>111</v>
      </c>
      <c r="C95" s="491"/>
      <c r="D95" s="491"/>
      <c r="E95" s="491"/>
      <c r="F95" s="491"/>
      <c r="G95" s="630"/>
      <c r="H95" s="631"/>
      <c r="I95" s="631"/>
      <c r="J95" s="631"/>
      <c r="K95" s="631"/>
      <c r="L95" s="632"/>
      <c r="M95" s="633"/>
      <c r="N95" s="1767"/>
      <c r="O95" s="1767"/>
      <c r="P95" s="1767"/>
      <c r="Q95" s="1802"/>
      <c r="R95" s="1741"/>
      <c r="S95" s="1741"/>
      <c r="T95" s="1741"/>
      <c r="U95" s="1741"/>
      <c r="V95" s="1741"/>
      <c r="W95" s="1741"/>
      <c r="X95" s="1741"/>
      <c r="Y95" s="1741"/>
      <c r="Z95" s="1741"/>
      <c r="AA95" s="1741"/>
      <c r="AB95" s="1741"/>
      <c r="AC95" s="1741"/>
    </row>
    <row r="96" spans="1:29" ht="14.4" thickBot="1">
      <c r="A96" s="482"/>
      <c r="B96" s="620"/>
      <c r="C96" s="634"/>
      <c r="D96" s="634"/>
      <c r="E96" s="634"/>
      <c r="F96" s="634"/>
      <c r="G96" s="634"/>
      <c r="H96" s="635"/>
      <c r="I96" s="635"/>
      <c r="J96" s="635"/>
      <c r="K96" s="635"/>
      <c r="L96" s="635"/>
      <c r="M96" s="636"/>
      <c r="N96" s="1767"/>
      <c r="O96" s="1767"/>
      <c r="P96" s="1765"/>
      <c r="Q96" s="1762"/>
      <c r="R96" s="1741"/>
      <c r="S96" s="1741"/>
      <c r="T96" s="1741"/>
      <c r="U96" s="1741"/>
      <c r="V96" s="1741"/>
      <c r="W96" s="1741"/>
      <c r="X96" s="1741"/>
      <c r="Y96" s="1741"/>
      <c r="Z96" s="1741"/>
      <c r="AA96" s="1741"/>
      <c r="AB96" s="1741"/>
      <c r="AC96" s="1741"/>
    </row>
    <row r="97" spans="1:29" ht="14.4"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045" customWidth="1"/>
    <col min="2" max="2" width="9.2187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7" t="s">
        <v>1660</v>
      </c>
      <c r="C1" s="3751" t="s">
        <v>1661</v>
      </c>
      <c r="D1" s="3752"/>
      <c r="E1" s="3752"/>
      <c r="F1" s="3752"/>
      <c r="G1" s="3752"/>
      <c r="H1" s="3752"/>
      <c r="I1" s="3752"/>
      <c r="J1" s="3752"/>
      <c r="K1" s="3752"/>
      <c r="L1" s="3752"/>
      <c r="M1" s="3752"/>
      <c r="N1" s="3752"/>
      <c r="O1" s="3752"/>
      <c r="P1" s="3752"/>
      <c r="Q1" s="3752"/>
      <c r="R1" s="3752"/>
      <c r="S1" s="3753"/>
      <c r="T1" s="1827" t="s">
        <v>1662</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7"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29" t="str">
        <f>S3&amp;"(含)"&amp;"-"</f>
        <v>(含)-</v>
      </c>
      <c r="T2" s="869"/>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70"/>
      <c r="C3" s="871"/>
      <c r="D3" s="10"/>
      <c r="E3" s="10"/>
      <c r="F3" s="10"/>
      <c r="G3" s="10"/>
      <c r="H3" s="10"/>
      <c r="I3" s="10"/>
      <c r="J3" s="872"/>
      <c r="K3" s="872"/>
      <c r="L3" s="873"/>
      <c r="M3" s="1832"/>
      <c r="N3" s="1833"/>
      <c r="O3" s="10"/>
      <c r="P3" s="10"/>
      <c r="Q3" s="10"/>
      <c r="R3" s="10"/>
      <c r="S3" s="1834"/>
      <c r="T3" s="874"/>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8"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3" customFormat="1">
      <c r="A5" s="1844"/>
      <c r="B5" s="2344" t="s">
        <v>2191</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3" customFormat="1" ht="13.8"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3" customFormat="1">
      <c r="A7" s="1844"/>
      <c r="B7" s="2346" t="s">
        <v>2190</v>
      </c>
      <c r="C7" s="1618"/>
      <c r="D7" s="1619"/>
      <c r="E7" s="1619"/>
      <c r="F7" s="1619"/>
      <c r="G7" s="1619"/>
      <c r="H7" s="1619"/>
      <c r="I7" s="1619"/>
      <c r="J7" s="1619"/>
      <c r="K7" s="1619"/>
      <c r="L7" s="1619"/>
      <c r="M7" s="1852"/>
      <c r="N7" s="1853"/>
      <c r="O7" s="1854"/>
      <c r="P7" s="1854"/>
      <c r="Q7" s="1855"/>
      <c r="R7" s="1856"/>
      <c r="S7" s="1857"/>
      <c r="T7" s="875"/>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3" customFormat="1" ht="13.8"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3" customFormat="1">
      <c r="A9" s="1844"/>
      <c r="B9" s="2346" t="s">
        <v>2189</v>
      </c>
      <c r="C9" s="1618"/>
      <c r="D9" s="1619"/>
      <c r="E9" s="1619"/>
      <c r="F9" s="1619"/>
      <c r="G9" s="1619"/>
      <c r="H9" s="1619"/>
      <c r="I9" s="1619"/>
      <c r="J9" s="1619"/>
      <c r="K9" s="1619"/>
      <c r="L9" s="1620"/>
      <c r="M9" s="1852"/>
      <c r="N9" s="1853"/>
      <c r="O9" s="1854"/>
      <c r="P9" s="1854"/>
      <c r="Q9" s="1855"/>
      <c r="R9" s="1856"/>
      <c r="S9" s="1857"/>
      <c r="T9" s="875"/>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3" customFormat="1" ht="13.8" thickBot="1">
      <c r="A10" s="1844"/>
      <c r="B10" s="2345"/>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3" customFormat="1">
      <c r="A11" s="1844"/>
      <c r="B11" s="2344" t="s">
        <v>2202</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3" customFormat="1" ht="13.8"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3" customFormat="1">
      <c r="A13" s="1844"/>
      <c r="B13" s="2344" t="s">
        <v>2188</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3" customFormat="1" ht="13.8"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3" customFormat="1">
      <c r="A15" s="1844"/>
      <c r="B15" s="2344" t="s">
        <v>2187</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3" customFormat="1" ht="13.8"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1664</v>
      </c>
      <c r="B17" s="1869" t="s">
        <v>1665</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8"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7"/>
      <c r="B19" s="867"/>
      <c r="C19" s="1637"/>
      <c r="D19" s="1637"/>
      <c r="E19" s="1637"/>
      <c r="F19" s="1637"/>
      <c r="G19" s="1637"/>
      <c r="H19" s="1637"/>
      <c r="I19" s="1637"/>
      <c r="J19" s="1637"/>
      <c r="K19" s="1637"/>
      <c r="L19" s="1637"/>
      <c r="M19" s="1637"/>
      <c r="N19" s="1637"/>
      <c r="O19" s="1637"/>
      <c r="P19" s="1637"/>
      <c r="Q19" s="1637"/>
      <c r="R19" s="1637"/>
      <c r="S19" s="1635"/>
    </row>
    <row r="20" spans="1:45" ht="15.6">
      <c r="A20" s="876" t="s">
        <v>768</v>
      </c>
      <c r="B20" s="710">
        <f>S22</f>
        <v>0</v>
      </c>
      <c r="C20" s="1637"/>
      <c r="D20" s="1637"/>
      <c r="E20" s="1637"/>
      <c r="F20" s="1637"/>
      <c r="G20" s="1637"/>
      <c r="H20" s="1637"/>
      <c r="I20" s="1637"/>
      <c r="J20" s="1637"/>
      <c r="K20" s="1637"/>
      <c r="L20" s="1637"/>
      <c r="M20" s="1637"/>
      <c r="N20" s="1637"/>
      <c r="O20" s="1637"/>
      <c r="P20" s="1637"/>
      <c r="Q20" s="1637"/>
      <c r="R20" s="1637"/>
      <c r="S20" s="1635"/>
    </row>
    <row r="21" spans="1:45" ht="15.6">
      <c r="A21" s="876" t="str">
        <f>IF(B23="土地面积","地面单价","楼面单价")</f>
        <v>楼面单价</v>
      </c>
      <c r="B21" s="710" t="e">
        <f>R22</f>
        <v>#DIV/0!</v>
      </c>
      <c r="C21" s="1637"/>
      <c r="D21" s="1637"/>
      <c r="E21" s="1637"/>
      <c r="F21" s="1637"/>
      <c r="G21" s="1637"/>
      <c r="H21" s="1637"/>
      <c r="I21" s="1637"/>
      <c r="J21" s="1637"/>
      <c r="K21" s="1637"/>
      <c r="L21" s="1637"/>
      <c r="M21" s="1637"/>
      <c r="N21" s="1637"/>
      <c r="O21" s="1637"/>
      <c r="P21" s="1637"/>
      <c r="Q21" s="1637"/>
      <c r="R21" s="1637"/>
      <c r="S21" s="1635"/>
    </row>
    <row r="22" spans="1:45">
      <c r="A22" s="734" t="s">
        <v>769</v>
      </c>
      <c r="B22" s="49">
        <f>SUM(B24:B10000)</f>
        <v>0</v>
      </c>
      <c r="C22" s="3748" t="s">
        <v>14</v>
      </c>
      <c r="D22" s="3749"/>
      <c r="E22" s="3749"/>
      <c r="F22" s="3749"/>
      <c r="G22" s="3749"/>
      <c r="H22" s="3749"/>
      <c r="I22" s="3749"/>
      <c r="J22" s="3749"/>
      <c r="K22" s="3749"/>
      <c r="L22" s="3749"/>
      <c r="M22" s="3749"/>
      <c r="N22" s="3749"/>
      <c r="O22" s="3749"/>
      <c r="P22" s="3749"/>
      <c r="Q22" s="3750"/>
      <c r="R22" s="49" t="e">
        <f>ROUND(S22*10000/B22,0)</f>
        <v>#DIV/0!</v>
      </c>
      <c r="S22" s="49">
        <f>SUM(S24:S10000)</f>
        <v>0</v>
      </c>
    </row>
    <row r="23" spans="1:45" s="1336" customFormat="1" ht="24">
      <c r="A23" s="14" t="s">
        <v>770</v>
      </c>
      <c r="B23" s="2418"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7" customFormat="1">
      <c r="A24" s="877" t="s">
        <v>774</v>
      </c>
      <c r="B24" s="877"/>
      <c r="C24" s="2775">
        <v>1</v>
      </c>
      <c r="D24" s="2776"/>
      <c r="E24" s="2775">
        <v>1</v>
      </c>
      <c r="F24" s="2776"/>
      <c r="G24" s="2775">
        <v>1</v>
      </c>
      <c r="H24" s="2776"/>
      <c r="I24" s="2775">
        <v>1</v>
      </c>
      <c r="J24" s="2776"/>
      <c r="K24" s="2775">
        <v>1</v>
      </c>
      <c r="L24" s="2776"/>
      <c r="M24" s="2775">
        <v>1</v>
      </c>
      <c r="N24" s="2776"/>
      <c r="O24" s="2775">
        <v>1</v>
      </c>
      <c r="P24" s="2776"/>
      <c r="Q24" s="2775">
        <v>1</v>
      </c>
      <c r="R24" s="877"/>
      <c r="S24" s="878">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7E68D-751B-4E48-A31A-3BC8064B55F6}">
  <sheetPr>
    <tabColor rgb="FF7030A0"/>
  </sheetPr>
  <dimension ref="A1:J11"/>
  <sheetViews>
    <sheetView workbookViewId="0">
      <selection activeCell="K4" sqref="K4"/>
    </sheetView>
  </sheetViews>
  <sheetFormatPr defaultRowHeight="14.4"/>
  <cols>
    <col min="1" max="1" width="21.21875" customWidth="1"/>
    <col min="2" max="2" width="10.77734375" customWidth="1"/>
    <col min="5" max="5" width="13" customWidth="1"/>
  </cols>
  <sheetData>
    <row r="1" spans="1:10">
      <c r="A1" s="3424" t="s">
        <v>2213</v>
      </c>
      <c r="B1" s="3399">
        <v>21555</v>
      </c>
      <c r="C1" s="3399"/>
      <c r="D1" s="3399"/>
      <c r="E1" s="3399"/>
      <c r="F1" s="3399"/>
      <c r="G1" s="3399"/>
    </row>
    <row r="2" spans="1:10">
      <c r="A2" s="3424" t="s">
        <v>3348</v>
      </c>
      <c r="B2" s="3399">
        <v>1.3</v>
      </c>
      <c r="C2" s="3399"/>
      <c r="D2" s="3424" t="s">
        <v>3510</v>
      </c>
      <c r="E2" s="3399"/>
      <c r="F2" s="3424" t="s">
        <v>3513</v>
      </c>
      <c r="G2" s="3399"/>
      <c r="J2" s="3426" t="s">
        <v>3516</v>
      </c>
    </row>
    <row r="3" spans="1:10">
      <c r="A3" s="3424" t="s">
        <v>3349</v>
      </c>
      <c r="B3" s="3399">
        <v>28022</v>
      </c>
      <c r="C3" s="3399"/>
      <c r="D3" s="3424" t="s">
        <v>3511</v>
      </c>
      <c r="E3" s="3399">
        <f>B3-E4</f>
        <v>26901.119999999999</v>
      </c>
      <c r="F3" s="3399">
        <v>2000</v>
      </c>
      <c r="G3" s="3399"/>
    </row>
    <row r="4" spans="1:10">
      <c r="A4" s="3424" t="s">
        <v>3350</v>
      </c>
      <c r="B4" s="3425">
        <v>0.04</v>
      </c>
      <c r="C4" s="3399"/>
      <c r="D4" s="3424" t="s">
        <v>3512</v>
      </c>
      <c r="E4" s="3399">
        <f>B3*B4</f>
        <v>1120.8800000000001</v>
      </c>
      <c r="F4" s="3399">
        <v>2000</v>
      </c>
      <c r="G4" s="3399"/>
    </row>
    <row r="5" spans="1:10">
      <c r="A5" s="3399"/>
      <c r="B5" s="3399"/>
      <c r="C5" s="3399"/>
      <c r="D5" s="3399"/>
      <c r="E5" s="3399"/>
      <c r="F5" s="3424" t="s">
        <v>3514</v>
      </c>
      <c r="G5" s="3399">
        <f>(F3*E3+F4*E4)/B3</f>
        <v>2000</v>
      </c>
    </row>
    <row r="6" spans="1:10">
      <c r="D6" s="2748" t="s">
        <v>3352</v>
      </c>
    </row>
    <row r="7" spans="1:10">
      <c r="A7" s="2748" t="s">
        <v>3353</v>
      </c>
      <c r="B7">
        <v>26138.5</v>
      </c>
      <c r="D7">
        <v>2000</v>
      </c>
      <c r="E7">
        <f>D7*B7</f>
        <v>52277000</v>
      </c>
    </row>
    <row r="8" spans="1:10">
      <c r="A8" s="2748" t="s">
        <v>3351</v>
      </c>
      <c r="B8">
        <v>1120.8599999999999</v>
      </c>
      <c r="D8">
        <v>2000</v>
      </c>
      <c r="E8">
        <f t="shared" ref="E8:E10" si="0">D8*B8</f>
        <v>2241720</v>
      </c>
    </row>
    <row r="9" spans="1:10">
      <c r="A9" s="2748" t="s">
        <v>3354</v>
      </c>
      <c r="B9">
        <v>70.05</v>
      </c>
      <c r="D9">
        <v>2000</v>
      </c>
      <c r="E9">
        <f t="shared" si="0"/>
        <v>140100</v>
      </c>
      <c r="G9">
        <f>E11/B11</f>
        <v>2000</v>
      </c>
    </row>
    <row r="10" spans="1:10">
      <c r="A10" s="2748" t="s">
        <v>3355</v>
      </c>
      <c r="B10">
        <v>692</v>
      </c>
      <c r="D10">
        <v>2000</v>
      </c>
      <c r="E10">
        <f t="shared" si="0"/>
        <v>1384000</v>
      </c>
    </row>
    <row r="11" spans="1:10">
      <c r="B11">
        <f>SUM(B7:B10)</f>
        <v>28021.41</v>
      </c>
      <c r="E11">
        <f>SUM(E7:E10)</f>
        <v>56042820</v>
      </c>
    </row>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9B37C-AC1E-4D5B-BE1A-4226B6FFCA43}">
  <sheetPr>
    <tabColor rgb="FF7030A0"/>
  </sheetPr>
  <dimension ref="A1:XEJ11"/>
  <sheetViews>
    <sheetView zoomScaleNormal="100" workbookViewId="0">
      <selection activeCell="H15" sqref="H15"/>
    </sheetView>
  </sheetViews>
  <sheetFormatPr defaultRowHeight="14.4"/>
  <sheetData>
    <row r="1" spans="1:16364" s="2234" customFormat="1">
      <c r="A1" s="2234" t="s">
        <v>3356</v>
      </c>
      <c r="B1" s="2234" t="s">
        <v>3357</v>
      </c>
      <c r="C1" s="2234" t="s">
        <v>3358</v>
      </c>
      <c r="D1" s="2234" t="s">
        <v>3359</v>
      </c>
      <c r="E1" s="2234" t="s">
        <v>3360</v>
      </c>
      <c r="F1" s="2234" t="s">
        <v>3361</v>
      </c>
      <c r="G1" s="2234" t="s">
        <v>3362</v>
      </c>
      <c r="H1" s="2234" t="s">
        <v>3363</v>
      </c>
      <c r="I1" s="2234" t="s">
        <v>3364</v>
      </c>
      <c r="J1" s="2234" t="s">
        <v>3365</v>
      </c>
      <c r="K1" s="2234" t="s">
        <v>3366</v>
      </c>
      <c r="L1" s="2234" t="s">
        <v>3367</v>
      </c>
      <c r="M1" s="2234" t="s">
        <v>3368</v>
      </c>
      <c r="N1" s="2234" t="s">
        <v>3369</v>
      </c>
      <c r="O1" s="2234" t="s">
        <v>3370</v>
      </c>
      <c r="P1" s="2234" t="s">
        <v>3371</v>
      </c>
      <c r="Q1" s="2234" t="s">
        <v>3372</v>
      </c>
      <c r="R1" s="2234" t="s">
        <v>3373</v>
      </c>
      <c r="S1" s="2234" t="s">
        <v>3374</v>
      </c>
      <c r="T1" s="2234" t="s">
        <v>1550</v>
      </c>
      <c r="U1" s="2234" t="s">
        <v>3375</v>
      </c>
      <c r="V1" s="2234" t="s">
        <v>3376</v>
      </c>
      <c r="W1" s="2234" t="s">
        <v>3377</v>
      </c>
      <c r="X1" s="2234" t="s">
        <v>3378</v>
      </c>
      <c r="Y1" s="2234" t="s">
        <v>3379</v>
      </c>
      <c r="Z1" s="2234" t="s">
        <v>3380</v>
      </c>
      <c r="AA1" s="2234" t="s">
        <v>3381</v>
      </c>
      <c r="AB1" s="2234" t="s">
        <v>3382</v>
      </c>
      <c r="AC1" s="2234" t="s">
        <v>3383</v>
      </c>
      <c r="AD1" s="2234" t="s">
        <v>3384</v>
      </c>
      <c r="AE1" s="2234" t="s">
        <v>3385</v>
      </c>
      <c r="AF1" s="2234" t="s">
        <v>3386</v>
      </c>
      <c r="AG1" s="2234" t="s">
        <v>3387</v>
      </c>
      <c r="AH1" s="2234" t="s">
        <v>3388</v>
      </c>
      <c r="AI1" s="2234" t="s">
        <v>3389</v>
      </c>
      <c r="AJ1" s="2234" t="s">
        <v>3390</v>
      </c>
      <c r="AK1" s="2234" t="s">
        <v>3391</v>
      </c>
      <c r="AL1" s="2234" t="s">
        <v>3392</v>
      </c>
      <c r="AM1" s="2234" t="s">
        <v>3393</v>
      </c>
      <c r="AN1" s="2234" t="s">
        <v>3394</v>
      </c>
      <c r="AO1" s="2234" t="s">
        <v>3395</v>
      </c>
      <c r="AP1" s="2234" t="s">
        <v>3396</v>
      </c>
      <c r="AQ1" s="2234" t="s">
        <v>3397</v>
      </c>
      <c r="AR1" s="2234" t="s">
        <v>3398</v>
      </c>
      <c r="AS1" s="2234" t="s">
        <v>3399</v>
      </c>
      <c r="AT1" s="2234" t="s">
        <v>3400</v>
      </c>
      <c r="AU1" s="2234" t="s">
        <v>3401</v>
      </c>
      <c r="AV1" s="2234" t="s">
        <v>3402</v>
      </c>
      <c r="AW1" s="2234" t="s">
        <v>3403</v>
      </c>
      <c r="AX1" s="2234" t="s">
        <v>3404</v>
      </c>
      <c r="AY1" s="2234" t="s">
        <v>3405</v>
      </c>
      <c r="AZ1" s="2234" t="s">
        <v>3406</v>
      </c>
      <c r="BA1" s="2234" t="s">
        <v>3407</v>
      </c>
      <c r="BB1" s="2234" t="s">
        <v>3408</v>
      </c>
      <c r="BC1" s="2234" t="s">
        <v>3409</v>
      </c>
      <c r="BD1" s="2234" t="s">
        <v>3410</v>
      </c>
      <c r="BE1" s="2234" t="s">
        <v>3411</v>
      </c>
      <c r="BF1" s="2234" t="s">
        <v>3412</v>
      </c>
      <c r="BG1" s="2234" t="s">
        <v>3413</v>
      </c>
      <c r="BH1" s="2234" t="s">
        <v>3414</v>
      </c>
      <c r="BI1" s="2234" t="s">
        <v>3415</v>
      </c>
      <c r="BJ1" s="2234" t="s">
        <v>3416</v>
      </c>
      <c r="BK1" s="2234" t="s">
        <v>3417</v>
      </c>
      <c r="BL1" s="2234" t="s">
        <v>3418</v>
      </c>
      <c r="BM1" s="2234" t="s">
        <v>3419</v>
      </c>
    </row>
    <row r="2" spans="1:16364" s="3412" customFormat="1">
      <c r="A2" s="3412" t="s">
        <v>3420</v>
      </c>
      <c r="B2" s="2234" t="s">
        <v>3421</v>
      </c>
      <c r="C2" s="2234" t="s">
        <v>3422</v>
      </c>
      <c r="D2" s="3412" t="s">
        <v>3423</v>
      </c>
      <c r="E2" s="3412" t="s">
        <v>3424</v>
      </c>
      <c r="F2" s="3412" t="s">
        <v>3425</v>
      </c>
      <c r="G2" s="3413" t="s">
        <v>3426</v>
      </c>
      <c r="H2" s="3412" t="s">
        <v>3427</v>
      </c>
      <c r="I2" s="3412">
        <v>25910</v>
      </c>
      <c r="J2" s="3412">
        <v>75139</v>
      </c>
      <c r="K2" s="3412">
        <v>2.9</v>
      </c>
      <c r="L2" s="2234">
        <v>0</v>
      </c>
      <c r="M2" s="2234">
        <v>0</v>
      </c>
      <c r="N2" s="2234">
        <v>0</v>
      </c>
      <c r="O2" s="2234">
        <v>0</v>
      </c>
      <c r="P2" s="3412" t="s">
        <v>3428</v>
      </c>
      <c r="Q2" s="3412" t="s">
        <v>3429</v>
      </c>
      <c r="R2" s="3412" t="s">
        <v>3430</v>
      </c>
      <c r="S2" s="3412" t="s">
        <v>3431</v>
      </c>
      <c r="T2" s="3412" t="s">
        <v>3432</v>
      </c>
      <c r="U2" s="3412">
        <v>5</v>
      </c>
      <c r="V2" s="3412" t="s">
        <v>3433</v>
      </c>
      <c r="W2" s="3412" t="s">
        <v>3434</v>
      </c>
      <c r="X2" s="3412" t="s">
        <v>3435</v>
      </c>
      <c r="Y2" s="2234" t="s">
        <v>3436</v>
      </c>
      <c r="Z2" s="2234" t="s">
        <v>3436</v>
      </c>
      <c r="AA2" s="2234" t="s">
        <v>3436</v>
      </c>
      <c r="AB2" s="2234" t="s">
        <v>3436</v>
      </c>
      <c r="AC2" s="2234" t="s">
        <v>3436</v>
      </c>
      <c r="AD2" s="2234" t="s">
        <v>3437</v>
      </c>
      <c r="AE2" s="2234" t="s">
        <v>3438</v>
      </c>
      <c r="AF2" s="2234" t="s">
        <v>3439</v>
      </c>
      <c r="AG2" s="3412" t="s">
        <v>3439</v>
      </c>
      <c r="AH2" s="3412" t="s">
        <v>3440</v>
      </c>
      <c r="AI2" s="3412" t="s">
        <v>3441</v>
      </c>
      <c r="AJ2" s="3412" t="s">
        <v>3442</v>
      </c>
      <c r="AK2" s="3412" t="s">
        <v>3443</v>
      </c>
      <c r="AL2" s="3412" t="s">
        <v>3444</v>
      </c>
      <c r="AM2" s="3412" t="s">
        <v>3445</v>
      </c>
      <c r="AN2" s="2234">
        <v>43000</v>
      </c>
      <c r="AO2" s="2234">
        <v>8600</v>
      </c>
      <c r="AP2" s="2234" t="s">
        <v>3446</v>
      </c>
      <c r="AQ2" s="3412">
        <v>43000</v>
      </c>
      <c r="AR2" s="2234">
        <v>16595.900000000001</v>
      </c>
      <c r="AS2" s="3412">
        <v>16595.900000000001</v>
      </c>
      <c r="AT2" s="2234">
        <v>1106.3900000000001</v>
      </c>
      <c r="AU2" s="3412">
        <v>1106.3900000000001</v>
      </c>
      <c r="AV2" s="2234">
        <v>5723</v>
      </c>
      <c r="AW2" s="3412">
        <v>5723</v>
      </c>
      <c r="AX2" s="3412" t="s">
        <v>3436</v>
      </c>
      <c r="AY2" s="3412" t="s">
        <v>3436</v>
      </c>
      <c r="AZ2" s="3412">
        <v>0</v>
      </c>
      <c r="BA2" s="3412" t="s">
        <v>3436</v>
      </c>
      <c r="BB2" s="3412" t="s">
        <v>3436</v>
      </c>
      <c r="BC2" s="3412" t="s">
        <v>3436</v>
      </c>
      <c r="BD2" s="3412" t="s">
        <v>3436</v>
      </c>
      <c r="BE2" s="3412" t="s">
        <v>3436</v>
      </c>
      <c r="BF2" s="3412" t="s">
        <v>3436</v>
      </c>
      <c r="BG2" s="3412" t="s">
        <v>3436</v>
      </c>
      <c r="BH2" s="3412" t="s">
        <v>3436</v>
      </c>
      <c r="BI2" s="3412" t="s">
        <v>3436</v>
      </c>
      <c r="BJ2" s="3412" t="s">
        <v>3339</v>
      </c>
      <c r="BK2" s="3412" t="s">
        <v>3427</v>
      </c>
      <c r="BL2" s="3414">
        <v>45611.000497685185</v>
      </c>
      <c r="BM2" s="3412">
        <v>21500</v>
      </c>
    </row>
    <row r="3" spans="1:16364" s="3412" customFormat="1">
      <c r="A3" s="3412" t="s">
        <v>3447</v>
      </c>
      <c r="B3" s="3412" t="s">
        <v>3421</v>
      </c>
      <c r="C3" s="3412" t="s">
        <v>3422</v>
      </c>
      <c r="D3" s="3412" t="s">
        <v>3423</v>
      </c>
      <c r="E3" s="3412" t="s">
        <v>3448</v>
      </c>
      <c r="F3" s="3412" t="s">
        <v>3449</v>
      </c>
      <c r="G3" s="3413" t="s">
        <v>3450</v>
      </c>
      <c r="H3" s="3412" t="s">
        <v>3451</v>
      </c>
      <c r="I3" s="3412">
        <v>46214</v>
      </c>
      <c r="J3" s="3412">
        <v>115535</v>
      </c>
      <c r="K3" s="3412">
        <v>2.5</v>
      </c>
      <c r="L3" s="3412">
        <v>0</v>
      </c>
      <c r="M3" s="3412">
        <v>0</v>
      </c>
      <c r="N3" s="3412">
        <v>0</v>
      </c>
      <c r="O3" s="3412">
        <v>0</v>
      </c>
      <c r="P3" s="3412" t="s">
        <v>3452</v>
      </c>
      <c r="Q3" s="3412" t="s">
        <v>3452</v>
      </c>
      <c r="R3" s="3412" t="s">
        <v>3430</v>
      </c>
      <c r="S3" s="3412" t="s">
        <v>3431</v>
      </c>
      <c r="T3" s="3412" t="s">
        <v>3453</v>
      </c>
      <c r="U3" s="3412">
        <v>5</v>
      </c>
      <c r="V3" s="3412" t="s">
        <v>3454</v>
      </c>
      <c r="W3" s="3412" t="s">
        <v>3455</v>
      </c>
      <c r="X3" s="3412" t="s">
        <v>3435</v>
      </c>
      <c r="Y3" s="3412" t="s">
        <v>3436</v>
      </c>
      <c r="Z3" s="3412" t="s">
        <v>3436</v>
      </c>
      <c r="AA3" s="3412" t="s">
        <v>3436</v>
      </c>
      <c r="AB3" s="3412" t="s">
        <v>3436</v>
      </c>
      <c r="AC3" s="3412" t="s">
        <v>3436</v>
      </c>
      <c r="AD3" s="3412" t="s">
        <v>3456</v>
      </c>
      <c r="AE3" s="3412" t="s">
        <v>3457</v>
      </c>
      <c r="AF3" s="3412" t="s">
        <v>3458</v>
      </c>
      <c r="AG3" s="3412" t="s">
        <v>3458</v>
      </c>
      <c r="AH3" s="3412" t="s">
        <v>3440</v>
      </c>
      <c r="AI3" s="3412" t="s">
        <v>3441</v>
      </c>
      <c r="AJ3" s="3412" t="s">
        <v>3459</v>
      </c>
      <c r="AK3" s="3412" t="s">
        <v>3460</v>
      </c>
      <c r="AL3" s="3412" t="s">
        <v>3444</v>
      </c>
      <c r="AM3" s="3412" t="s">
        <v>3445</v>
      </c>
      <c r="AN3" s="3412">
        <v>70000</v>
      </c>
      <c r="AO3" s="3412">
        <v>14000</v>
      </c>
      <c r="AP3" s="3412" t="s">
        <v>3461</v>
      </c>
      <c r="AQ3" s="3412">
        <v>70000</v>
      </c>
      <c r="AR3" s="3412">
        <v>15146.92</v>
      </c>
      <c r="AS3" s="3412">
        <v>15146.92</v>
      </c>
      <c r="AT3" s="3412">
        <v>1009.8</v>
      </c>
      <c r="AU3" s="3412">
        <v>1009.8</v>
      </c>
      <c r="AV3" s="3412">
        <v>6059</v>
      </c>
      <c r="AW3" s="3412">
        <v>6059</v>
      </c>
      <c r="AX3" s="3412" t="s">
        <v>3436</v>
      </c>
      <c r="AY3" s="3412" t="s">
        <v>3436</v>
      </c>
      <c r="AZ3" s="3412">
        <v>0</v>
      </c>
      <c r="BA3" s="3412" t="s">
        <v>3436</v>
      </c>
      <c r="BB3" s="3412" t="s">
        <v>3436</v>
      </c>
      <c r="BC3" s="3412" t="s">
        <v>3436</v>
      </c>
      <c r="BD3" s="3412" t="s">
        <v>3436</v>
      </c>
      <c r="BE3" s="3412" t="s">
        <v>3436</v>
      </c>
      <c r="BF3" s="3412" t="s">
        <v>3436</v>
      </c>
      <c r="BG3" s="3412" t="s">
        <v>3436</v>
      </c>
      <c r="BH3" s="3412" t="s">
        <v>3436</v>
      </c>
      <c r="BI3" s="3412" t="s">
        <v>3436</v>
      </c>
      <c r="BJ3" s="3412" t="s">
        <v>3337</v>
      </c>
      <c r="BK3" s="3412" t="s">
        <v>3436</v>
      </c>
      <c r="BL3" s="3414">
        <v>45562.000497685185</v>
      </c>
      <c r="BM3" s="3412">
        <v>35000</v>
      </c>
    </row>
    <row r="4" spans="1:16364" s="3412" customFormat="1">
      <c r="A4" s="3412" t="s">
        <v>3462</v>
      </c>
      <c r="B4" s="2234" t="s">
        <v>3421</v>
      </c>
      <c r="C4" s="2234" t="s">
        <v>3422</v>
      </c>
      <c r="D4" s="3412" t="s">
        <v>3423</v>
      </c>
      <c r="E4" s="3412" t="s">
        <v>3463</v>
      </c>
      <c r="F4" s="3412" t="s">
        <v>3464</v>
      </c>
      <c r="G4" s="3413" t="s">
        <v>3465</v>
      </c>
      <c r="H4" s="3412" t="s">
        <v>3466</v>
      </c>
      <c r="I4" s="3412">
        <v>208984</v>
      </c>
      <c r="J4" s="3412">
        <v>459764.8</v>
      </c>
      <c r="K4" s="3412">
        <v>2.2000000000000002</v>
      </c>
      <c r="L4" s="2234" t="s">
        <v>3436</v>
      </c>
      <c r="M4" s="2234" t="s">
        <v>3436</v>
      </c>
      <c r="N4" s="2234">
        <v>0</v>
      </c>
      <c r="O4" s="2234">
        <v>0</v>
      </c>
      <c r="P4" s="3412" t="s">
        <v>3452</v>
      </c>
      <c r="Q4" s="3412" t="s">
        <v>3467</v>
      </c>
      <c r="R4" s="3412" t="s">
        <v>3430</v>
      </c>
      <c r="S4" s="3412" t="s">
        <v>3468</v>
      </c>
      <c r="T4" s="3412" t="s">
        <v>3469</v>
      </c>
      <c r="U4" s="3412">
        <v>20</v>
      </c>
      <c r="V4" s="3412" t="s">
        <v>3470</v>
      </c>
      <c r="W4" s="3412" t="s">
        <v>3471</v>
      </c>
      <c r="X4" s="3412" t="s">
        <v>3435</v>
      </c>
      <c r="Y4" s="2234" t="s">
        <v>3436</v>
      </c>
      <c r="Z4" s="2234" t="s">
        <v>3436</v>
      </c>
      <c r="AA4" s="2234" t="s">
        <v>3436</v>
      </c>
      <c r="AB4" s="2234" t="s">
        <v>3436</v>
      </c>
      <c r="AC4" s="2234" t="s">
        <v>3436</v>
      </c>
      <c r="AD4" s="2234" t="s">
        <v>3472</v>
      </c>
      <c r="AE4" s="2234" t="s">
        <v>3473</v>
      </c>
      <c r="AF4" s="2234" t="s">
        <v>3474</v>
      </c>
      <c r="AG4" s="3412" t="s">
        <v>3474</v>
      </c>
      <c r="AH4" s="3412" t="s">
        <v>3440</v>
      </c>
      <c r="AI4" s="3412" t="s">
        <v>3441</v>
      </c>
      <c r="AJ4" s="3412" t="s">
        <v>3475</v>
      </c>
      <c r="AK4" s="3412" t="s">
        <v>3476</v>
      </c>
      <c r="AL4" s="3412" t="s">
        <v>3444</v>
      </c>
      <c r="AM4" s="3412" t="s">
        <v>3445</v>
      </c>
      <c r="AN4" s="2234">
        <v>270000</v>
      </c>
      <c r="AO4" s="2234">
        <v>54000</v>
      </c>
      <c r="AP4" s="2234" t="s">
        <v>3477</v>
      </c>
      <c r="AQ4" s="3412">
        <v>270000</v>
      </c>
      <c r="AR4" s="2234">
        <v>12919.64</v>
      </c>
      <c r="AS4" s="3412">
        <v>12919.64</v>
      </c>
      <c r="AT4" s="2234">
        <v>861.31</v>
      </c>
      <c r="AU4" s="3412">
        <v>861.31</v>
      </c>
      <c r="AV4" s="2234">
        <v>5873</v>
      </c>
      <c r="AW4" s="3412">
        <v>5873</v>
      </c>
      <c r="AX4" s="3412" t="s">
        <v>3436</v>
      </c>
      <c r="AY4" s="3412" t="s">
        <v>3436</v>
      </c>
      <c r="AZ4" s="3412">
        <v>0</v>
      </c>
      <c r="BA4" s="3412" t="s">
        <v>3436</v>
      </c>
      <c r="BB4" s="3412" t="s">
        <v>3436</v>
      </c>
      <c r="BC4" s="3412" t="s">
        <v>3436</v>
      </c>
      <c r="BD4" s="3412" t="s">
        <v>3436</v>
      </c>
      <c r="BE4" s="3412" t="s">
        <v>3436</v>
      </c>
      <c r="BF4" s="3412" t="s">
        <v>3436</v>
      </c>
      <c r="BG4" s="3412" t="s">
        <v>3436</v>
      </c>
      <c r="BH4" s="3412" t="s">
        <v>3436</v>
      </c>
      <c r="BI4" s="3412" t="s">
        <v>3436</v>
      </c>
      <c r="BJ4" s="3412" t="s">
        <v>3337</v>
      </c>
      <c r="BK4" s="3412" t="s">
        <v>3436</v>
      </c>
      <c r="BL4" s="3414">
        <v>45290.000497685185</v>
      </c>
      <c r="BM4" s="3412">
        <v>270000</v>
      </c>
    </row>
    <row r="9" spans="1:16364">
      <c r="A9" s="2748" t="s">
        <v>3547</v>
      </c>
    </row>
    <row r="10" spans="1:16364">
      <c r="A10" s="2234" t="s">
        <v>3356</v>
      </c>
      <c r="B10" s="2234" t="s">
        <v>3359</v>
      </c>
      <c r="C10" s="2234" t="s">
        <v>3360</v>
      </c>
      <c r="D10" s="2234" t="s">
        <v>3361</v>
      </c>
      <c r="E10" s="2234" t="s">
        <v>3362</v>
      </c>
      <c r="F10" s="2234" t="s">
        <v>3363</v>
      </c>
      <c r="G10" s="2234" t="s">
        <v>3364</v>
      </c>
      <c r="H10" s="2234" t="s">
        <v>3365</v>
      </c>
      <c r="I10" s="2234" t="s">
        <v>3366</v>
      </c>
      <c r="J10" s="2234" t="s">
        <v>3371</v>
      </c>
      <c r="K10" s="2234" t="s">
        <v>3372</v>
      </c>
      <c r="L10" s="2234" t="s">
        <v>3373</v>
      </c>
      <c r="M10" s="2234" t="s">
        <v>3374</v>
      </c>
      <c r="N10" s="2234" t="s">
        <v>1550</v>
      </c>
      <c r="O10" s="2234" t="s">
        <v>3375</v>
      </c>
      <c r="P10" s="2234" t="s">
        <v>3376</v>
      </c>
      <c r="Q10" s="2234" t="s">
        <v>3377</v>
      </c>
      <c r="R10" s="2234" t="s">
        <v>3378</v>
      </c>
      <c r="S10" s="2234" t="s">
        <v>3387</v>
      </c>
      <c r="T10" s="2234" t="s">
        <v>3388</v>
      </c>
      <c r="U10" s="2234" t="s">
        <v>3389</v>
      </c>
      <c r="V10" s="2234" t="s">
        <v>3390</v>
      </c>
      <c r="W10" s="2234" t="s">
        <v>3391</v>
      </c>
      <c r="X10" s="2234" t="s">
        <v>3392</v>
      </c>
      <c r="Y10" s="2234" t="s">
        <v>3393</v>
      </c>
      <c r="Z10" s="2234" t="s">
        <v>3397</v>
      </c>
      <c r="AA10" s="2234" t="s">
        <v>3399</v>
      </c>
      <c r="AB10" s="2234" t="s">
        <v>3401</v>
      </c>
      <c r="AC10" s="2234" t="s">
        <v>3403</v>
      </c>
      <c r="AD10" s="2234" t="s">
        <v>3404</v>
      </c>
      <c r="AE10" s="2234" t="s">
        <v>3405</v>
      </c>
      <c r="AF10" s="2234" t="s">
        <v>3406</v>
      </c>
      <c r="AG10" s="2234" t="s">
        <v>3407</v>
      </c>
      <c r="AH10" s="2234" t="s">
        <v>3408</v>
      </c>
      <c r="AI10" s="2234" t="s">
        <v>3409</v>
      </c>
      <c r="AJ10" s="2234" t="s">
        <v>3410</v>
      </c>
      <c r="AK10" s="2234" t="s">
        <v>3411</v>
      </c>
      <c r="AL10" s="2234" t="s">
        <v>3412</v>
      </c>
      <c r="AM10" s="2234" t="s">
        <v>3413</v>
      </c>
      <c r="AN10" s="2234" t="s">
        <v>3414</v>
      </c>
      <c r="AO10" s="2234" t="s">
        <v>3415</v>
      </c>
      <c r="AP10" s="2234" t="s">
        <v>3416</v>
      </c>
      <c r="AQ10" s="2234" t="s">
        <v>3417</v>
      </c>
      <c r="AR10" s="2234" t="s">
        <v>3418</v>
      </c>
      <c r="AS10" s="2234" t="s">
        <v>3419</v>
      </c>
      <c r="AT10" s="2234"/>
      <c r="AU10" s="2234"/>
      <c r="AV10" s="2234"/>
      <c r="AW10" s="2234"/>
      <c r="AX10" s="2234"/>
      <c r="AY10" s="2234"/>
      <c r="AZ10" s="2234"/>
      <c r="BA10" s="2234"/>
      <c r="BB10" s="2234"/>
      <c r="BC10" s="2234"/>
      <c r="BD10" s="2234"/>
      <c r="BE10" s="2234"/>
      <c r="BF10" s="2234"/>
      <c r="BG10" s="2234"/>
      <c r="BH10" s="2234"/>
      <c r="BI10" s="2234"/>
      <c r="BJ10" s="2234"/>
      <c r="BK10" s="2234"/>
      <c r="BL10" s="2234"/>
      <c r="BM10" s="2234"/>
      <c r="BN10" s="2234"/>
      <c r="BO10" s="2234"/>
      <c r="BP10" s="2234"/>
      <c r="BQ10" s="2234"/>
      <c r="BR10" s="2234"/>
      <c r="BS10" s="2234"/>
      <c r="BT10" s="2234"/>
      <c r="BU10" s="2234"/>
      <c r="BV10" s="2234"/>
      <c r="BW10" s="2234"/>
      <c r="BX10" s="2234"/>
      <c r="BY10" s="2234"/>
      <c r="BZ10" s="2234"/>
      <c r="CA10" s="2234"/>
      <c r="CB10" s="2234"/>
      <c r="CC10" s="2234"/>
      <c r="CD10" s="2234"/>
      <c r="CE10" s="2234"/>
      <c r="CF10" s="2234"/>
      <c r="CG10" s="2234"/>
      <c r="CH10" s="2234"/>
      <c r="CI10" s="2234"/>
      <c r="CJ10" s="2234"/>
      <c r="CK10" s="2234"/>
      <c r="CL10" s="2234"/>
      <c r="CM10" s="2234"/>
      <c r="CN10" s="2234"/>
      <c r="CO10" s="2234"/>
      <c r="CP10" s="2234"/>
      <c r="CQ10" s="2234"/>
      <c r="CR10" s="2234"/>
      <c r="CS10" s="2234"/>
      <c r="CT10" s="2234"/>
      <c r="CU10" s="2234"/>
      <c r="CV10" s="2234"/>
      <c r="CW10" s="2234"/>
      <c r="CX10" s="2234"/>
      <c r="CY10" s="2234"/>
      <c r="CZ10" s="2234"/>
      <c r="DA10" s="2234"/>
      <c r="DB10" s="2234"/>
      <c r="DC10" s="2234"/>
      <c r="DD10" s="2234"/>
      <c r="DE10" s="2234"/>
      <c r="DF10" s="2234"/>
      <c r="DG10" s="2234"/>
      <c r="DH10" s="2234"/>
      <c r="DI10" s="2234"/>
      <c r="DJ10" s="2234"/>
      <c r="DK10" s="2234"/>
      <c r="DL10" s="2234"/>
      <c r="DM10" s="2234"/>
      <c r="DN10" s="2234"/>
      <c r="DO10" s="2234"/>
      <c r="DP10" s="2234"/>
      <c r="DQ10" s="2234"/>
      <c r="DR10" s="2234"/>
      <c r="DS10" s="2234"/>
      <c r="DT10" s="2234"/>
      <c r="DU10" s="2234"/>
      <c r="DV10" s="2234"/>
      <c r="DW10" s="2234"/>
      <c r="DX10" s="2234"/>
      <c r="DY10" s="2234"/>
      <c r="DZ10" s="2234"/>
      <c r="EA10" s="2234"/>
      <c r="EB10" s="2234"/>
      <c r="EC10" s="2234"/>
      <c r="ED10" s="2234"/>
      <c r="EE10" s="2234"/>
      <c r="EF10" s="2234"/>
      <c r="EG10" s="2234"/>
      <c r="EH10" s="2234"/>
      <c r="EI10" s="2234"/>
      <c r="EJ10" s="2234"/>
      <c r="EK10" s="2234"/>
      <c r="EL10" s="2234"/>
      <c r="EM10" s="2234"/>
      <c r="EN10" s="2234"/>
      <c r="EO10" s="2234"/>
      <c r="EP10" s="2234"/>
      <c r="EQ10" s="2234"/>
      <c r="ER10" s="2234"/>
      <c r="ES10" s="2234"/>
      <c r="ET10" s="2234"/>
      <c r="EU10" s="2234"/>
      <c r="EV10" s="2234"/>
      <c r="EW10" s="2234"/>
      <c r="EX10" s="2234"/>
      <c r="EY10" s="2234"/>
      <c r="EZ10" s="2234"/>
      <c r="FA10" s="2234"/>
      <c r="FB10" s="2234"/>
      <c r="FC10" s="2234"/>
      <c r="FD10" s="2234"/>
      <c r="FE10" s="2234"/>
      <c r="FF10" s="2234"/>
      <c r="FG10" s="2234"/>
      <c r="FH10" s="2234"/>
      <c r="FI10" s="2234"/>
      <c r="FJ10" s="2234"/>
      <c r="FK10" s="2234"/>
      <c r="FL10" s="2234"/>
      <c r="FM10" s="2234"/>
      <c r="FN10" s="2234"/>
      <c r="FO10" s="2234"/>
      <c r="FP10" s="2234"/>
      <c r="FQ10" s="2234"/>
      <c r="FR10" s="2234"/>
      <c r="FS10" s="2234"/>
      <c r="FT10" s="2234"/>
      <c r="FU10" s="2234"/>
      <c r="FV10" s="2234"/>
      <c r="FW10" s="2234"/>
      <c r="FX10" s="2234"/>
      <c r="FY10" s="2234"/>
      <c r="FZ10" s="2234"/>
      <c r="GA10" s="2234"/>
      <c r="GB10" s="2234"/>
      <c r="GC10" s="2234"/>
      <c r="GD10" s="2234"/>
      <c r="GE10" s="2234"/>
      <c r="GF10" s="2234"/>
      <c r="GG10" s="2234"/>
      <c r="GH10" s="2234"/>
      <c r="GI10" s="2234"/>
      <c r="GJ10" s="2234"/>
      <c r="GK10" s="2234"/>
      <c r="GL10" s="2234"/>
      <c r="GM10" s="2234"/>
      <c r="GN10" s="2234"/>
      <c r="GO10" s="2234"/>
      <c r="GP10" s="2234"/>
      <c r="GQ10" s="2234"/>
      <c r="GR10" s="2234"/>
      <c r="GS10" s="2234"/>
      <c r="GT10" s="2234"/>
      <c r="GU10" s="2234"/>
      <c r="GV10" s="2234"/>
      <c r="GW10" s="2234"/>
      <c r="GX10" s="2234"/>
      <c r="GY10" s="2234"/>
      <c r="GZ10" s="2234"/>
      <c r="HA10" s="2234"/>
      <c r="HB10" s="2234"/>
      <c r="HC10" s="2234"/>
      <c r="HD10" s="2234"/>
      <c r="HE10" s="2234"/>
      <c r="HF10" s="2234"/>
      <c r="HG10" s="2234"/>
      <c r="HH10" s="2234"/>
      <c r="HI10" s="2234"/>
      <c r="HJ10" s="2234"/>
      <c r="HK10" s="2234"/>
      <c r="HL10" s="2234"/>
      <c r="HM10" s="2234"/>
      <c r="HN10" s="2234"/>
      <c r="HO10" s="2234"/>
      <c r="HP10" s="2234"/>
      <c r="HQ10" s="2234"/>
      <c r="HR10" s="2234"/>
      <c r="HS10" s="2234"/>
      <c r="HT10" s="2234"/>
      <c r="HU10" s="2234"/>
      <c r="HV10" s="2234"/>
      <c r="HW10" s="2234"/>
      <c r="HX10" s="2234"/>
      <c r="HY10" s="2234"/>
      <c r="HZ10" s="2234"/>
      <c r="IA10" s="2234"/>
      <c r="IB10" s="2234"/>
      <c r="IC10" s="2234"/>
      <c r="ID10" s="2234"/>
      <c r="IE10" s="2234"/>
      <c r="IF10" s="2234"/>
      <c r="IG10" s="2234"/>
      <c r="IH10" s="2234"/>
      <c r="II10" s="2234"/>
      <c r="IJ10" s="2234"/>
      <c r="IK10" s="2234"/>
      <c r="IL10" s="2234"/>
      <c r="IM10" s="2234"/>
      <c r="IN10" s="2234"/>
      <c r="IO10" s="2234"/>
      <c r="IP10" s="2234"/>
      <c r="IQ10" s="2234"/>
      <c r="IR10" s="2234"/>
      <c r="IS10" s="2234"/>
      <c r="IT10" s="2234"/>
      <c r="IU10" s="2234"/>
      <c r="IV10" s="2234"/>
      <c r="IW10" s="2234"/>
      <c r="IX10" s="2234"/>
      <c r="IY10" s="2234"/>
      <c r="IZ10" s="2234"/>
      <c r="JA10" s="2234"/>
      <c r="JB10" s="2234"/>
      <c r="JC10" s="2234"/>
      <c r="JD10" s="2234"/>
      <c r="JE10" s="2234"/>
      <c r="JF10" s="2234"/>
      <c r="JG10" s="2234"/>
      <c r="JH10" s="2234"/>
      <c r="JI10" s="2234"/>
      <c r="JJ10" s="2234"/>
      <c r="JK10" s="2234"/>
      <c r="JL10" s="2234"/>
      <c r="JM10" s="2234"/>
      <c r="JN10" s="2234"/>
      <c r="JO10" s="2234"/>
      <c r="JP10" s="2234"/>
      <c r="JQ10" s="2234"/>
      <c r="JR10" s="2234"/>
      <c r="JS10" s="2234"/>
      <c r="JT10" s="2234"/>
      <c r="JU10" s="2234"/>
      <c r="JV10" s="2234"/>
      <c r="JW10" s="2234"/>
      <c r="JX10" s="2234"/>
      <c r="JY10" s="2234"/>
      <c r="JZ10" s="2234"/>
      <c r="KA10" s="2234"/>
      <c r="KB10" s="2234"/>
      <c r="KC10" s="2234"/>
      <c r="KD10" s="2234"/>
      <c r="KE10" s="2234"/>
      <c r="KF10" s="2234"/>
      <c r="KG10" s="2234"/>
      <c r="KH10" s="2234"/>
      <c r="KI10" s="2234"/>
      <c r="KJ10" s="2234"/>
      <c r="KK10" s="2234"/>
      <c r="KL10" s="2234"/>
      <c r="KM10" s="2234"/>
      <c r="KN10" s="2234"/>
      <c r="KO10" s="2234"/>
      <c r="KP10" s="2234"/>
      <c r="KQ10" s="2234"/>
      <c r="KR10" s="2234"/>
      <c r="KS10" s="2234"/>
      <c r="KT10" s="2234"/>
      <c r="KU10" s="2234"/>
      <c r="KV10" s="2234"/>
      <c r="KW10" s="2234"/>
      <c r="KX10" s="2234"/>
      <c r="KY10" s="2234"/>
      <c r="KZ10" s="2234"/>
      <c r="LA10" s="2234"/>
      <c r="LB10" s="2234"/>
      <c r="LC10" s="2234"/>
      <c r="LD10" s="2234"/>
      <c r="LE10" s="2234"/>
      <c r="LF10" s="2234"/>
      <c r="LG10" s="2234"/>
      <c r="LH10" s="2234"/>
      <c r="LI10" s="2234"/>
      <c r="LJ10" s="2234"/>
      <c r="LK10" s="2234"/>
      <c r="LL10" s="2234"/>
      <c r="LM10" s="2234"/>
      <c r="LN10" s="2234"/>
      <c r="LO10" s="2234"/>
      <c r="LP10" s="2234"/>
      <c r="LQ10" s="2234"/>
      <c r="LR10" s="2234"/>
      <c r="LS10" s="2234"/>
      <c r="LT10" s="2234"/>
      <c r="LU10" s="2234"/>
      <c r="LV10" s="2234"/>
      <c r="LW10" s="2234"/>
      <c r="LX10" s="2234"/>
      <c r="LY10" s="2234"/>
      <c r="LZ10" s="2234"/>
      <c r="MA10" s="2234"/>
      <c r="MB10" s="2234"/>
      <c r="MC10" s="2234"/>
      <c r="MD10" s="2234"/>
      <c r="ME10" s="2234"/>
      <c r="MF10" s="2234"/>
      <c r="MG10" s="2234"/>
      <c r="MH10" s="2234"/>
      <c r="MI10" s="2234"/>
      <c r="MJ10" s="2234"/>
      <c r="MK10" s="2234"/>
      <c r="ML10" s="2234"/>
      <c r="MM10" s="2234"/>
      <c r="MN10" s="2234"/>
      <c r="MO10" s="2234"/>
      <c r="MP10" s="2234"/>
      <c r="MQ10" s="2234"/>
      <c r="MR10" s="2234"/>
      <c r="MS10" s="2234"/>
      <c r="MT10" s="2234"/>
      <c r="MU10" s="2234"/>
      <c r="MV10" s="2234"/>
      <c r="MW10" s="2234"/>
      <c r="MX10" s="2234"/>
      <c r="MY10" s="2234"/>
      <c r="MZ10" s="2234"/>
      <c r="NA10" s="2234"/>
      <c r="NB10" s="2234"/>
      <c r="NC10" s="2234"/>
      <c r="ND10" s="2234"/>
      <c r="NE10" s="2234"/>
      <c r="NF10" s="2234"/>
      <c r="NG10" s="2234"/>
      <c r="NH10" s="2234"/>
      <c r="NI10" s="2234"/>
      <c r="NJ10" s="2234"/>
      <c r="NK10" s="2234"/>
      <c r="NL10" s="2234"/>
      <c r="NM10" s="2234"/>
      <c r="NN10" s="2234"/>
      <c r="NO10" s="2234"/>
      <c r="NP10" s="2234"/>
      <c r="NQ10" s="2234"/>
      <c r="NR10" s="2234"/>
      <c r="NS10" s="2234"/>
      <c r="NT10" s="2234"/>
      <c r="NU10" s="2234"/>
      <c r="NV10" s="2234"/>
      <c r="NW10" s="2234"/>
      <c r="NX10" s="2234"/>
      <c r="NY10" s="2234"/>
      <c r="NZ10" s="2234"/>
      <c r="OA10" s="2234"/>
      <c r="OB10" s="2234"/>
      <c r="OC10" s="2234"/>
      <c r="OD10" s="2234"/>
      <c r="OE10" s="2234"/>
      <c r="OF10" s="2234"/>
      <c r="OG10" s="2234"/>
      <c r="OH10" s="2234"/>
      <c r="OI10" s="2234"/>
      <c r="OJ10" s="2234"/>
      <c r="OK10" s="2234"/>
      <c r="OL10" s="2234"/>
      <c r="OM10" s="2234"/>
      <c r="ON10" s="2234"/>
      <c r="OO10" s="2234"/>
      <c r="OP10" s="2234"/>
      <c r="OQ10" s="2234"/>
      <c r="OR10" s="2234"/>
      <c r="OS10" s="2234"/>
      <c r="OT10" s="2234"/>
      <c r="OU10" s="2234"/>
      <c r="OV10" s="2234"/>
      <c r="OW10" s="2234"/>
      <c r="OX10" s="2234"/>
      <c r="OY10" s="2234"/>
      <c r="OZ10" s="2234"/>
      <c r="PA10" s="2234"/>
      <c r="PB10" s="2234"/>
      <c r="PC10" s="2234"/>
      <c r="PD10" s="2234"/>
      <c r="PE10" s="2234"/>
      <c r="PF10" s="2234"/>
      <c r="PG10" s="2234"/>
      <c r="PH10" s="2234"/>
      <c r="PI10" s="2234"/>
      <c r="PJ10" s="2234"/>
      <c r="PK10" s="2234"/>
      <c r="PL10" s="2234"/>
      <c r="PM10" s="2234"/>
      <c r="PN10" s="2234"/>
      <c r="PO10" s="2234"/>
      <c r="PP10" s="2234"/>
      <c r="PQ10" s="2234"/>
      <c r="PR10" s="2234"/>
      <c r="PS10" s="2234"/>
      <c r="PT10" s="2234"/>
      <c r="PU10" s="2234"/>
      <c r="PV10" s="2234"/>
      <c r="PW10" s="2234"/>
      <c r="PX10" s="2234"/>
      <c r="PY10" s="2234"/>
      <c r="PZ10" s="2234"/>
      <c r="QA10" s="2234"/>
      <c r="QB10" s="2234"/>
      <c r="QC10" s="2234"/>
      <c r="QD10" s="2234"/>
      <c r="QE10" s="2234"/>
      <c r="QF10" s="2234"/>
      <c r="QG10" s="2234"/>
      <c r="QH10" s="2234"/>
      <c r="QI10" s="2234"/>
      <c r="QJ10" s="2234"/>
      <c r="QK10" s="2234"/>
      <c r="QL10" s="2234"/>
      <c r="QM10" s="2234"/>
      <c r="QN10" s="2234"/>
      <c r="QO10" s="2234"/>
      <c r="QP10" s="2234"/>
      <c r="QQ10" s="2234"/>
      <c r="QR10" s="2234"/>
      <c r="QS10" s="2234"/>
      <c r="QT10" s="2234"/>
      <c r="QU10" s="2234"/>
      <c r="QV10" s="2234"/>
      <c r="QW10" s="2234"/>
      <c r="QX10" s="2234"/>
      <c r="QY10" s="2234"/>
      <c r="QZ10" s="2234"/>
      <c r="RA10" s="2234"/>
      <c r="RB10" s="2234"/>
      <c r="RC10" s="2234"/>
      <c r="RD10" s="2234"/>
      <c r="RE10" s="2234"/>
      <c r="RF10" s="2234"/>
      <c r="RG10" s="2234"/>
      <c r="RH10" s="2234"/>
      <c r="RI10" s="2234"/>
      <c r="RJ10" s="2234"/>
      <c r="RK10" s="2234"/>
      <c r="RL10" s="2234"/>
      <c r="RM10" s="2234"/>
      <c r="RN10" s="2234"/>
      <c r="RO10" s="2234"/>
      <c r="RP10" s="2234"/>
      <c r="RQ10" s="2234"/>
      <c r="RR10" s="2234"/>
      <c r="RS10" s="2234"/>
      <c r="RT10" s="2234"/>
      <c r="RU10" s="2234"/>
      <c r="RV10" s="2234"/>
      <c r="RW10" s="2234"/>
      <c r="RX10" s="2234"/>
      <c r="RY10" s="2234"/>
      <c r="RZ10" s="2234"/>
      <c r="SA10" s="2234"/>
      <c r="SB10" s="2234"/>
      <c r="SC10" s="2234"/>
      <c r="SD10" s="2234"/>
      <c r="SE10" s="2234"/>
      <c r="SF10" s="2234"/>
      <c r="SG10" s="2234"/>
      <c r="SH10" s="2234"/>
      <c r="SI10" s="2234"/>
      <c r="SJ10" s="2234"/>
      <c r="SK10" s="2234"/>
      <c r="SL10" s="2234"/>
      <c r="SM10" s="2234"/>
      <c r="SN10" s="2234"/>
      <c r="SO10" s="2234"/>
      <c r="SP10" s="2234"/>
      <c r="SQ10" s="2234"/>
      <c r="SR10" s="2234"/>
      <c r="SS10" s="2234"/>
      <c r="ST10" s="2234"/>
      <c r="SU10" s="2234"/>
      <c r="SV10" s="2234"/>
      <c r="SW10" s="2234"/>
      <c r="SX10" s="2234"/>
      <c r="SY10" s="2234"/>
      <c r="SZ10" s="2234"/>
      <c r="TA10" s="2234"/>
      <c r="TB10" s="2234"/>
      <c r="TC10" s="2234"/>
      <c r="TD10" s="2234"/>
      <c r="TE10" s="2234"/>
      <c r="TF10" s="2234"/>
      <c r="TG10" s="2234"/>
      <c r="TH10" s="2234"/>
      <c r="TI10" s="2234"/>
      <c r="TJ10" s="2234"/>
      <c r="TK10" s="2234"/>
      <c r="TL10" s="2234"/>
      <c r="TM10" s="2234"/>
      <c r="TN10" s="2234"/>
      <c r="TO10" s="2234"/>
      <c r="TP10" s="2234"/>
      <c r="TQ10" s="2234"/>
      <c r="TR10" s="2234"/>
      <c r="TS10" s="2234"/>
      <c r="TT10" s="2234"/>
      <c r="TU10" s="2234"/>
      <c r="TV10" s="2234"/>
      <c r="TW10" s="2234"/>
      <c r="TX10" s="2234"/>
      <c r="TY10" s="2234"/>
      <c r="TZ10" s="2234"/>
      <c r="UA10" s="2234"/>
      <c r="UB10" s="2234"/>
      <c r="UC10" s="2234"/>
      <c r="UD10" s="2234"/>
      <c r="UE10" s="2234"/>
      <c r="UF10" s="2234"/>
      <c r="UG10" s="2234"/>
      <c r="UH10" s="2234"/>
      <c r="UI10" s="2234"/>
      <c r="UJ10" s="2234"/>
      <c r="UK10" s="2234"/>
      <c r="UL10" s="2234"/>
      <c r="UM10" s="2234"/>
      <c r="UN10" s="2234"/>
      <c r="UO10" s="2234"/>
      <c r="UP10" s="2234"/>
      <c r="UQ10" s="2234"/>
      <c r="UR10" s="2234"/>
      <c r="US10" s="2234"/>
      <c r="UT10" s="2234"/>
      <c r="UU10" s="2234"/>
      <c r="UV10" s="2234"/>
      <c r="UW10" s="2234"/>
      <c r="UX10" s="2234"/>
      <c r="UY10" s="2234"/>
      <c r="UZ10" s="2234"/>
      <c r="VA10" s="2234"/>
      <c r="VB10" s="2234"/>
      <c r="VC10" s="2234"/>
      <c r="VD10" s="2234"/>
      <c r="VE10" s="2234"/>
      <c r="VF10" s="2234"/>
      <c r="VG10" s="2234"/>
      <c r="VH10" s="2234"/>
      <c r="VI10" s="2234"/>
      <c r="VJ10" s="2234"/>
      <c r="VK10" s="2234"/>
      <c r="VL10" s="2234"/>
      <c r="VM10" s="2234"/>
      <c r="VN10" s="2234"/>
      <c r="VO10" s="2234"/>
      <c r="VP10" s="2234"/>
      <c r="VQ10" s="2234"/>
      <c r="VR10" s="2234"/>
      <c r="VS10" s="2234"/>
      <c r="VT10" s="2234"/>
      <c r="VU10" s="2234"/>
      <c r="VV10" s="2234"/>
      <c r="VW10" s="2234"/>
      <c r="VX10" s="2234"/>
      <c r="VY10" s="2234"/>
      <c r="VZ10" s="2234"/>
      <c r="WA10" s="2234"/>
      <c r="WB10" s="2234"/>
      <c r="WC10" s="2234"/>
      <c r="WD10" s="2234"/>
      <c r="WE10" s="2234"/>
      <c r="WF10" s="2234"/>
      <c r="WG10" s="2234"/>
      <c r="WH10" s="2234"/>
      <c r="WI10" s="2234"/>
      <c r="WJ10" s="2234"/>
      <c r="WK10" s="2234"/>
      <c r="WL10" s="2234"/>
      <c r="WM10" s="2234"/>
      <c r="WN10" s="2234"/>
      <c r="WO10" s="2234"/>
      <c r="WP10" s="2234"/>
      <c r="WQ10" s="2234"/>
      <c r="WR10" s="2234"/>
      <c r="WS10" s="2234"/>
      <c r="WT10" s="2234"/>
      <c r="WU10" s="2234"/>
      <c r="WV10" s="2234"/>
      <c r="WW10" s="2234"/>
      <c r="WX10" s="2234"/>
      <c r="WY10" s="2234"/>
      <c r="WZ10" s="2234"/>
      <c r="XA10" s="2234"/>
      <c r="XB10" s="2234"/>
      <c r="XC10" s="2234"/>
      <c r="XD10" s="2234"/>
      <c r="XE10" s="2234"/>
      <c r="XF10" s="2234"/>
      <c r="XG10" s="2234"/>
      <c r="XH10" s="2234"/>
      <c r="XI10" s="2234"/>
      <c r="XJ10" s="2234"/>
      <c r="XK10" s="2234"/>
      <c r="XL10" s="2234"/>
      <c r="XM10" s="2234"/>
      <c r="XN10" s="2234"/>
      <c r="XO10" s="2234"/>
      <c r="XP10" s="2234"/>
      <c r="XQ10" s="2234"/>
      <c r="XR10" s="2234"/>
      <c r="XS10" s="2234"/>
      <c r="XT10" s="2234"/>
      <c r="XU10" s="2234"/>
      <c r="XV10" s="2234"/>
      <c r="XW10" s="2234"/>
      <c r="XX10" s="2234"/>
      <c r="XY10" s="2234"/>
      <c r="XZ10" s="2234"/>
      <c r="YA10" s="2234"/>
      <c r="YB10" s="2234"/>
      <c r="YC10" s="2234"/>
      <c r="YD10" s="2234"/>
      <c r="YE10" s="2234"/>
      <c r="YF10" s="2234"/>
      <c r="YG10" s="2234"/>
      <c r="YH10" s="2234"/>
      <c r="YI10" s="2234"/>
      <c r="YJ10" s="2234"/>
      <c r="YK10" s="2234"/>
      <c r="YL10" s="2234"/>
      <c r="YM10" s="2234"/>
      <c r="YN10" s="2234"/>
      <c r="YO10" s="2234"/>
      <c r="YP10" s="2234"/>
      <c r="YQ10" s="2234"/>
      <c r="YR10" s="2234"/>
      <c r="YS10" s="2234"/>
      <c r="YT10" s="2234"/>
      <c r="YU10" s="2234"/>
      <c r="YV10" s="2234"/>
      <c r="YW10" s="2234"/>
      <c r="YX10" s="2234"/>
      <c r="YY10" s="2234"/>
      <c r="YZ10" s="2234"/>
      <c r="ZA10" s="2234"/>
      <c r="ZB10" s="2234"/>
      <c r="ZC10" s="2234"/>
      <c r="ZD10" s="2234"/>
      <c r="ZE10" s="2234"/>
      <c r="ZF10" s="2234"/>
      <c r="ZG10" s="2234"/>
      <c r="ZH10" s="2234"/>
      <c r="ZI10" s="2234"/>
      <c r="ZJ10" s="2234"/>
      <c r="ZK10" s="2234"/>
      <c r="ZL10" s="2234"/>
      <c r="ZM10" s="2234"/>
      <c r="ZN10" s="2234"/>
      <c r="ZO10" s="2234"/>
      <c r="ZP10" s="2234"/>
      <c r="ZQ10" s="2234"/>
      <c r="ZR10" s="2234"/>
      <c r="ZS10" s="2234"/>
      <c r="ZT10" s="2234"/>
      <c r="ZU10" s="2234"/>
      <c r="ZV10" s="2234"/>
      <c r="ZW10" s="2234"/>
      <c r="ZX10" s="2234"/>
      <c r="ZY10" s="2234"/>
      <c r="ZZ10" s="2234"/>
      <c r="AAA10" s="2234"/>
      <c r="AAB10" s="2234"/>
      <c r="AAC10" s="2234"/>
      <c r="AAD10" s="2234"/>
      <c r="AAE10" s="2234"/>
      <c r="AAF10" s="2234"/>
      <c r="AAG10" s="2234"/>
      <c r="AAH10" s="2234"/>
      <c r="AAI10" s="2234"/>
      <c r="AAJ10" s="2234"/>
      <c r="AAK10" s="2234"/>
      <c r="AAL10" s="2234"/>
      <c r="AAM10" s="2234"/>
      <c r="AAN10" s="2234"/>
      <c r="AAO10" s="2234"/>
      <c r="AAP10" s="2234"/>
      <c r="AAQ10" s="2234"/>
      <c r="AAR10" s="2234"/>
      <c r="AAS10" s="2234"/>
      <c r="AAT10" s="2234"/>
      <c r="AAU10" s="2234"/>
      <c r="AAV10" s="2234"/>
      <c r="AAW10" s="2234"/>
      <c r="AAX10" s="2234"/>
      <c r="AAY10" s="2234"/>
      <c r="AAZ10" s="2234"/>
      <c r="ABA10" s="2234"/>
      <c r="ABB10" s="2234"/>
      <c r="ABC10" s="2234"/>
      <c r="ABD10" s="2234"/>
      <c r="ABE10" s="2234"/>
      <c r="ABF10" s="2234"/>
      <c r="ABG10" s="2234"/>
      <c r="ABH10" s="2234"/>
      <c r="ABI10" s="2234"/>
      <c r="ABJ10" s="2234"/>
      <c r="ABK10" s="2234"/>
      <c r="ABL10" s="2234"/>
      <c r="ABM10" s="2234"/>
      <c r="ABN10" s="2234"/>
      <c r="ABO10" s="2234"/>
      <c r="ABP10" s="2234"/>
      <c r="ABQ10" s="2234"/>
      <c r="ABR10" s="2234"/>
      <c r="ABS10" s="2234"/>
      <c r="ABT10" s="2234"/>
      <c r="ABU10" s="2234"/>
      <c r="ABV10" s="2234"/>
      <c r="ABW10" s="2234"/>
      <c r="ABX10" s="2234"/>
      <c r="ABY10" s="2234"/>
      <c r="ABZ10" s="2234"/>
      <c r="ACA10" s="2234"/>
      <c r="ACB10" s="2234"/>
      <c r="ACC10" s="2234"/>
      <c r="ACD10" s="2234"/>
      <c r="ACE10" s="2234"/>
      <c r="ACF10" s="2234"/>
      <c r="ACG10" s="2234"/>
      <c r="ACH10" s="2234"/>
      <c r="ACI10" s="2234"/>
      <c r="ACJ10" s="2234"/>
      <c r="ACK10" s="2234"/>
      <c r="ACL10" s="2234"/>
      <c r="ACM10" s="2234"/>
      <c r="ACN10" s="2234"/>
      <c r="ACO10" s="2234"/>
      <c r="ACP10" s="2234"/>
      <c r="ACQ10" s="2234"/>
      <c r="ACR10" s="2234"/>
      <c r="ACS10" s="2234"/>
      <c r="ACT10" s="2234"/>
      <c r="ACU10" s="2234"/>
      <c r="ACV10" s="2234"/>
      <c r="ACW10" s="2234"/>
      <c r="ACX10" s="2234"/>
      <c r="ACY10" s="2234"/>
      <c r="ACZ10" s="2234"/>
      <c r="ADA10" s="2234"/>
      <c r="ADB10" s="2234"/>
      <c r="ADC10" s="2234"/>
      <c r="ADD10" s="2234"/>
      <c r="ADE10" s="2234"/>
      <c r="ADF10" s="2234"/>
      <c r="ADG10" s="2234"/>
      <c r="ADH10" s="2234"/>
      <c r="ADI10" s="2234"/>
      <c r="ADJ10" s="2234"/>
      <c r="ADK10" s="2234"/>
      <c r="ADL10" s="2234"/>
      <c r="ADM10" s="2234"/>
      <c r="ADN10" s="2234"/>
      <c r="ADO10" s="2234"/>
      <c r="ADP10" s="2234"/>
      <c r="ADQ10" s="2234"/>
      <c r="ADR10" s="2234"/>
      <c r="ADS10" s="2234"/>
      <c r="ADT10" s="2234"/>
      <c r="ADU10" s="2234"/>
      <c r="ADV10" s="2234"/>
      <c r="ADW10" s="2234"/>
      <c r="ADX10" s="2234"/>
      <c r="ADY10" s="2234"/>
      <c r="ADZ10" s="2234"/>
      <c r="AEA10" s="2234"/>
      <c r="AEB10" s="2234"/>
      <c r="AEC10" s="2234"/>
      <c r="AED10" s="2234"/>
      <c r="AEE10" s="2234"/>
      <c r="AEF10" s="2234"/>
      <c r="AEG10" s="2234"/>
      <c r="AEH10" s="2234"/>
      <c r="AEI10" s="2234"/>
      <c r="AEJ10" s="2234"/>
      <c r="AEK10" s="2234"/>
      <c r="AEL10" s="2234"/>
      <c r="AEM10" s="2234"/>
      <c r="AEN10" s="2234"/>
      <c r="AEO10" s="2234"/>
      <c r="AEP10" s="2234"/>
      <c r="AEQ10" s="2234"/>
      <c r="AER10" s="2234"/>
      <c r="AES10" s="2234"/>
      <c r="AET10" s="2234"/>
      <c r="AEU10" s="2234"/>
      <c r="AEV10" s="2234"/>
      <c r="AEW10" s="2234"/>
      <c r="AEX10" s="2234"/>
      <c r="AEY10" s="2234"/>
      <c r="AEZ10" s="2234"/>
      <c r="AFA10" s="2234"/>
      <c r="AFB10" s="2234"/>
      <c r="AFC10" s="2234"/>
      <c r="AFD10" s="2234"/>
      <c r="AFE10" s="2234"/>
      <c r="AFF10" s="2234"/>
      <c r="AFG10" s="2234"/>
      <c r="AFH10" s="2234"/>
      <c r="AFI10" s="2234"/>
      <c r="AFJ10" s="2234"/>
      <c r="AFK10" s="2234"/>
      <c r="AFL10" s="2234"/>
      <c r="AFM10" s="2234"/>
      <c r="AFN10" s="2234"/>
      <c r="AFO10" s="2234"/>
      <c r="AFP10" s="2234"/>
      <c r="AFQ10" s="2234"/>
      <c r="AFR10" s="2234"/>
      <c r="AFS10" s="2234"/>
      <c r="AFT10" s="2234"/>
      <c r="AFU10" s="2234"/>
      <c r="AFV10" s="2234"/>
      <c r="AFW10" s="2234"/>
      <c r="AFX10" s="2234"/>
      <c r="AFY10" s="2234"/>
      <c r="AFZ10" s="2234"/>
      <c r="AGA10" s="2234"/>
      <c r="AGB10" s="2234"/>
      <c r="AGC10" s="2234"/>
      <c r="AGD10" s="2234"/>
      <c r="AGE10" s="2234"/>
      <c r="AGF10" s="2234"/>
      <c r="AGG10" s="2234"/>
      <c r="AGH10" s="2234"/>
      <c r="AGI10" s="2234"/>
      <c r="AGJ10" s="2234"/>
      <c r="AGK10" s="2234"/>
      <c r="AGL10" s="2234"/>
      <c r="AGM10" s="2234"/>
      <c r="AGN10" s="2234"/>
      <c r="AGO10" s="2234"/>
      <c r="AGP10" s="2234"/>
      <c r="AGQ10" s="2234"/>
      <c r="AGR10" s="2234"/>
      <c r="AGS10" s="2234"/>
      <c r="AGT10" s="2234"/>
      <c r="AGU10" s="2234"/>
      <c r="AGV10" s="2234"/>
      <c r="AGW10" s="2234"/>
      <c r="AGX10" s="2234"/>
      <c r="AGY10" s="2234"/>
      <c r="AGZ10" s="2234"/>
      <c r="AHA10" s="2234"/>
      <c r="AHB10" s="2234"/>
      <c r="AHC10" s="2234"/>
      <c r="AHD10" s="2234"/>
      <c r="AHE10" s="2234"/>
      <c r="AHF10" s="2234"/>
      <c r="AHG10" s="2234"/>
      <c r="AHH10" s="2234"/>
      <c r="AHI10" s="2234"/>
      <c r="AHJ10" s="2234"/>
      <c r="AHK10" s="2234"/>
      <c r="AHL10" s="2234"/>
      <c r="AHM10" s="2234"/>
      <c r="AHN10" s="2234"/>
      <c r="AHO10" s="2234"/>
      <c r="AHP10" s="2234"/>
      <c r="AHQ10" s="2234"/>
      <c r="AHR10" s="2234"/>
      <c r="AHS10" s="2234"/>
      <c r="AHT10" s="2234"/>
      <c r="AHU10" s="2234"/>
      <c r="AHV10" s="2234"/>
      <c r="AHW10" s="2234"/>
      <c r="AHX10" s="2234"/>
      <c r="AHY10" s="2234"/>
      <c r="AHZ10" s="2234"/>
      <c r="AIA10" s="2234"/>
      <c r="AIB10" s="2234"/>
      <c r="AIC10" s="2234"/>
      <c r="AID10" s="2234"/>
      <c r="AIE10" s="2234"/>
      <c r="AIF10" s="2234"/>
      <c r="AIG10" s="2234"/>
      <c r="AIH10" s="2234"/>
      <c r="AII10" s="2234"/>
      <c r="AIJ10" s="2234"/>
      <c r="AIK10" s="2234"/>
      <c r="AIL10" s="2234"/>
      <c r="AIM10" s="2234"/>
      <c r="AIN10" s="2234"/>
      <c r="AIO10" s="2234"/>
      <c r="AIP10" s="2234"/>
      <c r="AIQ10" s="2234"/>
      <c r="AIR10" s="2234"/>
      <c r="AIS10" s="2234"/>
      <c r="AIT10" s="2234"/>
      <c r="AIU10" s="2234"/>
      <c r="AIV10" s="2234"/>
      <c r="AIW10" s="2234"/>
      <c r="AIX10" s="2234"/>
      <c r="AIY10" s="2234"/>
      <c r="AIZ10" s="2234"/>
      <c r="AJA10" s="2234"/>
      <c r="AJB10" s="2234"/>
      <c r="AJC10" s="2234"/>
      <c r="AJD10" s="2234"/>
      <c r="AJE10" s="2234"/>
      <c r="AJF10" s="2234"/>
      <c r="AJG10" s="2234"/>
      <c r="AJH10" s="2234"/>
      <c r="AJI10" s="2234"/>
      <c r="AJJ10" s="2234"/>
      <c r="AJK10" s="2234"/>
      <c r="AJL10" s="2234"/>
      <c r="AJM10" s="2234"/>
      <c r="AJN10" s="2234"/>
      <c r="AJO10" s="2234"/>
      <c r="AJP10" s="2234"/>
      <c r="AJQ10" s="2234"/>
      <c r="AJR10" s="2234"/>
      <c r="AJS10" s="2234"/>
      <c r="AJT10" s="2234"/>
      <c r="AJU10" s="2234"/>
      <c r="AJV10" s="2234"/>
      <c r="AJW10" s="2234"/>
      <c r="AJX10" s="2234"/>
      <c r="AJY10" s="2234"/>
      <c r="AJZ10" s="2234"/>
      <c r="AKA10" s="2234"/>
      <c r="AKB10" s="2234"/>
      <c r="AKC10" s="2234"/>
      <c r="AKD10" s="2234"/>
      <c r="AKE10" s="2234"/>
      <c r="AKF10" s="2234"/>
      <c r="AKG10" s="2234"/>
      <c r="AKH10" s="2234"/>
      <c r="AKI10" s="2234"/>
      <c r="AKJ10" s="2234"/>
      <c r="AKK10" s="2234"/>
      <c r="AKL10" s="2234"/>
      <c r="AKM10" s="2234"/>
      <c r="AKN10" s="2234"/>
      <c r="AKO10" s="2234"/>
      <c r="AKP10" s="2234"/>
      <c r="AKQ10" s="2234"/>
      <c r="AKR10" s="2234"/>
      <c r="AKS10" s="2234"/>
      <c r="AKT10" s="2234"/>
      <c r="AKU10" s="2234"/>
      <c r="AKV10" s="2234"/>
      <c r="AKW10" s="2234"/>
      <c r="AKX10" s="2234"/>
      <c r="AKY10" s="2234"/>
      <c r="AKZ10" s="2234"/>
      <c r="ALA10" s="2234"/>
      <c r="ALB10" s="2234"/>
      <c r="ALC10" s="2234"/>
      <c r="ALD10" s="2234"/>
      <c r="ALE10" s="2234"/>
      <c r="ALF10" s="2234"/>
      <c r="ALG10" s="2234"/>
      <c r="ALH10" s="2234"/>
      <c r="ALI10" s="2234"/>
      <c r="ALJ10" s="2234"/>
      <c r="ALK10" s="2234"/>
      <c r="ALL10" s="2234"/>
      <c r="ALM10" s="2234"/>
      <c r="ALN10" s="2234"/>
      <c r="ALO10" s="2234"/>
      <c r="ALP10" s="2234"/>
      <c r="ALQ10" s="2234"/>
      <c r="ALR10" s="2234"/>
      <c r="ALS10" s="2234"/>
      <c r="ALT10" s="2234"/>
      <c r="ALU10" s="2234"/>
      <c r="ALV10" s="2234"/>
      <c r="ALW10" s="2234"/>
      <c r="ALX10" s="2234"/>
      <c r="ALY10" s="2234"/>
      <c r="ALZ10" s="2234"/>
      <c r="AMA10" s="2234"/>
      <c r="AMB10" s="2234"/>
      <c r="AMC10" s="2234"/>
      <c r="AMD10" s="2234"/>
      <c r="AME10" s="2234"/>
      <c r="AMF10" s="2234"/>
      <c r="AMG10" s="2234"/>
      <c r="AMH10" s="2234"/>
      <c r="AMI10" s="2234"/>
      <c r="AMJ10" s="2234"/>
      <c r="AMK10" s="2234"/>
      <c r="AML10" s="2234"/>
      <c r="AMM10" s="2234"/>
      <c r="AMN10" s="2234"/>
      <c r="AMO10" s="2234"/>
      <c r="AMP10" s="2234"/>
      <c r="AMQ10" s="2234"/>
      <c r="AMR10" s="2234"/>
      <c r="AMS10" s="2234"/>
      <c r="AMT10" s="2234"/>
      <c r="AMU10" s="2234"/>
      <c r="AMV10" s="2234"/>
      <c r="AMW10" s="2234"/>
      <c r="AMX10" s="2234"/>
      <c r="AMY10" s="2234"/>
      <c r="AMZ10" s="2234"/>
      <c r="ANA10" s="2234"/>
      <c r="ANB10" s="2234"/>
      <c r="ANC10" s="2234"/>
      <c r="AND10" s="2234"/>
      <c r="ANE10" s="2234"/>
      <c r="ANF10" s="2234"/>
      <c r="ANG10" s="2234"/>
      <c r="ANH10" s="2234"/>
      <c r="ANI10" s="2234"/>
      <c r="ANJ10" s="2234"/>
      <c r="ANK10" s="2234"/>
      <c r="ANL10" s="2234"/>
      <c r="ANM10" s="2234"/>
      <c r="ANN10" s="2234"/>
      <c r="ANO10" s="2234"/>
      <c r="ANP10" s="2234"/>
      <c r="ANQ10" s="2234"/>
      <c r="ANR10" s="2234"/>
      <c r="ANS10" s="2234"/>
      <c r="ANT10" s="2234"/>
      <c r="ANU10" s="2234"/>
      <c r="ANV10" s="2234"/>
      <c r="ANW10" s="2234"/>
      <c r="ANX10" s="2234"/>
      <c r="ANY10" s="2234"/>
      <c r="ANZ10" s="2234"/>
      <c r="AOA10" s="2234"/>
      <c r="AOB10" s="2234"/>
      <c r="AOC10" s="2234"/>
      <c r="AOD10" s="2234"/>
      <c r="AOE10" s="2234"/>
      <c r="AOF10" s="2234"/>
      <c r="AOG10" s="2234"/>
      <c r="AOH10" s="2234"/>
      <c r="AOI10" s="2234"/>
      <c r="AOJ10" s="2234"/>
      <c r="AOK10" s="2234"/>
      <c r="AOL10" s="2234"/>
      <c r="AOM10" s="2234"/>
      <c r="AON10" s="2234"/>
      <c r="AOO10" s="2234"/>
      <c r="AOP10" s="2234"/>
      <c r="AOQ10" s="2234"/>
      <c r="AOR10" s="2234"/>
      <c r="AOS10" s="2234"/>
      <c r="AOT10" s="2234"/>
      <c r="AOU10" s="2234"/>
      <c r="AOV10" s="2234"/>
      <c r="AOW10" s="2234"/>
      <c r="AOX10" s="2234"/>
      <c r="AOY10" s="2234"/>
      <c r="AOZ10" s="2234"/>
      <c r="APA10" s="2234"/>
      <c r="APB10" s="2234"/>
      <c r="APC10" s="2234"/>
      <c r="APD10" s="2234"/>
      <c r="APE10" s="2234"/>
      <c r="APF10" s="2234"/>
      <c r="APG10" s="2234"/>
      <c r="APH10" s="2234"/>
      <c r="API10" s="2234"/>
      <c r="APJ10" s="2234"/>
      <c r="APK10" s="2234"/>
      <c r="APL10" s="2234"/>
      <c r="APM10" s="2234"/>
      <c r="APN10" s="2234"/>
      <c r="APO10" s="2234"/>
      <c r="APP10" s="2234"/>
      <c r="APQ10" s="2234"/>
      <c r="APR10" s="2234"/>
      <c r="APS10" s="2234"/>
      <c r="APT10" s="2234"/>
      <c r="APU10" s="2234"/>
      <c r="APV10" s="2234"/>
      <c r="APW10" s="2234"/>
      <c r="APX10" s="2234"/>
      <c r="APY10" s="2234"/>
      <c r="APZ10" s="2234"/>
      <c r="AQA10" s="2234"/>
      <c r="AQB10" s="2234"/>
      <c r="AQC10" s="2234"/>
      <c r="AQD10" s="2234"/>
      <c r="AQE10" s="2234"/>
      <c r="AQF10" s="2234"/>
      <c r="AQG10" s="2234"/>
      <c r="AQH10" s="2234"/>
      <c r="AQI10" s="2234"/>
      <c r="AQJ10" s="2234"/>
      <c r="AQK10" s="2234"/>
      <c r="AQL10" s="2234"/>
      <c r="AQM10" s="2234"/>
      <c r="AQN10" s="2234"/>
      <c r="AQO10" s="2234"/>
      <c r="AQP10" s="2234"/>
      <c r="AQQ10" s="2234"/>
      <c r="AQR10" s="2234"/>
      <c r="AQS10" s="2234"/>
      <c r="AQT10" s="2234"/>
      <c r="AQU10" s="2234"/>
      <c r="AQV10" s="2234"/>
      <c r="AQW10" s="2234"/>
      <c r="AQX10" s="2234"/>
      <c r="AQY10" s="2234"/>
      <c r="AQZ10" s="2234"/>
      <c r="ARA10" s="2234"/>
      <c r="ARB10" s="2234"/>
      <c r="ARC10" s="2234"/>
      <c r="ARD10" s="2234"/>
      <c r="ARE10" s="2234"/>
      <c r="ARF10" s="2234"/>
      <c r="ARG10" s="2234"/>
      <c r="ARH10" s="2234"/>
      <c r="ARI10" s="2234"/>
      <c r="ARJ10" s="2234"/>
      <c r="ARK10" s="2234"/>
      <c r="ARL10" s="2234"/>
      <c r="ARM10" s="2234"/>
      <c r="ARN10" s="2234"/>
      <c r="ARO10" s="2234"/>
      <c r="ARP10" s="2234"/>
      <c r="ARQ10" s="2234"/>
      <c r="ARR10" s="2234"/>
      <c r="ARS10" s="2234"/>
      <c r="ART10" s="2234"/>
      <c r="ARU10" s="2234"/>
      <c r="ARV10" s="2234"/>
      <c r="ARW10" s="2234"/>
      <c r="ARX10" s="2234"/>
      <c r="ARY10" s="2234"/>
      <c r="ARZ10" s="2234"/>
      <c r="ASA10" s="2234"/>
      <c r="ASB10" s="2234"/>
      <c r="ASC10" s="2234"/>
      <c r="ASD10" s="2234"/>
      <c r="ASE10" s="2234"/>
      <c r="ASF10" s="2234"/>
      <c r="ASG10" s="2234"/>
      <c r="ASH10" s="2234"/>
      <c r="ASI10" s="2234"/>
      <c r="ASJ10" s="2234"/>
      <c r="ASK10" s="2234"/>
      <c r="ASL10" s="2234"/>
      <c r="ASM10" s="2234"/>
      <c r="ASN10" s="2234"/>
      <c r="ASO10" s="2234"/>
      <c r="ASP10" s="2234"/>
      <c r="ASQ10" s="2234"/>
      <c r="ASR10" s="2234"/>
      <c r="ASS10" s="2234"/>
      <c r="AST10" s="2234"/>
      <c r="ASU10" s="2234"/>
      <c r="ASV10" s="2234"/>
      <c r="ASW10" s="2234"/>
      <c r="ASX10" s="2234"/>
      <c r="ASY10" s="2234"/>
      <c r="ASZ10" s="2234"/>
      <c r="ATA10" s="2234"/>
      <c r="ATB10" s="2234"/>
      <c r="ATC10" s="2234"/>
      <c r="ATD10" s="2234"/>
      <c r="ATE10" s="2234"/>
      <c r="ATF10" s="2234"/>
      <c r="ATG10" s="2234"/>
      <c r="ATH10" s="2234"/>
      <c r="ATI10" s="2234"/>
      <c r="ATJ10" s="2234"/>
      <c r="ATK10" s="2234"/>
      <c r="ATL10" s="2234"/>
      <c r="ATM10" s="2234"/>
      <c r="ATN10" s="2234"/>
      <c r="ATO10" s="2234"/>
      <c r="ATP10" s="2234"/>
      <c r="ATQ10" s="2234"/>
      <c r="ATR10" s="2234"/>
      <c r="ATS10" s="2234"/>
      <c r="ATT10" s="2234"/>
      <c r="ATU10" s="2234"/>
      <c r="ATV10" s="2234"/>
      <c r="ATW10" s="2234"/>
      <c r="ATX10" s="2234"/>
      <c r="ATY10" s="2234"/>
      <c r="ATZ10" s="2234"/>
      <c r="AUA10" s="2234"/>
      <c r="AUB10" s="2234"/>
      <c r="AUC10" s="2234"/>
      <c r="AUD10" s="2234"/>
      <c r="AUE10" s="2234"/>
      <c r="AUF10" s="2234"/>
      <c r="AUG10" s="2234"/>
      <c r="AUH10" s="2234"/>
      <c r="AUI10" s="2234"/>
      <c r="AUJ10" s="2234"/>
      <c r="AUK10" s="2234"/>
      <c r="AUL10" s="2234"/>
      <c r="AUM10" s="2234"/>
      <c r="AUN10" s="2234"/>
      <c r="AUO10" s="2234"/>
      <c r="AUP10" s="2234"/>
      <c r="AUQ10" s="2234"/>
      <c r="AUR10" s="2234"/>
      <c r="AUS10" s="2234"/>
      <c r="AUT10" s="2234"/>
      <c r="AUU10" s="2234"/>
      <c r="AUV10" s="2234"/>
      <c r="AUW10" s="2234"/>
      <c r="AUX10" s="2234"/>
      <c r="AUY10" s="2234"/>
      <c r="AUZ10" s="2234"/>
      <c r="AVA10" s="2234"/>
      <c r="AVB10" s="2234"/>
      <c r="AVC10" s="2234"/>
      <c r="AVD10" s="2234"/>
      <c r="AVE10" s="2234"/>
      <c r="AVF10" s="2234"/>
      <c r="AVG10" s="2234"/>
      <c r="AVH10" s="2234"/>
      <c r="AVI10" s="2234"/>
      <c r="AVJ10" s="2234"/>
      <c r="AVK10" s="2234"/>
      <c r="AVL10" s="2234"/>
      <c r="AVM10" s="2234"/>
      <c r="AVN10" s="2234"/>
      <c r="AVO10" s="2234"/>
      <c r="AVP10" s="2234"/>
      <c r="AVQ10" s="2234"/>
      <c r="AVR10" s="2234"/>
      <c r="AVS10" s="2234"/>
      <c r="AVT10" s="2234"/>
      <c r="AVU10" s="2234"/>
      <c r="AVV10" s="2234"/>
      <c r="AVW10" s="2234"/>
      <c r="AVX10" s="2234"/>
      <c r="AVY10" s="2234"/>
      <c r="AVZ10" s="2234"/>
      <c r="AWA10" s="2234"/>
      <c r="AWB10" s="2234"/>
      <c r="AWC10" s="2234"/>
      <c r="AWD10" s="2234"/>
      <c r="AWE10" s="2234"/>
      <c r="AWF10" s="2234"/>
      <c r="AWG10" s="2234"/>
      <c r="AWH10" s="2234"/>
      <c r="AWI10" s="2234"/>
      <c r="AWJ10" s="2234"/>
      <c r="AWK10" s="2234"/>
      <c r="AWL10" s="2234"/>
      <c r="AWM10" s="2234"/>
      <c r="AWN10" s="2234"/>
      <c r="AWO10" s="2234"/>
      <c r="AWP10" s="2234"/>
      <c r="AWQ10" s="2234"/>
      <c r="AWR10" s="2234"/>
      <c r="AWS10" s="2234"/>
      <c r="AWT10" s="2234"/>
      <c r="AWU10" s="2234"/>
      <c r="AWV10" s="2234"/>
      <c r="AWW10" s="2234"/>
      <c r="AWX10" s="2234"/>
      <c r="AWY10" s="2234"/>
      <c r="AWZ10" s="2234"/>
      <c r="AXA10" s="2234"/>
      <c r="AXB10" s="2234"/>
      <c r="AXC10" s="2234"/>
      <c r="AXD10" s="2234"/>
      <c r="AXE10" s="2234"/>
      <c r="AXF10" s="2234"/>
      <c r="AXG10" s="2234"/>
      <c r="AXH10" s="2234"/>
      <c r="AXI10" s="2234"/>
      <c r="AXJ10" s="2234"/>
      <c r="AXK10" s="2234"/>
      <c r="AXL10" s="2234"/>
      <c r="AXM10" s="2234"/>
      <c r="AXN10" s="2234"/>
      <c r="AXO10" s="2234"/>
      <c r="AXP10" s="2234"/>
      <c r="AXQ10" s="2234"/>
      <c r="AXR10" s="2234"/>
      <c r="AXS10" s="2234"/>
      <c r="AXT10" s="2234"/>
      <c r="AXU10" s="2234"/>
      <c r="AXV10" s="2234"/>
      <c r="AXW10" s="2234"/>
      <c r="AXX10" s="2234"/>
      <c r="AXY10" s="2234"/>
      <c r="AXZ10" s="2234"/>
      <c r="AYA10" s="2234"/>
      <c r="AYB10" s="2234"/>
      <c r="AYC10" s="2234"/>
      <c r="AYD10" s="2234"/>
      <c r="AYE10" s="2234"/>
      <c r="AYF10" s="2234"/>
      <c r="AYG10" s="2234"/>
      <c r="AYH10" s="2234"/>
      <c r="AYI10" s="2234"/>
      <c r="AYJ10" s="2234"/>
      <c r="AYK10" s="2234"/>
      <c r="AYL10" s="2234"/>
      <c r="AYM10" s="2234"/>
      <c r="AYN10" s="2234"/>
      <c r="AYO10" s="2234"/>
      <c r="AYP10" s="2234"/>
      <c r="AYQ10" s="2234"/>
      <c r="AYR10" s="2234"/>
      <c r="AYS10" s="2234"/>
      <c r="AYT10" s="2234"/>
      <c r="AYU10" s="2234"/>
      <c r="AYV10" s="2234"/>
      <c r="AYW10" s="2234"/>
      <c r="AYX10" s="2234"/>
      <c r="AYY10" s="2234"/>
      <c r="AYZ10" s="2234"/>
      <c r="AZA10" s="2234"/>
      <c r="AZB10" s="2234"/>
      <c r="AZC10" s="2234"/>
      <c r="AZD10" s="2234"/>
      <c r="AZE10" s="2234"/>
      <c r="AZF10" s="2234"/>
      <c r="AZG10" s="2234"/>
      <c r="AZH10" s="2234"/>
      <c r="AZI10" s="2234"/>
      <c r="AZJ10" s="2234"/>
      <c r="AZK10" s="2234"/>
      <c r="AZL10" s="2234"/>
      <c r="AZM10" s="2234"/>
      <c r="AZN10" s="2234"/>
      <c r="AZO10" s="2234"/>
      <c r="AZP10" s="2234"/>
      <c r="AZQ10" s="2234"/>
      <c r="AZR10" s="2234"/>
      <c r="AZS10" s="2234"/>
      <c r="AZT10" s="2234"/>
      <c r="AZU10" s="2234"/>
      <c r="AZV10" s="2234"/>
      <c r="AZW10" s="2234"/>
      <c r="AZX10" s="2234"/>
      <c r="AZY10" s="2234"/>
      <c r="AZZ10" s="2234"/>
      <c r="BAA10" s="2234"/>
      <c r="BAB10" s="2234"/>
      <c r="BAC10" s="2234"/>
      <c r="BAD10" s="2234"/>
      <c r="BAE10" s="2234"/>
      <c r="BAF10" s="2234"/>
      <c r="BAG10" s="2234"/>
      <c r="BAH10" s="2234"/>
      <c r="BAI10" s="2234"/>
      <c r="BAJ10" s="2234"/>
      <c r="BAK10" s="2234"/>
      <c r="BAL10" s="2234"/>
      <c r="BAM10" s="2234"/>
      <c r="BAN10" s="2234"/>
      <c r="BAO10" s="2234"/>
      <c r="BAP10" s="2234"/>
      <c r="BAQ10" s="2234"/>
      <c r="BAR10" s="2234"/>
      <c r="BAS10" s="2234"/>
      <c r="BAT10" s="2234"/>
      <c r="BAU10" s="2234"/>
      <c r="BAV10" s="2234"/>
      <c r="BAW10" s="2234"/>
      <c r="BAX10" s="2234"/>
      <c r="BAY10" s="2234"/>
      <c r="BAZ10" s="2234"/>
      <c r="BBA10" s="2234"/>
      <c r="BBB10" s="2234"/>
      <c r="BBC10" s="2234"/>
      <c r="BBD10" s="2234"/>
      <c r="BBE10" s="2234"/>
      <c r="BBF10" s="2234"/>
      <c r="BBG10" s="2234"/>
      <c r="BBH10" s="2234"/>
      <c r="BBI10" s="2234"/>
      <c r="BBJ10" s="2234"/>
      <c r="BBK10" s="2234"/>
      <c r="BBL10" s="2234"/>
      <c r="BBM10" s="2234"/>
      <c r="BBN10" s="2234"/>
      <c r="BBO10" s="2234"/>
      <c r="BBP10" s="2234"/>
      <c r="BBQ10" s="2234"/>
      <c r="BBR10" s="2234"/>
      <c r="BBS10" s="2234"/>
      <c r="BBT10" s="2234"/>
      <c r="BBU10" s="2234"/>
      <c r="BBV10" s="2234"/>
      <c r="BBW10" s="2234"/>
      <c r="BBX10" s="2234"/>
      <c r="BBY10" s="2234"/>
      <c r="BBZ10" s="2234"/>
      <c r="BCA10" s="2234"/>
      <c r="BCB10" s="2234"/>
      <c r="BCC10" s="2234"/>
      <c r="BCD10" s="2234"/>
      <c r="BCE10" s="2234"/>
      <c r="BCF10" s="2234"/>
      <c r="BCG10" s="2234"/>
      <c r="BCH10" s="2234"/>
      <c r="BCI10" s="2234"/>
      <c r="BCJ10" s="2234"/>
      <c r="BCK10" s="2234"/>
      <c r="BCL10" s="2234"/>
      <c r="BCM10" s="2234"/>
      <c r="BCN10" s="2234"/>
      <c r="BCO10" s="2234"/>
      <c r="BCP10" s="2234"/>
      <c r="BCQ10" s="2234"/>
      <c r="BCR10" s="2234"/>
      <c r="BCS10" s="2234"/>
      <c r="BCT10" s="2234"/>
      <c r="BCU10" s="2234"/>
      <c r="BCV10" s="2234"/>
      <c r="BCW10" s="2234"/>
      <c r="BCX10" s="2234"/>
      <c r="BCY10" s="2234"/>
      <c r="BCZ10" s="2234"/>
      <c r="BDA10" s="2234"/>
      <c r="BDB10" s="2234"/>
      <c r="BDC10" s="2234"/>
      <c r="BDD10" s="2234"/>
      <c r="BDE10" s="2234"/>
      <c r="BDF10" s="2234"/>
      <c r="BDG10" s="2234"/>
      <c r="BDH10" s="2234"/>
      <c r="BDI10" s="2234"/>
      <c r="BDJ10" s="2234"/>
      <c r="BDK10" s="2234"/>
      <c r="BDL10" s="2234"/>
      <c r="BDM10" s="2234"/>
      <c r="BDN10" s="2234"/>
      <c r="BDO10" s="2234"/>
      <c r="BDP10" s="2234"/>
      <c r="BDQ10" s="2234"/>
      <c r="BDR10" s="2234"/>
      <c r="BDS10" s="2234"/>
      <c r="BDT10" s="2234"/>
      <c r="BDU10" s="2234"/>
      <c r="BDV10" s="2234"/>
      <c r="BDW10" s="2234"/>
      <c r="BDX10" s="2234"/>
      <c r="BDY10" s="2234"/>
      <c r="BDZ10" s="2234"/>
      <c r="BEA10" s="2234"/>
      <c r="BEB10" s="2234"/>
      <c r="BEC10" s="2234"/>
      <c r="BED10" s="2234"/>
      <c r="BEE10" s="2234"/>
      <c r="BEF10" s="2234"/>
      <c r="BEG10" s="2234"/>
      <c r="BEH10" s="2234"/>
      <c r="BEI10" s="2234"/>
      <c r="BEJ10" s="2234"/>
      <c r="BEK10" s="2234"/>
      <c r="BEL10" s="2234"/>
      <c r="BEM10" s="2234"/>
      <c r="BEN10" s="2234"/>
      <c r="BEO10" s="2234"/>
      <c r="BEP10" s="2234"/>
      <c r="BEQ10" s="2234"/>
      <c r="BER10" s="2234"/>
      <c r="BES10" s="2234"/>
      <c r="BET10" s="2234"/>
      <c r="BEU10" s="2234"/>
      <c r="BEV10" s="2234"/>
      <c r="BEW10" s="2234"/>
      <c r="BEX10" s="2234"/>
      <c r="BEY10" s="2234"/>
      <c r="BEZ10" s="2234"/>
      <c r="BFA10" s="2234"/>
      <c r="BFB10" s="2234"/>
      <c r="BFC10" s="2234"/>
      <c r="BFD10" s="2234"/>
      <c r="BFE10" s="2234"/>
      <c r="BFF10" s="2234"/>
      <c r="BFG10" s="2234"/>
      <c r="BFH10" s="2234"/>
      <c r="BFI10" s="2234"/>
      <c r="BFJ10" s="2234"/>
      <c r="BFK10" s="2234"/>
      <c r="BFL10" s="2234"/>
      <c r="BFM10" s="2234"/>
      <c r="BFN10" s="2234"/>
      <c r="BFO10" s="2234"/>
      <c r="BFP10" s="2234"/>
      <c r="BFQ10" s="2234"/>
      <c r="BFR10" s="2234"/>
      <c r="BFS10" s="2234"/>
      <c r="BFT10" s="2234"/>
      <c r="BFU10" s="2234"/>
      <c r="BFV10" s="2234"/>
      <c r="BFW10" s="2234"/>
      <c r="BFX10" s="2234"/>
      <c r="BFY10" s="2234"/>
      <c r="BFZ10" s="2234"/>
      <c r="BGA10" s="2234"/>
      <c r="BGB10" s="2234"/>
      <c r="BGC10" s="2234"/>
      <c r="BGD10" s="2234"/>
      <c r="BGE10" s="2234"/>
      <c r="BGF10" s="2234"/>
      <c r="BGG10" s="2234"/>
      <c r="BGH10" s="2234"/>
      <c r="BGI10" s="2234"/>
      <c r="BGJ10" s="2234"/>
      <c r="BGK10" s="2234"/>
      <c r="BGL10" s="2234"/>
      <c r="BGM10" s="2234"/>
      <c r="BGN10" s="2234"/>
      <c r="BGO10" s="2234"/>
      <c r="BGP10" s="2234"/>
      <c r="BGQ10" s="2234"/>
      <c r="BGR10" s="2234"/>
      <c r="BGS10" s="2234"/>
      <c r="BGT10" s="2234"/>
      <c r="BGU10" s="2234"/>
      <c r="BGV10" s="2234"/>
      <c r="BGW10" s="2234"/>
      <c r="BGX10" s="2234"/>
      <c r="BGY10" s="2234"/>
      <c r="BGZ10" s="2234"/>
      <c r="BHA10" s="2234"/>
      <c r="BHB10" s="2234"/>
      <c r="BHC10" s="2234"/>
      <c r="BHD10" s="2234"/>
      <c r="BHE10" s="2234"/>
      <c r="BHF10" s="2234"/>
      <c r="BHG10" s="2234"/>
      <c r="BHH10" s="2234"/>
      <c r="BHI10" s="2234"/>
      <c r="BHJ10" s="2234"/>
      <c r="BHK10" s="2234"/>
      <c r="BHL10" s="2234"/>
      <c r="BHM10" s="2234"/>
      <c r="BHN10" s="2234"/>
      <c r="BHO10" s="2234"/>
      <c r="BHP10" s="2234"/>
      <c r="BHQ10" s="2234"/>
      <c r="BHR10" s="2234"/>
      <c r="BHS10" s="2234"/>
      <c r="BHT10" s="2234"/>
      <c r="BHU10" s="2234"/>
      <c r="BHV10" s="2234"/>
      <c r="BHW10" s="2234"/>
      <c r="BHX10" s="2234"/>
      <c r="BHY10" s="2234"/>
      <c r="BHZ10" s="2234"/>
      <c r="BIA10" s="2234"/>
      <c r="BIB10" s="2234"/>
      <c r="BIC10" s="2234"/>
      <c r="BID10" s="2234"/>
      <c r="BIE10" s="2234"/>
      <c r="BIF10" s="2234"/>
      <c r="BIG10" s="2234"/>
      <c r="BIH10" s="2234"/>
      <c r="BII10" s="2234"/>
      <c r="BIJ10" s="2234"/>
      <c r="BIK10" s="2234"/>
      <c r="BIL10" s="2234"/>
      <c r="BIM10" s="2234"/>
      <c r="BIN10" s="2234"/>
      <c r="BIO10" s="2234"/>
      <c r="BIP10" s="2234"/>
      <c r="BIQ10" s="2234"/>
      <c r="BIR10" s="2234"/>
      <c r="BIS10" s="2234"/>
      <c r="BIT10" s="2234"/>
      <c r="BIU10" s="2234"/>
      <c r="BIV10" s="2234"/>
      <c r="BIW10" s="2234"/>
      <c r="BIX10" s="2234"/>
      <c r="BIY10" s="2234"/>
      <c r="BIZ10" s="2234"/>
      <c r="BJA10" s="2234"/>
      <c r="BJB10" s="2234"/>
      <c r="BJC10" s="2234"/>
      <c r="BJD10" s="2234"/>
      <c r="BJE10" s="2234"/>
      <c r="BJF10" s="2234"/>
      <c r="BJG10" s="2234"/>
      <c r="BJH10" s="2234"/>
      <c r="BJI10" s="2234"/>
      <c r="BJJ10" s="2234"/>
      <c r="BJK10" s="2234"/>
      <c r="BJL10" s="2234"/>
      <c r="BJM10" s="2234"/>
      <c r="BJN10" s="2234"/>
      <c r="BJO10" s="2234"/>
      <c r="BJP10" s="2234"/>
      <c r="BJQ10" s="2234"/>
      <c r="BJR10" s="2234"/>
      <c r="BJS10" s="2234"/>
      <c r="BJT10" s="2234"/>
      <c r="BJU10" s="2234"/>
      <c r="BJV10" s="2234"/>
      <c r="BJW10" s="2234"/>
      <c r="BJX10" s="2234"/>
      <c r="BJY10" s="2234"/>
      <c r="BJZ10" s="2234"/>
      <c r="BKA10" s="2234"/>
      <c r="BKB10" s="2234"/>
      <c r="BKC10" s="2234"/>
      <c r="BKD10" s="2234"/>
      <c r="BKE10" s="2234"/>
      <c r="BKF10" s="2234"/>
      <c r="BKG10" s="2234"/>
      <c r="BKH10" s="2234"/>
      <c r="BKI10" s="2234"/>
      <c r="BKJ10" s="2234"/>
      <c r="BKK10" s="2234"/>
      <c r="BKL10" s="2234"/>
      <c r="BKM10" s="2234"/>
      <c r="BKN10" s="2234"/>
      <c r="BKO10" s="2234"/>
      <c r="BKP10" s="2234"/>
      <c r="BKQ10" s="2234"/>
      <c r="BKR10" s="2234"/>
      <c r="BKS10" s="2234"/>
      <c r="BKT10" s="2234"/>
      <c r="BKU10" s="2234"/>
      <c r="BKV10" s="2234"/>
      <c r="BKW10" s="2234"/>
      <c r="BKX10" s="2234"/>
      <c r="BKY10" s="2234"/>
      <c r="BKZ10" s="2234"/>
      <c r="BLA10" s="2234"/>
      <c r="BLB10" s="2234"/>
      <c r="BLC10" s="2234"/>
      <c r="BLD10" s="2234"/>
      <c r="BLE10" s="2234"/>
      <c r="BLF10" s="2234"/>
      <c r="BLG10" s="2234"/>
      <c r="BLH10" s="2234"/>
      <c r="BLI10" s="2234"/>
      <c r="BLJ10" s="2234"/>
      <c r="BLK10" s="2234"/>
      <c r="BLL10" s="2234"/>
      <c r="BLM10" s="2234"/>
      <c r="BLN10" s="2234"/>
      <c r="BLO10" s="2234"/>
      <c r="BLP10" s="2234"/>
      <c r="BLQ10" s="2234"/>
      <c r="BLR10" s="2234"/>
      <c r="BLS10" s="2234"/>
      <c r="BLT10" s="2234"/>
      <c r="BLU10" s="2234"/>
      <c r="BLV10" s="2234"/>
      <c r="BLW10" s="2234"/>
      <c r="BLX10" s="2234"/>
      <c r="BLY10" s="2234"/>
      <c r="BLZ10" s="2234"/>
      <c r="BMA10" s="2234"/>
      <c r="BMB10" s="2234"/>
      <c r="BMC10" s="2234"/>
      <c r="BMD10" s="2234"/>
      <c r="BME10" s="2234"/>
      <c r="BMF10" s="2234"/>
      <c r="BMG10" s="2234"/>
      <c r="BMH10" s="2234"/>
      <c r="BMI10" s="2234"/>
      <c r="BMJ10" s="2234"/>
      <c r="BMK10" s="2234"/>
      <c r="BML10" s="2234"/>
      <c r="BMM10" s="2234"/>
      <c r="BMN10" s="2234"/>
      <c r="BMO10" s="2234"/>
      <c r="BMP10" s="2234"/>
      <c r="BMQ10" s="2234"/>
      <c r="BMR10" s="2234"/>
      <c r="BMS10" s="2234"/>
      <c r="BMT10" s="2234"/>
      <c r="BMU10" s="2234"/>
      <c r="BMV10" s="2234"/>
      <c r="BMW10" s="2234"/>
      <c r="BMX10" s="2234"/>
      <c r="BMY10" s="2234"/>
      <c r="BMZ10" s="2234"/>
      <c r="BNA10" s="2234"/>
      <c r="BNB10" s="2234"/>
      <c r="BNC10" s="2234"/>
      <c r="BND10" s="2234"/>
      <c r="BNE10" s="2234"/>
      <c r="BNF10" s="2234"/>
      <c r="BNG10" s="2234"/>
      <c r="BNH10" s="2234"/>
      <c r="BNI10" s="2234"/>
      <c r="BNJ10" s="2234"/>
      <c r="BNK10" s="2234"/>
      <c r="BNL10" s="2234"/>
      <c r="BNM10" s="2234"/>
      <c r="BNN10" s="2234"/>
      <c r="BNO10" s="2234"/>
      <c r="BNP10" s="2234"/>
      <c r="BNQ10" s="2234"/>
      <c r="BNR10" s="2234"/>
      <c r="BNS10" s="2234"/>
      <c r="BNT10" s="2234"/>
      <c r="BNU10" s="2234"/>
      <c r="BNV10" s="2234"/>
      <c r="BNW10" s="2234"/>
      <c r="BNX10" s="2234"/>
      <c r="BNY10" s="2234"/>
      <c r="BNZ10" s="2234"/>
      <c r="BOA10" s="2234"/>
      <c r="BOB10" s="2234"/>
      <c r="BOC10" s="2234"/>
      <c r="BOD10" s="2234"/>
      <c r="BOE10" s="2234"/>
      <c r="BOF10" s="2234"/>
      <c r="BOG10" s="2234"/>
      <c r="BOH10" s="2234"/>
      <c r="BOI10" s="2234"/>
      <c r="BOJ10" s="2234"/>
      <c r="BOK10" s="2234"/>
      <c r="BOL10" s="2234"/>
      <c r="BOM10" s="2234"/>
      <c r="BON10" s="2234"/>
      <c r="BOO10" s="2234"/>
      <c r="BOP10" s="2234"/>
      <c r="BOQ10" s="2234"/>
      <c r="BOR10" s="2234"/>
      <c r="BOS10" s="2234"/>
      <c r="BOT10" s="2234"/>
      <c r="BOU10" s="2234"/>
      <c r="BOV10" s="2234"/>
      <c r="BOW10" s="2234"/>
      <c r="BOX10" s="2234"/>
      <c r="BOY10" s="2234"/>
      <c r="BOZ10" s="2234"/>
      <c r="BPA10" s="2234"/>
      <c r="BPB10" s="2234"/>
      <c r="BPC10" s="2234"/>
      <c r="BPD10" s="2234"/>
      <c r="BPE10" s="2234"/>
      <c r="BPF10" s="2234"/>
      <c r="BPG10" s="2234"/>
      <c r="BPH10" s="2234"/>
      <c r="BPI10" s="2234"/>
      <c r="BPJ10" s="2234"/>
      <c r="BPK10" s="2234"/>
      <c r="BPL10" s="2234"/>
      <c r="BPM10" s="2234"/>
      <c r="BPN10" s="2234"/>
      <c r="BPO10" s="2234"/>
      <c r="BPP10" s="2234"/>
      <c r="BPQ10" s="2234"/>
      <c r="BPR10" s="2234"/>
      <c r="BPS10" s="2234"/>
      <c r="BPT10" s="2234"/>
      <c r="BPU10" s="2234"/>
      <c r="BPV10" s="2234"/>
      <c r="BPW10" s="2234"/>
      <c r="BPX10" s="2234"/>
      <c r="BPY10" s="2234"/>
      <c r="BPZ10" s="2234"/>
      <c r="BQA10" s="2234"/>
      <c r="BQB10" s="2234"/>
      <c r="BQC10" s="2234"/>
      <c r="BQD10" s="2234"/>
      <c r="BQE10" s="2234"/>
      <c r="BQF10" s="2234"/>
      <c r="BQG10" s="2234"/>
      <c r="BQH10" s="2234"/>
      <c r="BQI10" s="2234"/>
      <c r="BQJ10" s="2234"/>
      <c r="BQK10" s="2234"/>
      <c r="BQL10" s="2234"/>
      <c r="BQM10" s="2234"/>
      <c r="BQN10" s="2234"/>
      <c r="BQO10" s="2234"/>
      <c r="BQP10" s="2234"/>
      <c r="BQQ10" s="2234"/>
      <c r="BQR10" s="2234"/>
      <c r="BQS10" s="2234"/>
      <c r="BQT10" s="2234"/>
      <c r="BQU10" s="2234"/>
      <c r="BQV10" s="2234"/>
      <c r="BQW10" s="2234"/>
      <c r="BQX10" s="2234"/>
      <c r="BQY10" s="2234"/>
      <c r="BQZ10" s="2234"/>
      <c r="BRA10" s="2234"/>
      <c r="BRB10" s="2234"/>
      <c r="BRC10" s="2234"/>
      <c r="BRD10" s="2234"/>
      <c r="BRE10" s="2234"/>
      <c r="BRF10" s="2234"/>
      <c r="BRG10" s="2234"/>
      <c r="BRH10" s="2234"/>
      <c r="BRI10" s="2234"/>
      <c r="BRJ10" s="2234"/>
      <c r="BRK10" s="2234"/>
      <c r="BRL10" s="2234"/>
      <c r="BRM10" s="2234"/>
      <c r="BRN10" s="2234"/>
      <c r="BRO10" s="2234"/>
      <c r="BRP10" s="2234"/>
      <c r="BRQ10" s="2234"/>
      <c r="BRR10" s="2234"/>
      <c r="BRS10" s="2234"/>
      <c r="BRT10" s="2234"/>
      <c r="BRU10" s="2234"/>
      <c r="BRV10" s="2234"/>
      <c r="BRW10" s="2234"/>
      <c r="BRX10" s="2234"/>
      <c r="BRY10" s="2234"/>
      <c r="BRZ10" s="2234"/>
      <c r="BSA10" s="2234"/>
      <c r="BSB10" s="2234"/>
      <c r="BSC10" s="2234"/>
      <c r="BSD10" s="2234"/>
      <c r="BSE10" s="2234"/>
      <c r="BSF10" s="2234"/>
      <c r="BSG10" s="2234"/>
      <c r="BSH10" s="2234"/>
      <c r="BSI10" s="2234"/>
      <c r="BSJ10" s="2234"/>
      <c r="BSK10" s="2234"/>
      <c r="BSL10" s="2234"/>
      <c r="BSM10" s="2234"/>
      <c r="BSN10" s="2234"/>
      <c r="BSO10" s="2234"/>
      <c r="BSP10" s="2234"/>
      <c r="BSQ10" s="2234"/>
      <c r="BSR10" s="2234"/>
      <c r="BSS10" s="2234"/>
      <c r="BST10" s="2234"/>
      <c r="BSU10" s="2234"/>
      <c r="BSV10" s="2234"/>
      <c r="BSW10" s="2234"/>
      <c r="BSX10" s="2234"/>
      <c r="BSY10" s="2234"/>
      <c r="BSZ10" s="2234"/>
      <c r="BTA10" s="2234"/>
      <c r="BTB10" s="2234"/>
      <c r="BTC10" s="2234"/>
      <c r="BTD10" s="2234"/>
      <c r="BTE10" s="2234"/>
      <c r="BTF10" s="2234"/>
      <c r="BTG10" s="2234"/>
      <c r="BTH10" s="2234"/>
      <c r="BTI10" s="2234"/>
      <c r="BTJ10" s="2234"/>
      <c r="BTK10" s="2234"/>
      <c r="BTL10" s="2234"/>
      <c r="BTM10" s="2234"/>
      <c r="BTN10" s="2234"/>
      <c r="BTO10" s="2234"/>
      <c r="BTP10" s="2234"/>
      <c r="BTQ10" s="2234"/>
      <c r="BTR10" s="2234"/>
      <c r="BTS10" s="2234"/>
      <c r="BTT10" s="2234"/>
      <c r="BTU10" s="2234"/>
      <c r="BTV10" s="2234"/>
      <c r="BTW10" s="2234"/>
      <c r="BTX10" s="2234"/>
      <c r="BTY10" s="2234"/>
      <c r="BTZ10" s="2234"/>
      <c r="BUA10" s="2234"/>
      <c r="BUB10" s="2234"/>
      <c r="BUC10" s="2234"/>
      <c r="BUD10" s="2234"/>
      <c r="BUE10" s="2234"/>
      <c r="BUF10" s="2234"/>
      <c r="BUG10" s="2234"/>
      <c r="BUH10" s="2234"/>
      <c r="BUI10" s="2234"/>
      <c r="BUJ10" s="2234"/>
      <c r="BUK10" s="2234"/>
      <c r="BUL10" s="2234"/>
      <c r="BUM10" s="2234"/>
      <c r="BUN10" s="2234"/>
      <c r="BUO10" s="2234"/>
      <c r="BUP10" s="2234"/>
      <c r="BUQ10" s="2234"/>
      <c r="BUR10" s="2234"/>
      <c r="BUS10" s="2234"/>
      <c r="BUT10" s="2234"/>
      <c r="BUU10" s="2234"/>
      <c r="BUV10" s="2234"/>
      <c r="BUW10" s="2234"/>
      <c r="BUX10" s="2234"/>
      <c r="BUY10" s="2234"/>
      <c r="BUZ10" s="2234"/>
      <c r="BVA10" s="2234"/>
      <c r="BVB10" s="2234"/>
      <c r="BVC10" s="2234"/>
      <c r="BVD10" s="2234"/>
      <c r="BVE10" s="2234"/>
      <c r="BVF10" s="2234"/>
      <c r="BVG10" s="2234"/>
      <c r="BVH10" s="2234"/>
      <c r="BVI10" s="2234"/>
      <c r="BVJ10" s="2234"/>
      <c r="BVK10" s="2234"/>
      <c r="BVL10" s="2234"/>
      <c r="BVM10" s="2234"/>
      <c r="BVN10" s="2234"/>
      <c r="BVO10" s="2234"/>
      <c r="BVP10" s="2234"/>
      <c r="BVQ10" s="2234"/>
      <c r="BVR10" s="2234"/>
      <c r="BVS10" s="2234"/>
      <c r="BVT10" s="2234"/>
      <c r="BVU10" s="2234"/>
      <c r="BVV10" s="2234"/>
      <c r="BVW10" s="2234"/>
      <c r="BVX10" s="2234"/>
      <c r="BVY10" s="2234"/>
      <c r="BVZ10" s="2234"/>
      <c r="BWA10" s="2234"/>
      <c r="BWB10" s="2234"/>
      <c r="BWC10" s="2234"/>
      <c r="BWD10" s="2234"/>
      <c r="BWE10" s="2234"/>
      <c r="BWF10" s="2234"/>
      <c r="BWG10" s="2234"/>
      <c r="BWH10" s="2234"/>
      <c r="BWI10" s="2234"/>
      <c r="BWJ10" s="2234"/>
      <c r="BWK10" s="2234"/>
      <c r="BWL10" s="2234"/>
      <c r="BWM10" s="2234"/>
      <c r="BWN10" s="2234"/>
      <c r="BWO10" s="2234"/>
      <c r="BWP10" s="2234"/>
      <c r="BWQ10" s="2234"/>
      <c r="BWR10" s="2234"/>
      <c r="BWS10" s="2234"/>
      <c r="BWT10" s="2234"/>
      <c r="BWU10" s="2234"/>
      <c r="BWV10" s="2234"/>
      <c r="BWW10" s="2234"/>
      <c r="BWX10" s="2234"/>
      <c r="BWY10" s="2234"/>
      <c r="BWZ10" s="2234"/>
      <c r="BXA10" s="2234"/>
      <c r="BXB10" s="2234"/>
      <c r="BXC10" s="2234"/>
      <c r="BXD10" s="2234"/>
      <c r="BXE10" s="2234"/>
      <c r="BXF10" s="2234"/>
      <c r="BXG10" s="2234"/>
      <c r="BXH10" s="2234"/>
      <c r="BXI10" s="2234"/>
      <c r="BXJ10" s="2234"/>
      <c r="BXK10" s="2234"/>
      <c r="BXL10" s="2234"/>
      <c r="BXM10" s="2234"/>
      <c r="BXN10" s="2234"/>
      <c r="BXO10" s="2234"/>
      <c r="BXP10" s="2234"/>
      <c r="BXQ10" s="2234"/>
      <c r="BXR10" s="2234"/>
      <c r="BXS10" s="2234"/>
      <c r="BXT10" s="2234"/>
      <c r="BXU10" s="2234"/>
      <c r="BXV10" s="2234"/>
      <c r="BXW10" s="2234"/>
      <c r="BXX10" s="2234"/>
      <c r="BXY10" s="2234"/>
      <c r="BXZ10" s="2234"/>
      <c r="BYA10" s="2234"/>
      <c r="BYB10" s="2234"/>
      <c r="BYC10" s="2234"/>
      <c r="BYD10" s="2234"/>
      <c r="BYE10" s="2234"/>
      <c r="BYF10" s="2234"/>
      <c r="BYG10" s="2234"/>
      <c r="BYH10" s="2234"/>
      <c r="BYI10" s="2234"/>
      <c r="BYJ10" s="2234"/>
      <c r="BYK10" s="2234"/>
      <c r="BYL10" s="2234"/>
      <c r="BYM10" s="2234"/>
      <c r="BYN10" s="2234"/>
      <c r="BYO10" s="2234"/>
      <c r="BYP10" s="2234"/>
      <c r="BYQ10" s="2234"/>
      <c r="BYR10" s="2234"/>
      <c r="BYS10" s="2234"/>
      <c r="BYT10" s="2234"/>
      <c r="BYU10" s="2234"/>
      <c r="BYV10" s="2234"/>
      <c r="BYW10" s="2234"/>
      <c r="BYX10" s="2234"/>
      <c r="BYY10" s="2234"/>
      <c r="BYZ10" s="2234"/>
      <c r="BZA10" s="2234"/>
      <c r="BZB10" s="2234"/>
      <c r="BZC10" s="2234"/>
      <c r="BZD10" s="2234"/>
      <c r="BZE10" s="2234"/>
      <c r="BZF10" s="2234"/>
      <c r="BZG10" s="2234"/>
      <c r="BZH10" s="2234"/>
      <c r="BZI10" s="2234"/>
      <c r="BZJ10" s="2234"/>
      <c r="BZK10" s="2234"/>
      <c r="BZL10" s="2234"/>
      <c r="BZM10" s="2234"/>
      <c r="BZN10" s="2234"/>
      <c r="BZO10" s="2234"/>
      <c r="BZP10" s="2234"/>
      <c r="BZQ10" s="2234"/>
      <c r="BZR10" s="2234"/>
      <c r="BZS10" s="2234"/>
      <c r="BZT10" s="2234"/>
      <c r="BZU10" s="2234"/>
      <c r="BZV10" s="2234"/>
      <c r="BZW10" s="2234"/>
      <c r="BZX10" s="2234"/>
      <c r="BZY10" s="2234"/>
      <c r="BZZ10" s="2234"/>
      <c r="CAA10" s="2234"/>
      <c r="CAB10" s="2234"/>
      <c r="CAC10" s="2234"/>
      <c r="CAD10" s="2234"/>
      <c r="CAE10" s="2234"/>
      <c r="CAF10" s="2234"/>
      <c r="CAG10" s="2234"/>
      <c r="CAH10" s="2234"/>
      <c r="CAI10" s="2234"/>
      <c r="CAJ10" s="2234"/>
      <c r="CAK10" s="2234"/>
      <c r="CAL10" s="2234"/>
      <c r="CAM10" s="2234"/>
      <c r="CAN10" s="2234"/>
      <c r="CAO10" s="2234"/>
      <c r="CAP10" s="2234"/>
      <c r="CAQ10" s="2234"/>
      <c r="CAR10" s="2234"/>
      <c r="CAS10" s="2234"/>
      <c r="CAT10" s="2234"/>
      <c r="CAU10" s="2234"/>
      <c r="CAV10" s="2234"/>
      <c r="CAW10" s="2234"/>
      <c r="CAX10" s="2234"/>
      <c r="CAY10" s="2234"/>
      <c r="CAZ10" s="2234"/>
      <c r="CBA10" s="2234"/>
      <c r="CBB10" s="2234"/>
      <c r="CBC10" s="2234"/>
      <c r="CBD10" s="2234"/>
      <c r="CBE10" s="2234"/>
      <c r="CBF10" s="2234"/>
      <c r="CBG10" s="2234"/>
      <c r="CBH10" s="2234"/>
      <c r="CBI10" s="2234"/>
      <c r="CBJ10" s="2234"/>
      <c r="CBK10" s="2234"/>
      <c r="CBL10" s="2234"/>
      <c r="CBM10" s="2234"/>
      <c r="CBN10" s="2234"/>
      <c r="CBO10" s="2234"/>
      <c r="CBP10" s="2234"/>
      <c r="CBQ10" s="2234"/>
      <c r="CBR10" s="2234"/>
      <c r="CBS10" s="2234"/>
      <c r="CBT10" s="2234"/>
      <c r="CBU10" s="2234"/>
      <c r="CBV10" s="2234"/>
      <c r="CBW10" s="2234"/>
      <c r="CBX10" s="2234"/>
      <c r="CBY10" s="2234"/>
      <c r="CBZ10" s="2234"/>
      <c r="CCA10" s="2234"/>
      <c r="CCB10" s="2234"/>
      <c r="CCC10" s="2234"/>
      <c r="CCD10" s="2234"/>
      <c r="CCE10" s="2234"/>
      <c r="CCF10" s="2234"/>
      <c r="CCG10" s="2234"/>
      <c r="CCH10" s="2234"/>
      <c r="CCI10" s="2234"/>
      <c r="CCJ10" s="2234"/>
      <c r="CCK10" s="2234"/>
      <c r="CCL10" s="2234"/>
      <c r="CCM10" s="2234"/>
      <c r="CCN10" s="2234"/>
      <c r="CCO10" s="2234"/>
      <c r="CCP10" s="2234"/>
      <c r="CCQ10" s="2234"/>
      <c r="CCR10" s="2234"/>
      <c r="CCS10" s="2234"/>
      <c r="CCT10" s="2234"/>
      <c r="CCU10" s="2234"/>
      <c r="CCV10" s="2234"/>
      <c r="CCW10" s="2234"/>
      <c r="CCX10" s="2234"/>
      <c r="CCY10" s="2234"/>
      <c r="CCZ10" s="2234"/>
      <c r="CDA10" s="2234"/>
      <c r="CDB10" s="2234"/>
      <c r="CDC10" s="2234"/>
      <c r="CDD10" s="2234"/>
      <c r="CDE10" s="2234"/>
      <c r="CDF10" s="2234"/>
      <c r="CDG10" s="2234"/>
      <c r="CDH10" s="2234"/>
      <c r="CDI10" s="2234"/>
      <c r="CDJ10" s="2234"/>
      <c r="CDK10" s="2234"/>
      <c r="CDL10" s="2234"/>
      <c r="CDM10" s="2234"/>
      <c r="CDN10" s="2234"/>
      <c r="CDO10" s="2234"/>
      <c r="CDP10" s="2234"/>
      <c r="CDQ10" s="2234"/>
      <c r="CDR10" s="2234"/>
      <c r="CDS10" s="2234"/>
      <c r="CDT10" s="2234"/>
      <c r="CDU10" s="2234"/>
      <c r="CDV10" s="2234"/>
      <c r="CDW10" s="2234"/>
      <c r="CDX10" s="2234"/>
      <c r="CDY10" s="2234"/>
      <c r="CDZ10" s="2234"/>
      <c r="CEA10" s="2234"/>
      <c r="CEB10" s="2234"/>
      <c r="CEC10" s="2234"/>
      <c r="CED10" s="2234"/>
      <c r="CEE10" s="2234"/>
      <c r="CEF10" s="2234"/>
      <c r="CEG10" s="2234"/>
      <c r="CEH10" s="2234"/>
      <c r="CEI10" s="2234"/>
      <c r="CEJ10" s="2234"/>
      <c r="CEK10" s="2234"/>
      <c r="CEL10" s="2234"/>
      <c r="CEM10" s="2234"/>
      <c r="CEN10" s="2234"/>
      <c r="CEO10" s="2234"/>
      <c r="CEP10" s="2234"/>
      <c r="CEQ10" s="2234"/>
      <c r="CER10" s="2234"/>
      <c r="CES10" s="2234"/>
      <c r="CET10" s="2234"/>
      <c r="CEU10" s="2234"/>
      <c r="CEV10" s="2234"/>
      <c r="CEW10" s="2234"/>
      <c r="CEX10" s="2234"/>
      <c r="CEY10" s="2234"/>
      <c r="CEZ10" s="2234"/>
      <c r="CFA10" s="2234"/>
      <c r="CFB10" s="2234"/>
      <c r="CFC10" s="2234"/>
      <c r="CFD10" s="2234"/>
      <c r="CFE10" s="2234"/>
      <c r="CFF10" s="2234"/>
      <c r="CFG10" s="2234"/>
      <c r="CFH10" s="2234"/>
      <c r="CFI10" s="2234"/>
      <c r="CFJ10" s="2234"/>
      <c r="CFK10" s="2234"/>
      <c r="CFL10" s="2234"/>
      <c r="CFM10" s="2234"/>
      <c r="CFN10" s="2234"/>
      <c r="CFO10" s="2234"/>
      <c r="CFP10" s="2234"/>
      <c r="CFQ10" s="2234"/>
      <c r="CFR10" s="2234"/>
      <c r="CFS10" s="2234"/>
      <c r="CFT10" s="2234"/>
      <c r="CFU10" s="2234"/>
      <c r="CFV10" s="2234"/>
      <c r="CFW10" s="2234"/>
      <c r="CFX10" s="2234"/>
      <c r="CFY10" s="2234"/>
      <c r="CFZ10" s="2234"/>
      <c r="CGA10" s="2234"/>
      <c r="CGB10" s="2234"/>
      <c r="CGC10" s="2234"/>
      <c r="CGD10" s="2234"/>
      <c r="CGE10" s="2234"/>
      <c r="CGF10" s="2234"/>
      <c r="CGG10" s="2234"/>
      <c r="CGH10" s="2234"/>
      <c r="CGI10" s="2234"/>
      <c r="CGJ10" s="2234"/>
      <c r="CGK10" s="2234"/>
      <c r="CGL10" s="2234"/>
      <c r="CGM10" s="2234"/>
      <c r="CGN10" s="2234"/>
      <c r="CGO10" s="2234"/>
      <c r="CGP10" s="2234"/>
      <c r="CGQ10" s="2234"/>
      <c r="CGR10" s="2234"/>
      <c r="CGS10" s="2234"/>
      <c r="CGT10" s="2234"/>
      <c r="CGU10" s="2234"/>
      <c r="CGV10" s="2234"/>
      <c r="CGW10" s="2234"/>
      <c r="CGX10" s="2234"/>
      <c r="CGY10" s="2234"/>
      <c r="CGZ10" s="2234"/>
      <c r="CHA10" s="2234"/>
      <c r="CHB10" s="2234"/>
      <c r="CHC10" s="2234"/>
      <c r="CHD10" s="2234"/>
      <c r="CHE10" s="2234"/>
      <c r="CHF10" s="2234"/>
      <c r="CHG10" s="2234"/>
      <c r="CHH10" s="2234"/>
      <c r="CHI10" s="2234"/>
      <c r="CHJ10" s="2234"/>
      <c r="CHK10" s="2234"/>
      <c r="CHL10" s="2234"/>
      <c r="CHM10" s="2234"/>
      <c r="CHN10" s="2234"/>
      <c r="CHO10" s="2234"/>
      <c r="CHP10" s="2234"/>
      <c r="CHQ10" s="2234"/>
      <c r="CHR10" s="2234"/>
      <c r="CHS10" s="2234"/>
      <c r="CHT10" s="2234"/>
      <c r="CHU10" s="2234"/>
      <c r="CHV10" s="2234"/>
      <c r="CHW10" s="2234"/>
      <c r="CHX10" s="2234"/>
      <c r="CHY10" s="2234"/>
      <c r="CHZ10" s="2234"/>
      <c r="CIA10" s="2234"/>
      <c r="CIB10" s="2234"/>
      <c r="CIC10" s="2234"/>
      <c r="CID10" s="2234"/>
      <c r="CIE10" s="2234"/>
      <c r="CIF10" s="2234"/>
      <c r="CIG10" s="2234"/>
      <c r="CIH10" s="2234"/>
      <c r="CII10" s="2234"/>
      <c r="CIJ10" s="2234"/>
      <c r="CIK10" s="2234"/>
      <c r="CIL10" s="2234"/>
      <c r="CIM10" s="2234"/>
      <c r="CIN10" s="2234"/>
      <c r="CIO10" s="2234"/>
      <c r="CIP10" s="2234"/>
      <c r="CIQ10" s="2234"/>
      <c r="CIR10" s="2234"/>
      <c r="CIS10" s="2234"/>
      <c r="CIT10" s="2234"/>
      <c r="CIU10" s="2234"/>
      <c r="CIV10" s="2234"/>
      <c r="CIW10" s="2234"/>
      <c r="CIX10" s="2234"/>
      <c r="CIY10" s="2234"/>
      <c r="CIZ10" s="2234"/>
      <c r="CJA10" s="2234"/>
      <c r="CJB10" s="2234"/>
      <c r="CJC10" s="2234"/>
      <c r="CJD10" s="2234"/>
      <c r="CJE10" s="2234"/>
      <c r="CJF10" s="2234"/>
      <c r="CJG10" s="2234"/>
      <c r="CJH10" s="2234"/>
      <c r="CJI10" s="2234"/>
      <c r="CJJ10" s="2234"/>
      <c r="CJK10" s="2234"/>
      <c r="CJL10" s="2234"/>
      <c r="CJM10" s="2234"/>
      <c r="CJN10" s="2234"/>
      <c r="CJO10" s="2234"/>
      <c r="CJP10" s="2234"/>
      <c r="CJQ10" s="2234"/>
      <c r="CJR10" s="2234"/>
      <c r="CJS10" s="2234"/>
      <c r="CJT10" s="2234"/>
      <c r="CJU10" s="2234"/>
      <c r="CJV10" s="2234"/>
      <c r="CJW10" s="2234"/>
      <c r="CJX10" s="2234"/>
      <c r="CJY10" s="2234"/>
      <c r="CJZ10" s="2234"/>
      <c r="CKA10" s="2234"/>
      <c r="CKB10" s="2234"/>
      <c r="CKC10" s="2234"/>
      <c r="CKD10" s="2234"/>
      <c r="CKE10" s="2234"/>
      <c r="CKF10" s="2234"/>
      <c r="CKG10" s="2234"/>
      <c r="CKH10" s="2234"/>
      <c r="CKI10" s="2234"/>
      <c r="CKJ10" s="2234"/>
      <c r="CKK10" s="2234"/>
      <c r="CKL10" s="2234"/>
      <c r="CKM10" s="2234"/>
      <c r="CKN10" s="2234"/>
      <c r="CKO10" s="2234"/>
      <c r="CKP10" s="2234"/>
      <c r="CKQ10" s="2234"/>
      <c r="CKR10" s="2234"/>
      <c r="CKS10" s="2234"/>
      <c r="CKT10" s="2234"/>
      <c r="CKU10" s="2234"/>
      <c r="CKV10" s="2234"/>
      <c r="CKW10" s="2234"/>
      <c r="CKX10" s="2234"/>
      <c r="CKY10" s="2234"/>
      <c r="CKZ10" s="2234"/>
      <c r="CLA10" s="2234"/>
      <c r="CLB10" s="2234"/>
      <c r="CLC10" s="2234"/>
      <c r="CLD10" s="2234"/>
      <c r="CLE10" s="2234"/>
      <c r="CLF10" s="2234"/>
      <c r="CLG10" s="2234"/>
      <c r="CLH10" s="2234"/>
      <c r="CLI10" s="2234"/>
      <c r="CLJ10" s="2234"/>
      <c r="CLK10" s="2234"/>
      <c r="CLL10" s="2234"/>
      <c r="CLM10" s="2234"/>
      <c r="CLN10" s="2234"/>
      <c r="CLO10" s="2234"/>
      <c r="CLP10" s="2234"/>
      <c r="CLQ10" s="2234"/>
      <c r="CLR10" s="2234"/>
      <c r="CLS10" s="2234"/>
      <c r="CLT10" s="2234"/>
      <c r="CLU10" s="2234"/>
      <c r="CLV10" s="2234"/>
      <c r="CLW10" s="2234"/>
      <c r="CLX10" s="2234"/>
      <c r="CLY10" s="2234"/>
      <c r="CLZ10" s="2234"/>
      <c r="CMA10" s="2234"/>
      <c r="CMB10" s="2234"/>
      <c r="CMC10" s="2234"/>
      <c r="CMD10" s="2234"/>
      <c r="CME10" s="2234"/>
      <c r="CMF10" s="2234"/>
      <c r="CMG10" s="2234"/>
      <c r="CMH10" s="2234"/>
      <c r="CMI10" s="2234"/>
      <c r="CMJ10" s="2234"/>
      <c r="CMK10" s="2234"/>
      <c r="CML10" s="2234"/>
      <c r="CMM10" s="2234"/>
      <c r="CMN10" s="2234"/>
      <c r="CMO10" s="2234"/>
      <c r="CMP10" s="2234"/>
      <c r="CMQ10" s="2234"/>
      <c r="CMR10" s="2234"/>
      <c r="CMS10" s="2234"/>
      <c r="CMT10" s="2234"/>
      <c r="CMU10" s="2234"/>
      <c r="CMV10" s="2234"/>
      <c r="CMW10" s="2234"/>
      <c r="CMX10" s="2234"/>
      <c r="CMY10" s="2234"/>
      <c r="CMZ10" s="2234"/>
      <c r="CNA10" s="2234"/>
      <c r="CNB10" s="2234"/>
      <c r="CNC10" s="2234"/>
      <c r="CND10" s="2234"/>
      <c r="CNE10" s="2234"/>
      <c r="CNF10" s="2234"/>
      <c r="CNG10" s="2234"/>
      <c r="CNH10" s="2234"/>
      <c r="CNI10" s="2234"/>
      <c r="CNJ10" s="2234"/>
      <c r="CNK10" s="2234"/>
      <c r="CNL10" s="2234"/>
      <c r="CNM10" s="2234"/>
      <c r="CNN10" s="2234"/>
      <c r="CNO10" s="2234"/>
      <c r="CNP10" s="2234"/>
      <c r="CNQ10" s="2234"/>
      <c r="CNR10" s="2234"/>
      <c r="CNS10" s="2234"/>
      <c r="CNT10" s="2234"/>
      <c r="CNU10" s="2234"/>
      <c r="CNV10" s="2234"/>
      <c r="CNW10" s="2234"/>
      <c r="CNX10" s="2234"/>
      <c r="CNY10" s="2234"/>
      <c r="CNZ10" s="2234"/>
      <c r="COA10" s="2234"/>
      <c r="COB10" s="2234"/>
      <c r="COC10" s="2234"/>
      <c r="COD10" s="2234"/>
      <c r="COE10" s="2234"/>
      <c r="COF10" s="2234"/>
      <c r="COG10" s="2234"/>
      <c r="COH10" s="2234"/>
      <c r="COI10" s="2234"/>
      <c r="COJ10" s="2234"/>
      <c r="COK10" s="2234"/>
      <c r="COL10" s="2234"/>
      <c r="COM10" s="2234"/>
      <c r="CON10" s="2234"/>
      <c r="COO10" s="2234"/>
      <c r="COP10" s="2234"/>
      <c r="COQ10" s="2234"/>
      <c r="COR10" s="2234"/>
      <c r="COS10" s="2234"/>
      <c r="COT10" s="2234"/>
      <c r="COU10" s="2234"/>
      <c r="COV10" s="2234"/>
      <c r="COW10" s="2234"/>
      <c r="COX10" s="2234"/>
      <c r="COY10" s="2234"/>
      <c r="COZ10" s="2234"/>
      <c r="CPA10" s="2234"/>
      <c r="CPB10" s="2234"/>
      <c r="CPC10" s="2234"/>
      <c r="CPD10" s="2234"/>
      <c r="CPE10" s="2234"/>
      <c r="CPF10" s="2234"/>
      <c r="CPG10" s="2234"/>
      <c r="CPH10" s="2234"/>
      <c r="CPI10" s="2234"/>
      <c r="CPJ10" s="2234"/>
      <c r="CPK10" s="2234"/>
      <c r="CPL10" s="2234"/>
      <c r="CPM10" s="2234"/>
      <c r="CPN10" s="2234"/>
      <c r="CPO10" s="2234"/>
      <c r="CPP10" s="2234"/>
      <c r="CPQ10" s="2234"/>
      <c r="CPR10" s="2234"/>
      <c r="CPS10" s="2234"/>
      <c r="CPT10" s="2234"/>
      <c r="CPU10" s="2234"/>
      <c r="CPV10" s="2234"/>
      <c r="CPW10" s="2234"/>
      <c r="CPX10" s="2234"/>
      <c r="CPY10" s="2234"/>
      <c r="CPZ10" s="2234"/>
      <c r="CQA10" s="2234"/>
      <c r="CQB10" s="2234"/>
      <c r="CQC10" s="2234"/>
      <c r="CQD10" s="2234"/>
      <c r="CQE10" s="2234"/>
      <c r="CQF10" s="2234"/>
      <c r="CQG10" s="2234"/>
      <c r="CQH10" s="2234"/>
      <c r="CQI10" s="2234"/>
      <c r="CQJ10" s="2234"/>
      <c r="CQK10" s="2234"/>
      <c r="CQL10" s="2234"/>
      <c r="CQM10" s="2234"/>
      <c r="CQN10" s="2234"/>
      <c r="CQO10" s="2234"/>
      <c r="CQP10" s="2234"/>
      <c r="CQQ10" s="2234"/>
      <c r="CQR10" s="2234"/>
      <c r="CQS10" s="2234"/>
      <c r="CQT10" s="2234"/>
      <c r="CQU10" s="2234"/>
      <c r="CQV10" s="2234"/>
      <c r="CQW10" s="2234"/>
      <c r="CQX10" s="2234"/>
      <c r="CQY10" s="2234"/>
      <c r="CQZ10" s="2234"/>
      <c r="CRA10" s="2234"/>
      <c r="CRB10" s="2234"/>
      <c r="CRC10" s="2234"/>
      <c r="CRD10" s="2234"/>
      <c r="CRE10" s="2234"/>
      <c r="CRF10" s="2234"/>
      <c r="CRG10" s="2234"/>
      <c r="CRH10" s="2234"/>
      <c r="CRI10" s="2234"/>
      <c r="CRJ10" s="2234"/>
      <c r="CRK10" s="2234"/>
      <c r="CRL10" s="2234"/>
      <c r="CRM10" s="2234"/>
      <c r="CRN10" s="2234"/>
      <c r="CRO10" s="2234"/>
      <c r="CRP10" s="2234"/>
      <c r="CRQ10" s="2234"/>
      <c r="CRR10" s="2234"/>
      <c r="CRS10" s="2234"/>
      <c r="CRT10" s="2234"/>
      <c r="CRU10" s="2234"/>
      <c r="CRV10" s="2234"/>
      <c r="CRW10" s="2234"/>
      <c r="CRX10" s="2234"/>
      <c r="CRY10" s="2234"/>
      <c r="CRZ10" s="2234"/>
      <c r="CSA10" s="2234"/>
      <c r="CSB10" s="2234"/>
      <c r="CSC10" s="2234"/>
      <c r="CSD10" s="2234"/>
      <c r="CSE10" s="2234"/>
      <c r="CSF10" s="2234"/>
      <c r="CSG10" s="2234"/>
      <c r="CSH10" s="2234"/>
      <c r="CSI10" s="2234"/>
      <c r="CSJ10" s="2234"/>
      <c r="CSK10" s="2234"/>
      <c r="CSL10" s="2234"/>
      <c r="CSM10" s="2234"/>
      <c r="CSN10" s="2234"/>
      <c r="CSO10" s="2234"/>
      <c r="CSP10" s="2234"/>
      <c r="CSQ10" s="2234"/>
      <c r="CSR10" s="2234"/>
      <c r="CSS10" s="2234"/>
      <c r="CST10" s="2234"/>
      <c r="CSU10" s="2234"/>
      <c r="CSV10" s="2234"/>
      <c r="CSW10" s="2234"/>
      <c r="CSX10" s="2234"/>
      <c r="CSY10" s="2234"/>
      <c r="CSZ10" s="2234"/>
      <c r="CTA10" s="2234"/>
      <c r="CTB10" s="2234"/>
      <c r="CTC10" s="2234"/>
      <c r="CTD10" s="2234"/>
      <c r="CTE10" s="2234"/>
      <c r="CTF10" s="2234"/>
      <c r="CTG10" s="2234"/>
      <c r="CTH10" s="2234"/>
      <c r="CTI10" s="2234"/>
      <c r="CTJ10" s="2234"/>
      <c r="CTK10" s="2234"/>
      <c r="CTL10" s="2234"/>
      <c r="CTM10" s="2234"/>
      <c r="CTN10" s="2234"/>
      <c r="CTO10" s="2234"/>
      <c r="CTP10" s="2234"/>
      <c r="CTQ10" s="2234"/>
      <c r="CTR10" s="2234"/>
      <c r="CTS10" s="2234"/>
      <c r="CTT10" s="2234"/>
      <c r="CTU10" s="2234"/>
      <c r="CTV10" s="2234"/>
      <c r="CTW10" s="2234"/>
      <c r="CTX10" s="2234"/>
      <c r="CTY10" s="2234"/>
      <c r="CTZ10" s="2234"/>
      <c r="CUA10" s="2234"/>
      <c r="CUB10" s="2234"/>
      <c r="CUC10" s="2234"/>
      <c r="CUD10" s="2234"/>
      <c r="CUE10" s="2234"/>
      <c r="CUF10" s="2234"/>
      <c r="CUG10" s="2234"/>
      <c r="CUH10" s="2234"/>
      <c r="CUI10" s="2234"/>
      <c r="CUJ10" s="2234"/>
      <c r="CUK10" s="2234"/>
      <c r="CUL10" s="2234"/>
      <c r="CUM10" s="2234"/>
      <c r="CUN10" s="2234"/>
      <c r="CUO10" s="2234"/>
      <c r="CUP10" s="2234"/>
      <c r="CUQ10" s="2234"/>
      <c r="CUR10" s="2234"/>
      <c r="CUS10" s="2234"/>
      <c r="CUT10" s="2234"/>
      <c r="CUU10" s="2234"/>
      <c r="CUV10" s="2234"/>
      <c r="CUW10" s="2234"/>
      <c r="CUX10" s="2234"/>
      <c r="CUY10" s="2234"/>
      <c r="CUZ10" s="2234"/>
      <c r="CVA10" s="2234"/>
      <c r="CVB10" s="2234"/>
      <c r="CVC10" s="2234"/>
      <c r="CVD10" s="2234"/>
      <c r="CVE10" s="2234"/>
      <c r="CVF10" s="2234"/>
      <c r="CVG10" s="2234"/>
      <c r="CVH10" s="2234"/>
      <c r="CVI10" s="2234"/>
      <c r="CVJ10" s="2234"/>
      <c r="CVK10" s="2234"/>
      <c r="CVL10" s="2234"/>
      <c r="CVM10" s="2234"/>
      <c r="CVN10" s="2234"/>
      <c r="CVO10" s="2234"/>
      <c r="CVP10" s="2234"/>
      <c r="CVQ10" s="2234"/>
      <c r="CVR10" s="2234"/>
      <c r="CVS10" s="2234"/>
      <c r="CVT10" s="2234"/>
      <c r="CVU10" s="2234"/>
      <c r="CVV10" s="2234"/>
      <c r="CVW10" s="2234"/>
      <c r="CVX10" s="2234"/>
      <c r="CVY10" s="2234"/>
      <c r="CVZ10" s="2234"/>
      <c r="CWA10" s="2234"/>
      <c r="CWB10" s="2234"/>
      <c r="CWC10" s="2234"/>
      <c r="CWD10" s="2234"/>
      <c r="CWE10" s="2234"/>
      <c r="CWF10" s="2234"/>
      <c r="CWG10" s="2234"/>
      <c r="CWH10" s="2234"/>
      <c r="CWI10" s="2234"/>
      <c r="CWJ10" s="2234"/>
      <c r="CWK10" s="2234"/>
      <c r="CWL10" s="2234"/>
      <c r="CWM10" s="2234"/>
      <c r="CWN10" s="2234"/>
      <c r="CWO10" s="2234"/>
      <c r="CWP10" s="2234"/>
      <c r="CWQ10" s="2234"/>
      <c r="CWR10" s="2234"/>
      <c r="CWS10" s="2234"/>
      <c r="CWT10" s="2234"/>
      <c r="CWU10" s="2234"/>
      <c r="CWV10" s="2234"/>
      <c r="CWW10" s="2234"/>
      <c r="CWX10" s="2234"/>
      <c r="CWY10" s="2234"/>
      <c r="CWZ10" s="2234"/>
      <c r="CXA10" s="2234"/>
      <c r="CXB10" s="2234"/>
      <c r="CXC10" s="2234"/>
      <c r="CXD10" s="2234"/>
      <c r="CXE10" s="2234"/>
      <c r="CXF10" s="2234"/>
      <c r="CXG10" s="2234"/>
      <c r="CXH10" s="2234"/>
      <c r="CXI10" s="2234"/>
      <c r="CXJ10" s="2234"/>
      <c r="CXK10" s="2234"/>
      <c r="CXL10" s="2234"/>
      <c r="CXM10" s="2234"/>
      <c r="CXN10" s="2234"/>
      <c r="CXO10" s="2234"/>
      <c r="CXP10" s="2234"/>
      <c r="CXQ10" s="2234"/>
      <c r="CXR10" s="2234"/>
      <c r="CXS10" s="2234"/>
      <c r="CXT10" s="2234"/>
      <c r="CXU10" s="2234"/>
      <c r="CXV10" s="2234"/>
      <c r="CXW10" s="2234"/>
      <c r="CXX10" s="2234"/>
      <c r="CXY10" s="2234"/>
      <c r="CXZ10" s="2234"/>
      <c r="CYA10" s="2234"/>
      <c r="CYB10" s="2234"/>
      <c r="CYC10" s="2234"/>
      <c r="CYD10" s="2234"/>
      <c r="CYE10" s="2234"/>
      <c r="CYF10" s="2234"/>
      <c r="CYG10" s="2234"/>
      <c r="CYH10" s="2234"/>
      <c r="CYI10" s="2234"/>
      <c r="CYJ10" s="2234"/>
      <c r="CYK10" s="2234"/>
      <c r="CYL10" s="2234"/>
      <c r="CYM10" s="2234"/>
      <c r="CYN10" s="2234"/>
      <c r="CYO10" s="2234"/>
      <c r="CYP10" s="2234"/>
      <c r="CYQ10" s="2234"/>
      <c r="CYR10" s="2234"/>
      <c r="CYS10" s="2234"/>
      <c r="CYT10" s="2234"/>
      <c r="CYU10" s="2234"/>
      <c r="CYV10" s="2234"/>
      <c r="CYW10" s="2234"/>
      <c r="CYX10" s="2234"/>
      <c r="CYY10" s="2234"/>
      <c r="CYZ10" s="2234"/>
      <c r="CZA10" s="2234"/>
      <c r="CZB10" s="2234"/>
      <c r="CZC10" s="2234"/>
      <c r="CZD10" s="2234"/>
      <c r="CZE10" s="2234"/>
      <c r="CZF10" s="2234"/>
      <c r="CZG10" s="2234"/>
      <c r="CZH10" s="2234"/>
      <c r="CZI10" s="2234"/>
      <c r="CZJ10" s="2234"/>
      <c r="CZK10" s="2234"/>
      <c r="CZL10" s="2234"/>
      <c r="CZM10" s="2234"/>
      <c r="CZN10" s="2234"/>
      <c r="CZO10" s="2234"/>
      <c r="CZP10" s="2234"/>
      <c r="CZQ10" s="2234"/>
      <c r="CZR10" s="2234"/>
      <c r="CZS10" s="2234"/>
      <c r="CZT10" s="2234"/>
      <c r="CZU10" s="2234"/>
      <c r="CZV10" s="2234"/>
      <c r="CZW10" s="2234"/>
      <c r="CZX10" s="2234"/>
      <c r="CZY10" s="2234"/>
      <c r="CZZ10" s="2234"/>
      <c r="DAA10" s="2234"/>
      <c r="DAB10" s="2234"/>
      <c r="DAC10" s="2234"/>
      <c r="DAD10" s="2234"/>
      <c r="DAE10" s="2234"/>
      <c r="DAF10" s="2234"/>
      <c r="DAG10" s="2234"/>
      <c r="DAH10" s="2234"/>
      <c r="DAI10" s="2234"/>
      <c r="DAJ10" s="2234"/>
      <c r="DAK10" s="2234"/>
      <c r="DAL10" s="2234"/>
      <c r="DAM10" s="2234"/>
      <c r="DAN10" s="2234"/>
      <c r="DAO10" s="2234"/>
      <c r="DAP10" s="2234"/>
      <c r="DAQ10" s="2234"/>
      <c r="DAR10" s="2234"/>
      <c r="DAS10" s="2234"/>
      <c r="DAT10" s="2234"/>
      <c r="DAU10" s="2234"/>
      <c r="DAV10" s="2234"/>
      <c r="DAW10" s="2234"/>
      <c r="DAX10" s="2234"/>
      <c r="DAY10" s="2234"/>
      <c r="DAZ10" s="2234"/>
      <c r="DBA10" s="2234"/>
      <c r="DBB10" s="2234"/>
      <c r="DBC10" s="2234"/>
      <c r="DBD10" s="2234"/>
      <c r="DBE10" s="2234"/>
      <c r="DBF10" s="2234"/>
      <c r="DBG10" s="2234"/>
      <c r="DBH10" s="2234"/>
      <c r="DBI10" s="2234"/>
      <c r="DBJ10" s="2234"/>
      <c r="DBK10" s="2234"/>
      <c r="DBL10" s="2234"/>
      <c r="DBM10" s="2234"/>
      <c r="DBN10" s="2234"/>
      <c r="DBO10" s="2234"/>
      <c r="DBP10" s="2234"/>
      <c r="DBQ10" s="2234"/>
      <c r="DBR10" s="2234"/>
      <c r="DBS10" s="2234"/>
      <c r="DBT10" s="2234"/>
      <c r="DBU10" s="2234"/>
      <c r="DBV10" s="2234"/>
      <c r="DBW10" s="2234"/>
      <c r="DBX10" s="2234"/>
      <c r="DBY10" s="2234"/>
      <c r="DBZ10" s="2234"/>
      <c r="DCA10" s="2234"/>
      <c r="DCB10" s="2234"/>
      <c r="DCC10" s="2234"/>
      <c r="DCD10" s="2234"/>
      <c r="DCE10" s="2234"/>
      <c r="DCF10" s="2234"/>
      <c r="DCG10" s="2234"/>
      <c r="DCH10" s="2234"/>
      <c r="DCI10" s="2234"/>
      <c r="DCJ10" s="2234"/>
      <c r="DCK10" s="2234"/>
      <c r="DCL10" s="2234"/>
      <c r="DCM10" s="2234"/>
      <c r="DCN10" s="2234"/>
      <c r="DCO10" s="2234"/>
      <c r="DCP10" s="2234"/>
      <c r="DCQ10" s="2234"/>
      <c r="DCR10" s="2234"/>
      <c r="DCS10" s="2234"/>
      <c r="DCT10" s="2234"/>
      <c r="DCU10" s="2234"/>
      <c r="DCV10" s="2234"/>
      <c r="DCW10" s="2234"/>
      <c r="DCX10" s="2234"/>
      <c r="DCY10" s="2234"/>
      <c r="DCZ10" s="2234"/>
      <c r="DDA10" s="2234"/>
      <c r="DDB10" s="2234"/>
      <c r="DDC10" s="2234"/>
      <c r="DDD10" s="2234"/>
      <c r="DDE10" s="2234"/>
      <c r="DDF10" s="2234"/>
      <c r="DDG10" s="2234"/>
      <c r="DDH10" s="2234"/>
      <c r="DDI10" s="2234"/>
      <c r="DDJ10" s="2234"/>
      <c r="DDK10" s="2234"/>
      <c r="DDL10" s="2234"/>
      <c r="DDM10" s="2234"/>
      <c r="DDN10" s="2234"/>
      <c r="DDO10" s="2234"/>
      <c r="DDP10" s="2234"/>
      <c r="DDQ10" s="2234"/>
      <c r="DDR10" s="2234"/>
      <c r="DDS10" s="2234"/>
      <c r="DDT10" s="2234"/>
      <c r="DDU10" s="2234"/>
      <c r="DDV10" s="2234"/>
      <c r="DDW10" s="2234"/>
      <c r="DDX10" s="2234"/>
      <c r="DDY10" s="2234"/>
      <c r="DDZ10" s="2234"/>
      <c r="DEA10" s="2234"/>
      <c r="DEB10" s="2234"/>
      <c r="DEC10" s="2234"/>
      <c r="DED10" s="2234"/>
      <c r="DEE10" s="2234"/>
      <c r="DEF10" s="2234"/>
      <c r="DEG10" s="2234"/>
      <c r="DEH10" s="2234"/>
      <c r="DEI10" s="2234"/>
      <c r="DEJ10" s="2234"/>
      <c r="DEK10" s="2234"/>
      <c r="DEL10" s="2234"/>
      <c r="DEM10" s="2234"/>
      <c r="DEN10" s="2234"/>
      <c r="DEO10" s="2234"/>
      <c r="DEP10" s="2234"/>
      <c r="DEQ10" s="2234"/>
      <c r="DER10" s="2234"/>
      <c r="DES10" s="2234"/>
      <c r="DET10" s="2234"/>
      <c r="DEU10" s="2234"/>
      <c r="DEV10" s="2234"/>
      <c r="DEW10" s="2234"/>
      <c r="DEX10" s="2234"/>
      <c r="DEY10" s="2234"/>
      <c r="DEZ10" s="2234"/>
      <c r="DFA10" s="2234"/>
      <c r="DFB10" s="2234"/>
      <c r="DFC10" s="2234"/>
      <c r="DFD10" s="2234"/>
      <c r="DFE10" s="2234"/>
      <c r="DFF10" s="2234"/>
      <c r="DFG10" s="2234"/>
      <c r="DFH10" s="2234"/>
      <c r="DFI10" s="2234"/>
      <c r="DFJ10" s="2234"/>
      <c r="DFK10" s="2234"/>
      <c r="DFL10" s="2234"/>
      <c r="DFM10" s="2234"/>
      <c r="DFN10" s="2234"/>
      <c r="DFO10" s="2234"/>
      <c r="DFP10" s="2234"/>
      <c r="DFQ10" s="2234"/>
      <c r="DFR10" s="2234"/>
      <c r="DFS10" s="2234"/>
      <c r="DFT10" s="2234"/>
      <c r="DFU10" s="2234"/>
      <c r="DFV10" s="2234"/>
      <c r="DFW10" s="2234"/>
      <c r="DFX10" s="2234"/>
      <c r="DFY10" s="2234"/>
      <c r="DFZ10" s="2234"/>
      <c r="DGA10" s="2234"/>
      <c r="DGB10" s="2234"/>
      <c r="DGC10" s="2234"/>
      <c r="DGD10" s="2234"/>
      <c r="DGE10" s="2234"/>
      <c r="DGF10" s="2234"/>
      <c r="DGG10" s="2234"/>
      <c r="DGH10" s="2234"/>
      <c r="DGI10" s="2234"/>
      <c r="DGJ10" s="2234"/>
      <c r="DGK10" s="2234"/>
      <c r="DGL10" s="2234"/>
      <c r="DGM10" s="2234"/>
      <c r="DGN10" s="2234"/>
      <c r="DGO10" s="2234"/>
      <c r="DGP10" s="2234"/>
      <c r="DGQ10" s="2234"/>
      <c r="DGR10" s="2234"/>
      <c r="DGS10" s="2234"/>
      <c r="DGT10" s="2234"/>
      <c r="DGU10" s="2234"/>
      <c r="DGV10" s="2234"/>
      <c r="DGW10" s="2234"/>
      <c r="DGX10" s="2234"/>
      <c r="DGY10" s="2234"/>
      <c r="DGZ10" s="2234"/>
      <c r="DHA10" s="2234"/>
      <c r="DHB10" s="2234"/>
      <c r="DHC10" s="2234"/>
      <c r="DHD10" s="2234"/>
      <c r="DHE10" s="2234"/>
      <c r="DHF10" s="2234"/>
      <c r="DHG10" s="2234"/>
      <c r="DHH10" s="2234"/>
      <c r="DHI10" s="2234"/>
      <c r="DHJ10" s="2234"/>
      <c r="DHK10" s="2234"/>
      <c r="DHL10" s="2234"/>
      <c r="DHM10" s="2234"/>
      <c r="DHN10" s="2234"/>
      <c r="DHO10" s="2234"/>
      <c r="DHP10" s="2234"/>
      <c r="DHQ10" s="2234"/>
      <c r="DHR10" s="2234"/>
      <c r="DHS10" s="2234"/>
      <c r="DHT10" s="2234"/>
      <c r="DHU10" s="2234"/>
      <c r="DHV10" s="2234"/>
      <c r="DHW10" s="2234"/>
      <c r="DHX10" s="2234"/>
      <c r="DHY10" s="2234"/>
      <c r="DHZ10" s="2234"/>
      <c r="DIA10" s="2234"/>
      <c r="DIB10" s="2234"/>
      <c r="DIC10" s="2234"/>
      <c r="DID10" s="2234"/>
      <c r="DIE10" s="2234"/>
      <c r="DIF10" s="2234"/>
      <c r="DIG10" s="2234"/>
      <c r="DIH10" s="2234"/>
      <c r="DII10" s="2234"/>
      <c r="DIJ10" s="2234"/>
      <c r="DIK10" s="2234"/>
      <c r="DIL10" s="2234"/>
      <c r="DIM10" s="2234"/>
      <c r="DIN10" s="2234"/>
      <c r="DIO10" s="2234"/>
      <c r="DIP10" s="2234"/>
      <c r="DIQ10" s="2234"/>
      <c r="DIR10" s="2234"/>
      <c r="DIS10" s="2234"/>
      <c r="DIT10" s="2234"/>
      <c r="DIU10" s="2234"/>
      <c r="DIV10" s="2234"/>
      <c r="DIW10" s="2234"/>
      <c r="DIX10" s="2234"/>
      <c r="DIY10" s="2234"/>
      <c r="DIZ10" s="2234"/>
      <c r="DJA10" s="2234"/>
      <c r="DJB10" s="2234"/>
      <c r="DJC10" s="2234"/>
      <c r="DJD10" s="2234"/>
      <c r="DJE10" s="2234"/>
      <c r="DJF10" s="2234"/>
      <c r="DJG10" s="2234"/>
      <c r="DJH10" s="2234"/>
      <c r="DJI10" s="2234"/>
      <c r="DJJ10" s="2234"/>
      <c r="DJK10" s="2234"/>
      <c r="DJL10" s="2234"/>
      <c r="DJM10" s="2234"/>
      <c r="DJN10" s="2234"/>
      <c r="DJO10" s="2234"/>
      <c r="DJP10" s="2234"/>
      <c r="DJQ10" s="2234"/>
      <c r="DJR10" s="2234"/>
      <c r="DJS10" s="2234"/>
      <c r="DJT10" s="2234"/>
      <c r="DJU10" s="2234"/>
      <c r="DJV10" s="2234"/>
      <c r="DJW10" s="2234"/>
      <c r="DJX10" s="2234"/>
      <c r="DJY10" s="2234"/>
      <c r="DJZ10" s="2234"/>
      <c r="DKA10" s="2234"/>
      <c r="DKB10" s="2234"/>
      <c r="DKC10" s="2234"/>
      <c r="DKD10" s="2234"/>
      <c r="DKE10" s="2234"/>
      <c r="DKF10" s="2234"/>
      <c r="DKG10" s="2234"/>
      <c r="DKH10" s="2234"/>
      <c r="DKI10" s="2234"/>
      <c r="DKJ10" s="2234"/>
      <c r="DKK10" s="2234"/>
      <c r="DKL10" s="2234"/>
      <c r="DKM10" s="2234"/>
      <c r="DKN10" s="2234"/>
      <c r="DKO10" s="2234"/>
      <c r="DKP10" s="2234"/>
      <c r="DKQ10" s="2234"/>
      <c r="DKR10" s="2234"/>
      <c r="DKS10" s="2234"/>
      <c r="DKT10" s="2234"/>
      <c r="DKU10" s="2234"/>
      <c r="DKV10" s="2234"/>
      <c r="DKW10" s="2234"/>
      <c r="DKX10" s="2234"/>
      <c r="DKY10" s="2234"/>
      <c r="DKZ10" s="2234"/>
      <c r="DLA10" s="2234"/>
      <c r="DLB10" s="2234"/>
      <c r="DLC10" s="2234"/>
      <c r="DLD10" s="2234"/>
      <c r="DLE10" s="2234"/>
      <c r="DLF10" s="2234"/>
      <c r="DLG10" s="2234"/>
      <c r="DLH10" s="2234"/>
      <c r="DLI10" s="2234"/>
      <c r="DLJ10" s="2234"/>
      <c r="DLK10" s="2234"/>
      <c r="DLL10" s="2234"/>
      <c r="DLM10" s="2234"/>
      <c r="DLN10" s="2234"/>
      <c r="DLO10" s="2234"/>
      <c r="DLP10" s="2234"/>
      <c r="DLQ10" s="2234"/>
      <c r="DLR10" s="2234"/>
      <c r="DLS10" s="2234"/>
      <c r="DLT10" s="2234"/>
      <c r="DLU10" s="2234"/>
      <c r="DLV10" s="2234"/>
      <c r="DLW10" s="2234"/>
      <c r="DLX10" s="2234"/>
      <c r="DLY10" s="2234"/>
      <c r="DLZ10" s="2234"/>
      <c r="DMA10" s="2234"/>
      <c r="DMB10" s="2234"/>
      <c r="DMC10" s="2234"/>
      <c r="DMD10" s="2234"/>
      <c r="DME10" s="2234"/>
      <c r="DMF10" s="2234"/>
      <c r="DMG10" s="2234"/>
      <c r="DMH10" s="2234"/>
      <c r="DMI10" s="2234"/>
      <c r="DMJ10" s="2234"/>
      <c r="DMK10" s="2234"/>
      <c r="DML10" s="2234"/>
      <c r="DMM10" s="2234"/>
      <c r="DMN10" s="2234"/>
      <c r="DMO10" s="2234"/>
      <c r="DMP10" s="2234"/>
      <c r="DMQ10" s="2234"/>
      <c r="DMR10" s="2234"/>
      <c r="DMS10" s="2234"/>
      <c r="DMT10" s="2234"/>
      <c r="DMU10" s="2234"/>
      <c r="DMV10" s="2234"/>
      <c r="DMW10" s="2234"/>
      <c r="DMX10" s="2234"/>
      <c r="DMY10" s="2234"/>
      <c r="DMZ10" s="2234"/>
      <c r="DNA10" s="2234"/>
      <c r="DNB10" s="2234"/>
      <c r="DNC10" s="2234"/>
      <c r="DND10" s="2234"/>
      <c r="DNE10" s="2234"/>
      <c r="DNF10" s="2234"/>
      <c r="DNG10" s="2234"/>
      <c r="DNH10" s="2234"/>
      <c r="DNI10" s="2234"/>
      <c r="DNJ10" s="2234"/>
      <c r="DNK10" s="2234"/>
      <c r="DNL10" s="2234"/>
      <c r="DNM10" s="2234"/>
      <c r="DNN10" s="2234"/>
      <c r="DNO10" s="2234"/>
      <c r="DNP10" s="2234"/>
      <c r="DNQ10" s="2234"/>
      <c r="DNR10" s="2234"/>
      <c r="DNS10" s="2234"/>
      <c r="DNT10" s="2234"/>
      <c r="DNU10" s="2234"/>
      <c r="DNV10" s="2234"/>
      <c r="DNW10" s="2234"/>
      <c r="DNX10" s="2234"/>
      <c r="DNY10" s="2234"/>
      <c r="DNZ10" s="2234"/>
      <c r="DOA10" s="2234"/>
      <c r="DOB10" s="2234"/>
      <c r="DOC10" s="2234"/>
      <c r="DOD10" s="2234"/>
      <c r="DOE10" s="2234"/>
      <c r="DOF10" s="2234"/>
      <c r="DOG10" s="2234"/>
      <c r="DOH10" s="2234"/>
      <c r="DOI10" s="2234"/>
      <c r="DOJ10" s="2234"/>
      <c r="DOK10" s="2234"/>
      <c r="DOL10" s="2234"/>
      <c r="DOM10" s="2234"/>
      <c r="DON10" s="2234"/>
      <c r="DOO10" s="2234"/>
      <c r="DOP10" s="2234"/>
      <c r="DOQ10" s="2234"/>
      <c r="DOR10" s="2234"/>
      <c r="DOS10" s="2234"/>
      <c r="DOT10" s="2234"/>
      <c r="DOU10" s="2234"/>
      <c r="DOV10" s="2234"/>
      <c r="DOW10" s="2234"/>
      <c r="DOX10" s="2234"/>
      <c r="DOY10" s="2234"/>
      <c r="DOZ10" s="2234"/>
      <c r="DPA10" s="2234"/>
      <c r="DPB10" s="2234"/>
      <c r="DPC10" s="2234"/>
      <c r="DPD10" s="2234"/>
      <c r="DPE10" s="2234"/>
      <c r="DPF10" s="2234"/>
      <c r="DPG10" s="2234"/>
      <c r="DPH10" s="2234"/>
      <c r="DPI10" s="2234"/>
      <c r="DPJ10" s="2234"/>
      <c r="DPK10" s="2234"/>
      <c r="DPL10" s="2234"/>
      <c r="DPM10" s="2234"/>
      <c r="DPN10" s="2234"/>
      <c r="DPO10" s="2234"/>
      <c r="DPP10" s="2234"/>
      <c r="DPQ10" s="2234"/>
      <c r="DPR10" s="2234"/>
      <c r="DPS10" s="2234"/>
      <c r="DPT10" s="2234"/>
      <c r="DPU10" s="2234"/>
      <c r="DPV10" s="2234"/>
      <c r="DPW10" s="2234"/>
      <c r="DPX10" s="2234"/>
      <c r="DPY10" s="2234"/>
      <c r="DPZ10" s="2234"/>
      <c r="DQA10" s="2234"/>
      <c r="DQB10" s="2234"/>
      <c r="DQC10" s="2234"/>
      <c r="DQD10" s="2234"/>
      <c r="DQE10" s="2234"/>
      <c r="DQF10" s="2234"/>
      <c r="DQG10" s="2234"/>
      <c r="DQH10" s="2234"/>
      <c r="DQI10" s="2234"/>
      <c r="DQJ10" s="2234"/>
      <c r="DQK10" s="2234"/>
      <c r="DQL10" s="2234"/>
      <c r="DQM10" s="2234"/>
      <c r="DQN10" s="2234"/>
      <c r="DQO10" s="2234"/>
      <c r="DQP10" s="2234"/>
      <c r="DQQ10" s="2234"/>
      <c r="DQR10" s="2234"/>
      <c r="DQS10" s="2234"/>
      <c r="DQT10" s="2234"/>
      <c r="DQU10" s="2234"/>
      <c r="DQV10" s="2234"/>
      <c r="DQW10" s="2234"/>
      <c r="DQX10" s="2234"/>
      <c r="DQY10" s="2234"/>
      <c r="DQZ10" s="2234"/>
      <c r="DRA10" s="2234"/>
      <c r="DRB10" s="2234"/>
      <c r="DRC10" s="2234"/>
      <c r="DRD10" s="2234"/>
      <c r="DRE10" s="2234"/>
      <c r="DRF10" s="2234"/>
      <c r="DRG10" s="2234"/>
      <c r="DRH10" s="2234"/>
      <c r="DRI10" s="2234"/>
      <c r="DRJ10" s="2234"/>
      <c r="DRK10" s="2234"/>
      <c r="DRL10" s="2234"/>
      <c r="DRM10" s="2234"/>
      <c r="DRN10" s="2234"/>
      <c r="DRO10" s="2234"/>
      <c r="DRP10" s="2234"/>
      <c r="DRQ10" s="2234"/>
      <c r="DRR10" s="2234"/>
      <c r="DRS10" s="2234"/>
      <c r="DRT10" s="2234"/>
      <c r="DRU10" s="2234"/>
      <c r="DRV10" s="2234"/>
      <c r="DRW10" s="2234"/>
      <c r="DRX10" s="2234"/>
      <c r="DRY10" s="2234"/>
      <c r="DRZ10" s="2234"/>
      <c r="DSA10" s="2234"/>
      <c r="DSB10" s="2234"/>
      <c r="DSC10" s="2234"/>
      <c r="DSD10" s="2234"/>
      <c r="DSE10" s="2234"/>
      <c r="DSF10" s="2234"/>
      <c r="DSG10" s="2234"/>
      <c r="DSH10" s="2234"/>
      <c r="DSI10" s="2234"/>
      <c r="DSJ10" s="2234"/>
      <c r="DSK10" s="2234"/>
      <c r="DSL10" s="2234"/>
      <c r="DSM10" s="2234"/>
      <c r="DSN10" s="2234"/>
      <c r="DSO10" s="2234"/>
      <c r="DSP10" s="2234"/>
      <c r="DSQ10" s="2234"/>
      <c r="DSR10" s="2234"/>
      <c r="DSS10" s="2234"/>
      <c r="DST10" s="2234"/>
      <c r="DSU10" s="2234"/>
      <c r="DSV10" s="2234"/>
      <c r="DSW10" s="2234"/>
      <c r="DSX10" s="2234"/>
      <c r="DSY10" s="2234"/>
      <c r="DSZ10" s="2234"/>
      <c r="DTA10" s="2234"/>
      <c r="DTB10" s="2234"/>
      <c r="DTC10" s="2234"/>
      <c r="DTD10" s="2234"/>
      <c r="DTE10" s="2234"/>
      <c r="DTF10" s="2234"/>
      <c r="DTG10" s="2234"/>
      <c r="DTH10" s="2234"/>
      <c r="DTI10" s="2234"/>
      <c r="DTJ10" s="2234"/>
      <c r="DTK10" s="2234"/>
      <c r="DTL10" s="2234"/>
      <c r="DTM10" s="2234"/>
      <c r="DTN10" s="2234"/>
      <c r="DTO10" s="2234"/>
      <c r="DTP10" s="2234"/>
      <c r="DTQ10" s="2234"/>
      <c r="DTR10" s="2234"/>
      <c r="DTS10" s="2234"/>
      <c r="DTT10" s="2234"/>
      <c r="DTU10" s="2234"/>
      <c r="DTV10" s="2234"/>
      <c r="DTW10" s="2234"/>
      <c r="DTX10" s="2234"/>
      <c r="DTY10" s="2234"/>
      <c r="DTZ10" s="2234"/>
      <c r="DUA10" s="2234"/>
      <c r="DUB10" s="2234"/>
      <c r="DUC10" s="2234"/>
      <c r="DUD10" s="2234"/>
      <c r="DUE10" s="2234"/>
      <c r="DUF10" s="2234"/>
      <c r="DUG10" s="2234"/>
      <c r="DUH10" s="2234"/>
      <c r="DUI10" s="2234"/>
      <c r="DUJ10" s="2234"/>
      <c r="DUK10" s="2234"/>
      <c r="DUL10" s="2234"/>
      <c r="DUM10" s="2234"/>
      <c r="DUN10" s="2234"/>
      <c r="DUO10" s="2234"/>
      <c r="DUP10" s="2234"/>
      <c r="DUQ10" s="2234"/>
      <c r="DUR10" s="2234"/>
      <c r="DUS10" s="2234"/>
      <c r="DUT10" s="2234"/>
      <c r="DUU10" s="2234"/>
      <c r="DUV10" s="2234"/>
      <c r="DUW10" s="2234"/>
      <c r="DUX10" s="2234"/>
      <c r="DUY10" s="2234"/>
      <c r="DUZ10" s="2234"/>
      <c r="DVA10" s="2234"/>
      <c r="DVB10" s="2234"/>
      <c r="DVC10" s="2234"/>
      <c r="DVD10" s="2234"/>
      <c r="DVE10" s="2234"/>
      <c r="DVF10" s="2234"/>
      <c r="DVG10" s="2234"/>
      <c r="DVH10" s="2234"/>
      <c r="DVI10" s="2234"/>
      <c r="DVJ10" s="2234"/>
      <c r="DVK10" s="2234"/>
      <c r="DVL10" s="2234"/>
      <c r="DVM10" s="2234"/>
      <c r="DVN10" s="2234"/>
      <c r="DVO10" s="2234"/>
      <c r="DVP10" s="2234"/>
      <c r="DVQ10" s="2234"/>
      <c r="DVR10" s="2234"/>
      <c r="DVS10" s="2234"/>
      <c r="DVT10" s="2234"/>
      <c r="DVU10" s="2234"/>
      <c r="DVV10" s="2234"/>
      <c r="DVW10" s="2234"/>
      <c r="DVX10" s="2234"/>
      <c r="DVY10" s="2234"/>
      <c r="DVZ10" s="2234"/>
      <c r="DWA10" s="2234"/>
      <c r="DWB10" s="2234"/>
      <c r="DWC10" s="2234"/>
      <c r="DWD10" s="2234"/>
      <c r="DWE10" s="2234"/>
      <c r="DWF10" s="2234"/>
      <c r="DWG10" s="2234"/>
      <c r="DWH10" s="2234"/>
      <c r="DWI10" s="2234"/>
      <c r="DWJ10" s="2234"/>
      <c r="DWK10" s="2234"/>
      <c r="DWL10" s="2234"/>
      <c r="DWM10" s="2234"/>
      <c r="DWN10" s="2234"/>
      <c r="DWO10" s="2234"/>
      <c r="DWP10" s="2234"/>
      <c r="DWQ10" s="2234"/>
      <c r="DWR10" s="2234"/>
      <c r="DWS10" s="2234"/>
      <c r="DWT10" s="2234"/>
      <c r="DWU10" s="2234"/>
      <c r="DWV10" s="2234"/>
      <c r="DWW10" s="2234"/>
      <c r="DWX10" s="2234"/>
      <c r="DWY10" s="2234"/>
      <c r="DWZ10" s="2234"/>
      <c r="DXA10" s="2234"/>
      <c r="DXB10" s="2234"/>
      <c r="DXC10" s="2234"/>
      <c r="DXD10" s="2234"/>
      <c r="DXE10" s="2234"/>
      <c r="DXF10" s="2234"/>
      <c r="DXG10" s="2234"/>
      <c r="DXH10" s="2234"/>
      <c r="DXI10" s="2234"/>
      <c r="DXJ10" s="2234"/>
      <c r="DXK10" s="2234"/>
      <c r="DXL10" s="2234"/>
      <c r="DXM10" s="2234"/>
      <c r="DXN10" s="2234"/>
      <c r="DXO10" s="2234"/>
      <c r="DXP10" s="2234"/>
      <c r="DXQ10" s="2234"/>
      <c r="DXR10" s="2234"/>
      <c r="DXS10" s="2234"/>
      <c r="DXT10" s="2234"/>
      <c r="DXU10" s="2234"/>
      <c r="DXV10" s="2234"/>
      <c r="DXW10" s="2234"/>
      <c r="DXX10" s="2234"/>
      <c r="DXY10" s="2234"/>
      <c r="DXZ10" s="2234"/>
      <c r="DYA10" s="2234"/>
      <c r="DYB10" s="2234"/>
      <c r="DYC10" s="2234"/>
      <c r="DYD10" s="2234"/>
      <c r="DYE10" s="2234"/>
      <c r="DYF10" s="2234"/>
      <c r="DYG10" s="2234"/>
      <c r="DYH10" s="2234"/>
      <c r="DYI10" s="2234"/>
      <c r="DYJ10" s="2234"/>
      <c r="DYK10" s="2234"/>
      <c r="DYL10" s="2234"/>
      <c r="DYM10" s="2234"/>
      <c r="DYN10" s="2234"/>
      <c r="DYO10" s="2234"/>
      <c r="DYP10" s="2234"/>
      <c r="DYQ10" s="2234"/>
      <c r="DYR10" s="2234"/>
      <c r="DYS10" s="2234"/>
      <c r="DYT10" s="2234"/>
      <c r="DYU10" s="2234"/>
      <c r="DYV10" s="2234"/>
      <c r="DYW10" s="2234"/>
      <c r="DYX10" s="2234"/>
      <c r="DYY10" s="2234"/>
      <c r="DYZ10" s="2234"/>
      <c r="DZA10" s="2234"/>
      <c r="DZB10" s="2234"/>
      <c r="DZC10" s="2234"/>
      <c r="DZD10" s="2234"/>
      <c r="DZE10" s="2234"/>
      <c r="DZF10" s="2234"/>
      <c r="DZG10" s="2234"/>
      <c r="DZH10" s="2234"/>
      <c r="DZI10" s="2234"/>
      <c r="DZJ10" s="2234"/>
      <c r="DZK10" s="2234"/>
      <c r="DZL10" s="2234"/>
      <c r="DZM10" s="2234"/>
      <c r="DZN10" s="2234"/>
      <c r="DZO10" s="2234"/>
      <c r="DZP10" s="2234"/>
      <c r="DZQ10" s="2234"/>
      <c r="DZR10" s="2234"/>
      <c r="DZS10" s="2234"/>
      <c r="DZT10" s="2234"/>
      <c r="DZU10" s="2234"/>
      <c r="DZV10" s="2234"/>
      <c r="DZW10" s="2234"/>
      <c r="DZX10" s="2234"/>
      <c r="DZY10" s="2234"/>
      <c r="DZZ10" s="2234"/>
      <c r="EAA10" s="2234"/>
      <c r="EAB10" s="2234"/>
      <c r="EAC10" s="2234"/>
      <c r="EAD10" s="2234"/>
      <c r="EAE10" s="2234"/>
      <c r="EAF10" s="2234"/>
      <c r="EAG10" s="2234"/>
      <c r="EAH10" s="2234"/>
      <c r="EAI10" s="2234"/>
      <c r="EAJ10" s="2234"/>
      <c r="EAK10" s="2234"/>
      <c r="EAL10" s="2234"/>
      <c r="EAM10" s="2234"/>
      <c r="EAN10" s="2234"/>
      <c r="EAO10" s="2234"/>
      <c r="EAP10" s="2234"/>
      <c r="EAQ10" s="2234"/>
      <c r="EAR10" s="2234"/>
      <c r="EAS10" s="2234"/>
      <c r="EAT10" s="2234"/>
      <c r="EAU10" s="2234"/>
      <c r="EAV10" s="2234"/>
      <c r="EAW10" s="2234"/>
      <c r="EAX10" s="2234"/>
      <c r="EAY10" s="2234"/>
      <c r="EAZ10" s="2234"/>
      <c r="EBA10" s="2234"/>
      <c r="EBB10" s="2234"/>
      <c r="EBC10" s="2234"/>
      <c r="EBD10" s="2234"/>
      <c r="EBE10" s="2234"/>
      <c r="EBF10" s="2234"/>
      <c r="EBG10" s="2234"/>
      <c r="EBH10" s="2234"/>
      <c r="EBI10" s="2234"/>
      <c r="EBJ10" s="2234"/>
      <c r="EBK10" s="2234"/>
      <c r="EBL10" s="2234"/>
      <c r="EBM10" s="2234"/>
      <c r="EBN10" s="2234"/>
      <c r="EBO10" s="2234"/>
      <c r="EBP10" s="2234"/>
      <c r="EBQ10" s="2234"/>
      <c r="EBR10" s="2234"/>
      <c r="EBS10" s="2234"/>
      <c r="EBT10" s="2234"/>
      <c r="EBU10" s="2234"/>
      <c r="EBV10" s="2234"/>
      <c r="EBW10" s="2234"/>
      <c r="EBX10" s="2234"/>
      <c r="EBY10" s="2234"/>
      <c r="EBZ10" s="2234"/>
      <c r="ECA10" s="2234"/>
      <c r="ECB10" s="2234"/>
      <c r="ECC10" s="2234"/>
      <c r="ECD10" s="2234"/>
      <c r="ECE10" s="2234"/>
      <c r="ECF10" s="2234"/>
      <c r="ECG10" s="2234"/>
      <c r="ECH10" s="2234"/>
      <c r="ECI10" s="2234"/>
      <c r="ECJ10" s="2234"/>
      <c r="ECK10" s="2234"/>
      <c r="ECL10" s="2234"/>
      <c r="ECM10" s="2234"/>
      <c r="ECN10" s="2234"/>
      <c r="ECO10" s="2234"/>
      <c r="ECP10" s="2234"/>
      <c r="ECQ10" s="2234"/>
      <c r="ECR10" s="2234"/>
      <c r="ECS10" s="2234"/>
      <c r="ECT10" s="2234"/>
      <c r="ECU10" s="2234"/>
      <c r="ECV10" s="2234"/>
      <c r="ECW10" s="2234"/>
      <c r="ECX10" s="2234"/>
      <c r="ECY10" s="2234"/>
      <c r="ECZ10" s="2234"/>
      <c r="EDA10" s="2234"/>
      <c r="EDB10" s="2234"/>
      <c r="EDC10" s="2234"/>
      <c r="EDD10" s="2234"/>
      <c r="EDE10" s="2234"/>
      <c r="EDF10" s="2234"/>
      <c r="EDG10" s="2234"/>
      <c r="EDH10" s="2234"/>
      <c r="EDI10" s="2234"/>
      <c r="EDJ10" s="2234"/>
      <c r="EDK10" s="2234"/>
      <c r="EDL10" s="2234"/>
      <c r="EDM10" s="2234"/>
      <c r="EDN10" s="2234"/>
      <c r="EDO10" s="2234"/>
      <c r="EDP10" s="2234"/>
      <c r="EDQ10" s="2234"/>
      <c r="EDR10" s="2234"/>
      <c r="EDS10" s="2234"/>
      <c r="EDT10" s="2234"/>
      <c r="EDU10" s="2234"/>
      <c r="EDV10" s="2234"/>
      <c r="EDW10" s="2234"/>
      <c r="EDX10" s="2234"/>
      <c r="EDY10" s="2234"/>
      <c r="EDZ10" s="2234"/>
      <c r="EEA10" s="2234"/>
      <c r="EEB10" s="2234"/>
      <c r="EEC10" s="2234"/>
      <c r="EED10" s="2234"/>
      <c r="EEE10" s="2234"/>
      <c r="EEF10" s="2234"/>
      <c r="EEG10" s="2234"/>
      <c r="EEH10" s="2234"/>
      <c r="EEI10" s="2234"/>
      <c r="EEJ10" s="2234"/>
      <c r="EEK10" s="2234"/>
      <c r="EEL10" s="2234"/>
      <c r="EEM10" s="2234"/>
      <c r="EEN10" s="2234"/>
      <c r="EEO10" s="2234"/>
      <c r="EEP10" s="2234"/>
      <c r="EEQ10" s="2234"/>
      <c r="EER10" s="2234"/>
      <c r="EES10" s="2234"/>
      <c r="EET10" s="2234"/>
      <c r="EEU10" s="2234"/>
      <c r="EEV10" s="2234"/>
      <c r="EEW10" s="2234"/>
      <c r="EEX10" s="2234"/>
      <c r="EEY10" s="2234"/>
      <c r="EEZ10" s="2234"/>
      <c r="EFA10" s="2234"/>
      <c r="EFB10" s="2234"/>
      <c r="EFC10" s="2234"/>
      <c r="EFD10" s="2234"/>
      <c r="EFE10" s="2234"/>
      <c r="EFF10" s="2234"/>
      <c r="EFG10" s="2234"/>
      <c r="EFH10" s="2234"/>
      <c r="EFI10" s="2234"/>
      <c r="EFJ10" s="2234"/>
      <c r="EFK10" s="2234"/>
      <c r="EFL10" s="2234"/>
      <c r="EFM10" s="2234"/>
      <c r="EFN10" s="2234"/>
      <c r="EFO10" s="2234"/>
      <c r="EFP10" s="2234"/>
      <c r="EFQ10" s="2234"/>
      <c r="EFR10" s="2234"/>
      <c r="EFS10" s="2234"/>
      <c r="EFT10" s="2234"/>
      <c r="EFU10" s="2234"/>
      <c r="EFV10" s="2234"/>
      <c r="EFW10" s="2234"/>
      <c r="EFX10" s="2234"/>
      <c r="EFY10" s="2234"/>
      <c r="EFZ10" s="2234"/>
      <c r="EGA10" s="2234"/>
      <c r="EGB10" s="2234"/>
      <c r="EGC10" s="2234"/>
      <c r="EGD10" s="2234"/>
      <c r="EGE10" s="2234"/>
      <c r="EGF10" s="2234"/>
      <c r="EGG10" s="2234"/>
      <c r="EGH10" s="2234"/>
      <c r="EGI10" s="2234"/>
      <c r="EGJ10" s="2234"/>
      <c r="EGK10" s="2234"/>
      <c r="EGL10" s="2234"/>
      <c r="EGM10" s="2234"/>
      <c r="EGN10" s="2234"/>
      <c r="EGO10" s="2234"/>
      <c r="EGP10" s="2234"/>
      <c r="EGQ10" s="2234"/>
      <c r="EGR10" s="2234"/>
      <c r="EGS10" s="2234"/>
      <c r="EGT10" s="2234"/>
      <c r="EGU10" s="2234"/>
      <c r="EGV10" s="2234"/>
      <c r="EGW10" s="2234"/>
      <c r="EGX10" s="2234"/>
      <c r="EGY10" s="2234"/>
      <c r="EGZ10" s="2234"/>
      <c r="EHA10" s="2234"/>
      <c r="EHB10" s="2234"/>
      <c r="EHC10" s="2234"/>
      <c r="EHD10" s="2234"/>
      <c r="EHE10" s="2234"/>
      <c r="EHF10" s="2234"/>
      <c r="EHG10" s="2234"/>
      <c r="EHH10" s="2234"/>
      <c r="EHI10" s="2234"/>
      <c r="EHJ10" s="2234"/>
      <c r="EHK10" s="2234"/>
      <c r="EHL10" s="2234"/>
      <c r="EHM10" s="2234"/>
      <c r="EHN10" s="2234"/>
      <c r="EHO10" s="2234"/>
      <c r="EHP10" s="2234"/>
      <c r="EHQ10" s="2234"/>
      <c r="EHR10" s="2234"/>
      <c r="EHS10" s="2234"/>
      <c r="EHT10" s="2234"/>
      <c r="EHU10" s="2234"/>
      <c r="EHV10" s="2234"/>
      <c r="EHW10" s="2234"/>
      <c r="EHX10" s="2234"/>
      <c r="EHY10" s="2234"/>
      <c r="EHZ10" s="2234"/>
      <c r="EIA10" s="2234"/>
      <c r="EIB10" s="2234"/>
      <c r="EIC10" s="2234"/>
      <c r="EID10" s="2234"/>
      <c r="EIE10" s="2234"/>
      <c r="EIF10" s="2234"/>
      <c r="EIG10" s="2234"/>
      <c r="EIH10" s="2234"/>
      <c r="EII10" s="2234"/>
      <c r="EIJ10" s="2234"/>
      <c r="EIK10" s="2234"/>
      <c r="EIL10" s="2234"/>
      <c r="EIM10" s="2234"/>
      <c r="EIN10" s="2234"/>
      <c r="EIO10" s="2234"/>
      <c r="EIP10" s="2234"/>
      <c r="EIQ10" s="2234"/>
      <c r="EIR10" s="2234"/>
      <c r="EIS10" s="2234"/>
      <c r="EIT10" s="2234"/>
      <c r="EIU10" s="2234"/>
      <c r="EIV10" s="2234"/>
      <c r="EIW10" s="2234"/>
      <c r="EIX10" s="2234"/>
      <c r="EIY10" s="2234"/>
      <c r="EIZ10" s="2234"/>
      <c r="EJA10" s="2234"/>
      <c r="EJB10" s="2234"/>
      <c r="EJC10" s="2234"/>
      <c r="EJD10" s="2234"/>
      <c r="EJE10" s="2234"/>
      <c r="EJF10" s="2234"/>
      <c r="EJG10" s="2234"/>
      <c r="EJH10" s="2234"/>
      <c r="EJI10" s="2234"/>
      <c r="EJJ10" s="2234"/>
      <c r="EJK10" s="2234"/>
      <c r="EJL10" s="2234"/>
      <c r="EJM10" s="2234"/>
      <c r="EJN10" s="2234"/>
      <c r="EJO10" s="2234"/>
      <c r="EJP10" s="2234"/>
      <c r="EJQ10" s="2234"/>
      <c r="EJR10" s="2234"/>
      <c r="EJS10" s="2234"/>
      <c r="EJT10" s="2234"/>
      <c r="EJU10" s="2234"/>
      <c r="EJV10" s="2234"/>
      <c r="EJW10" s="2234"/>
      <c r="EJX10" s="2234"/>
      <c r="EJY10" s="2234"/>
      <c r="EJZ10" s="2234"/>
      <c r="EKA10" s="2234"/>
      <c r="EKB10" s="2234"/>
      <c r="EKC10" s="2234"/>
      <c r="EKD10" s="2234"/>
      <c r="EKE10" s="2234"/>
      <c r="EKF10" s="2234"/>
      <c r="EKG10" s="2234"/>
      <c r="EKH10" s="2234"/>
      <c r="EKI10" s="2234"/>
      <c r="EKJ10" s="2234"/>
      <c r="EKK10" s="2234"/>
      <c r="EKL10" s="2234"/>
      <c r="EKM10" s="2234"/>
      <c r="EKN10" s="2234"/>
      <c r="EKO10" s="2234"/>
      <c r="EKP10" s="2234"/>
      <c r="EKQ10" s="2234"/>
      <c r="EKR10" s="2234"/>
      <c r="EKS10" s="2234"/>
      <c r="EKT10" s="2234"/>
      <c r="EKU10" s="2234"/>
      <c r="EKV10" s="2234"/>
      <c r="EKW10" s="2234"/>
      <c r="EKX10" s="2234"/>
      <c r="EKY10" s="2234"/>
      <c r="EKZ10" s="2234"/>
      <c r="ELA10" s="2234"/>
      <c r="ELB10" s="2234"/>
      <c r="ELC10" s="2234"/>
      <c r="ELD10" s="2234"/>
      <c r="ELE10" s="2234"/>
      <c r="ELF10" s="2234"/>
      <c r="ELG10" s="2234"/>
      <c r="ELH10" s="2234"/>
      <c r="ELI10" s="2234"/>
      <c r="ELJ10" s="2234"/>
      <c r="ELK10" s="2234"/>
      <c r="ELL10" s="2234"/>
      <c r="ELM10" s="2234"/>
      <c r="ELN10" s="2234"/>
      <c r="ELO10" s="2234"/>
      <c r="ELP10" s="2234"/>
      <c r="ELQ10" s="2234"/>
      <c r="ELR10" s="2234"/>
      <c r="ELS10" s="2234"/>
      <c r="ELT10" s="2234"/>
      <c r="ELU10" s="2234"/>
      <c r="ELV10" s="2234"/>
      <c r="ELW10" s="2234"/>
      <c r="ELX10" s="2234"/>
      <c r="ELY10" s="2234"/>
      <c r="ELZ10" s="2234"/>
      <c r="EMA10" s="2234"/>
      <c r="EMB10" s="2234"/>
      <c r="EMC10" s="2234"/>
      <c r="EMD10" s="2234"/>
      <c r="EME10" s="2234"/>
      <c r="EMF10" s="2234"/>
      <c r="EMG10" s="2234"/>
      <c r="EMH10" s="2234"/>
      <c r="EMI10" s="2234"/>
      <c r="EMJ10" s="2234"/>
      <c r="EMK10" s="2234"/>
      <c r="EML10" s="2234"/>
      <c r="EMM10" s="2234"/>
      <c r="EMN10" s="2234"/>
      <c r="EMO10" s="2234"/>
      <c r="EMP10" s="2234"/>
      <c r="EMQ10" s="2234"/>
      <c r="EMR10" s="2234"/>
      <c r="EMS10" s="2234"/>
      <c r="EMT10" s="2234"/>
      <c r="EMU10" s="2234"/>
      <c r="EMV10" s="2234"/>
      <c r="EMW10" s="2234"/>
      <c r="EMX10" s="2234"/>
      <c r="EMY10" s="2234"/>
      <c r="EMZ10" s="2234"/>
      <c r="ENA10" s="2234"/>
      <c r="ENB10" s="2234"/>
      <c r="ENC10" s="2234"/>
      <c r="END10" s="2234"/>
      <c r="ENE10" s="2234"/>
      <c r="ENF10" s="2234"/>
      <c r="ENG10" s="2234"/>
      <c r="ENH10" s="2234"/>
      <c r="ENI10" s="2234"/>
      <c r="ENJ10" s="2234"/>
      <c r="ENK10" s="2234"/>
      <c r="ENL10" s="2234"/>
      <c r="ENM10" s="2234"/>
      <c r="ENN10" s="2234"/>
      <c r="ENO10" s="2234"/>
      <c r="ENP10" s="2234"/>
      <c r="ENQ10" s="2234"/>
      <c r="ENR10" s="2234"/>
      <c r="ENS10" s="2234"/>
      <c r="ENT10" s="2234"/>
      <c r="ENU10" s="2234"/>
      <c r="ENV10" s="2234"/>
      <c r="ENW10" s="2234"/>
      <c r="ENX10" s="2234"/>
      <c r="ENY10" s="2234"/>
      <c r="ENZ10" s="2234"/>
      <c r="EOA10" s="2234"/>
      <c r="EOB10" s="2234"/>
      <c r="EOC10" s="2234"/>
      <c r="EOD10" s="2234"/>
      <c r="EOE10" s="2234"/>
      <c r="EOF10" s="2234"/>
      <c r="EOG10" s="2234"/>
      <c r="EOH10" s="2234"/>
      <c r="EOI10" s="2234"/>
      <c r="EOJ10" s="2234"/>
      <c r="EOK10" s="2234"/>
      <c r="EOL10" s="2234"/>
      <c r="EOM10" s="2234"/>
      <c r="EON10" s="2234"/>
      <c r="EOO10" s="2234"/>
      <c r="EOP10" s="2234"/>
      <c r="EOQ10" s="2234"/>
      <c r="EOR10" s="2234"/>
      <c r="EOS10" s="2234"/>
      <c r="EOT10" s="2234"/>
      <c r="EOU10" s="2234"/>
      <c r="EOV10" s="2234"/>
      <c r="EOW10" s="2234"/>
      <c r="EOX10" s="2234"/>
      <c r="EOY10" s="2234"/>
      <c r="EOZ10" s="2234"/>
      <c r="EPA10" s="2234"/>
      <c r="EPB10" s="2234"/>
      <c r="EPC10" s="2234"/>
      <c r="EPD10" s="2234"/>
      <c r="EPE10" s="2234"/>
      <c r="EPF10" s="2234"/>
      <c r="EPG10" s="2234"/>
      <c r="EPH10" s="2234"/>
      <c r="EPI10" s="2234"/>
      <c r="EPJ10" s="2234"/>
      <c r="EPK10" s="2234"/>
      <c r="EPL10" s="2234"/>
      <c r="EPM10" s="2234"/>
      <c r="EPN10" s="2234"/>
      <c r="EPO10" s="2234"/>
      <c r="EPP10" s="2234"/>
      <c r="EPQ10" s="2234"/>
      <c r="EPR10" s="2234"/>
      <c r="EPS10" s="2234"/>
      <c r="EPT10" s="2234"/>
      <c r="EPU10" s="2234"/>
      <c r="EPV10" s="2234"/>
      <c r="EPW10" s="2234"/>
      <c r="EPX10" s="2234"/>
      <c r="EPY10" s="2234"/>
      <c r="EPZ10" s="2234"/>
      <c r="EQA10" s="2234"/>
      <c r="EQB10" s="2234"/>
      <c r="EQC10" s="2234"/>
      <c r="EQD10" s="2234"/>
      <c r="EQE10" s="2234"/>
      <c r="EQF10" s="2234"/>
      <c r="EQG10" s="2234"/>
      <c r="EQH10" s="2234"/>
      <c r="EQI10" s="2234"/>
      <c r="EQJ10" s="2234"/>
      <c r="EQK10" s="2234"/>
      <c r="EQL10" s="2234"/>
      <c r="EQM10" s="2234"/>
      <c r="EQN10" s="2234"/>
      <c r="EQO10" s="2234"/>
      <c r="EQP10" s="2234"/>
      <c r="EQQ10" s="2234"/>
      <c r="EQR10" s="2234"/>
      <c r="EQS10" s="2234"/>
      <c r="EQT10" s="2234"/>
      <c r="EQU10" s="2234"/>
      <c r="EQV10" s="2234"/>
      <c r="EQW10" s="2234"/>
      <c r="EQX10" s="2234"/>
      <c r="EQY10" s="2234"/>
      <c r="EQZ10" s="2234"/>
      <c r="ERA10" s="2234"/>
      <c r="ERB10" s="2234"/>
      <c r="ERC10" s="2234"/>
      <c r="ERD10" s="2234"/>
      <c r="ERE10" s="2234"/>
      <c r="ERF10" s="2234"/>
      <c r="ERG10" s="2234"/>
      <c r="ERH10" s="2234"/>
      <c r="ERI10" s="2234"/>
      <c r="ERJ10" s="2234"/>
      <c r="ERK10" s="2234"/>
      <c r="ERL10" s="2234"/>
      <c r="ERM10" s="2234"/>
      <c r="ERN10" s="2234"/>
      <c r="ERO10" s="2234"/>
      <c r="ERP10" s="2234"/>
      <c r="ERQ10" s="2234"/>
      <c r="ERR10" s="2234"/>
      <c r="ERS10" s="2234"/>
      <c r="ERT10" s="2234"/>
      <c r="ERU10" s="2234"/>
      <c r="ERV10" s="2234"/>
      <c r="ERW10" s="2234"/>
      <c r="ERX10" s="2234"/>
      <c r="ERY10" s="2234"/>
      <c r="ERZ10" s="2234"/>
      <c r="ESA10" s="2234"/>
      <c r="ESB10" s="2234"/>
      <c r="ESC10" s="2234"/>
      <c r="ESD10" s="2234"/>
      <c r="ESE10" s="2234"/>
      <c r="ESF10" s="2234"/>
      <c r="ESG10" s="2234"/>
      <c r="ESH10" s="2234"/>
      <c r="ESI10" s="2234"/>
      <c r="ESJ10" s="2234"/>
      <c r="ESK10" s="2234"/>
      <c r="ESL10" s="2234"/>
      <c r="ESM10" s="2234"/>
      <c r="ESN10" s="2234"/>
      <c r="ESO10" s="2234"/>
      <c r="ESP10" s="2234"/>
      <c r="ESQ10" s="2234"/>
      <c r="ESR10" s="2234"/>
      <c r="ESS10" s="2234"/>
      <c r="EST10" s="2234"/>
      <c r="ESU10" s="2234"/>
      <c r="ESV10" s="2234"/>
      <c r="ESW10" s="2234"/>
      <c r="ESX10" s="2234"/>
      <c r="ESY10" s="2234"/>
      <c r="ESZ10" s="2234"/>
      <c r="ETA10" s="2234"/>
      <c r="ETB10" s="2234"/>
      <c r="ETC10" s="2234"/>
      <c r="ETD10" s="2234"/>
      <c r="ETE10" s="2234"/>
      <c r="ETF10" s="2234"/>
      <c r="ETG10" s="2234"/>
      <c r="ETH10" s="2234"/>
      <c r="ETI10" s="2234"/>
      <c r="ETJ10" s="2234"/>
      <c r="ETK10" s="2234"/>
      <c r="ETL10" s="2234"/>
      <c r="ETM10" s="2234"/>
      <c r="ETN10" s="2234"/>
      <c r="ETO10" s="2234"/>
      <c r="ETP10" s="2234"/>
      <c r="ETQ10" s="2234"/>
      <c r="ETR10" s="2234"/>
      <c r="ETS10" s="2234"/>
      <c r="ETT10" s="2234"/>
      <c r="ETU10" s="2234"/>
      <c r="ETV10" s="2234"/>
      <c r="ETW10" s="2234"/>
      <c r="ETX10" s="2234"/>
      <c r="ETY10" s="2234"/>
      <c r="ETZ10" s="2234"/>
      <c r="EUA10" s="2234"/>
      <c r="EUB10" s="2234"/>
      <c r="EUC10" s="2234"/>
      <c r="EUD10" s="2234"/>
      <c r="EUE10" s="2234"/>
      <c r="EUF10" s="2234"/>
      <c r="EUG10" s="2234"/>
      <c r="EUH10" s="2234"/>
      <c r="EUI10" s="2234"/>
      <c r="EUJ10" s="2234"/>
      <c r="EUK10" s="2234"/>
      <c r="EUL10" s="2234"/>
      <c r="EUM10" s="2234"/>
      <c r="EUN10" s="2234"/>
      <c r="EUO10" s="2234"/>
      <c r="EUP10" s="2234"/>
      <c r="EUQ10" s="2234"/>
      <c r="EUR10" s="2234"/>
      <c r="EUS10" s="2234"/>
      <c r="EUT10" s="2234"/>
      <c r="EUU10" s="2234"/>
      <c r="EUV10" s="2234"/>
      <c r="EUW10" s="2234"/>
      <c r="EUX10" s="2234"/>
      <c r="EUY10" s="2234"/>
      <c r="EUZ10" s="2234"/>
      <c r="EVA10" s="2234"/>
      <c r="EVB10" s="2234"/>
      <c r="EVC10" s="2234"/>
      <c r="EVD10" s="2234"/>
      <c r="EVE10" s="2234"/>
      <c r="EVF10" s="2234"/>
      <c r="EVG10" s="2234"/>
      <c r="EVH10" s="2234"/>
      <c r="EVI10" s="2234"/>
      <c r="EVJ10" s="2234"/>
      <c r="EVK10" s="2234"/>
      <c r="EVL10" s="2234"/>
      <c r="EVM10" s="2234"/>
      <c r="EVN10" s="2234"/>
      <c r="EVO10" s="2234"/>
      <c r="EVP10" s="2234"/>
      <c r="EVQ10" s="2234"/>
      <c r="EVR10" s="2234"/>
      <c r="EVS10" s="2234"/>
      <c r="EVT10" s="2234"/>
      <c r="EVU10" s="2234"/>
      <c r="EVV10" s="2234"/>
      <c r="EVW10" s="2234"/>
      <c r="EVX10" s="2234"/>
      <c r="EVY10" s="2234"/>
      <c r="EVZ10" s="2234"/>
      <c r="EWA10" s="2234"/>
      <c r="EWB10" s="2234"/>
      <c r="EWC10" s="2234"/>
      <c r="EWD10" s="2234"/>
      <c r="EWE10" s="2234"/>
      <c r="EWF10" s="2234"/>
      <c r="EWG10" s="2234"/>
      <c r="EWH10" s="2234"/>
      <c r="EWI10" s="2234"/>
      <c r="EWJ10" s="2234"/>
      <c r="EWK10" s="2234"/>
      <c r="EWL10" s="2234"/>
      <c r="EWM10" s="2234"/>
      <c r="EWN10" s="2234"/>
      <c r="EWO10" s="2234"/>
      <c r="EWP10" s="2234"/>
      <c r="EWQ10" s="2234"/>
      <c r="EWR10" s="2234"/>
      <c r="EWS10" s="2234"/>
      <c r="EWT10" s="2234"/>
      <c r="EWU10" s="2234"/>
      <c r="EWV10" s="2234"/>
      <c r="EWW10" s="2234"/>
      <c r="EWX10" s="2234"/>
      <c r="EWY10" s="2234"/>
      <c r="EWZ10" s="2234"/>
      <c r="EXA10" s="2234"/>
      <c r="EXB10" s="2234"/>
      <c r="EXC10" s="2234"/>
      <c r="EXD10" s="2234"/>
      <c r="EXE10" s="2234"/>
      <c r="EXF10" s="2234"/>
      <c r="EXG10" s="2234"/>
      <c r="EXH10" s="2234"/>
      <c r="EXI10" s="2234"/>
      <c r="EXJ10" s="2234"/>
      <c r="EXK10" s="2234"/>
      <c r="EXL10" s="2234"/>
      <c r="EXM10" s="2234"/>
      <c r="EXN10" s="2234"/>
      <c r="EXO10" s="2234"/>
      <c r="EXP10" s="2234"/>
      <c r="EXQ10" s="2234"/>
      <c r="EXR10" s="2234"/>
      <c r="EXS10" s="2234"/>
      <c r="EXT10" s="2234"/>
      <c r="EXU10" s="2234"/>
      <c r="EXV10" s="2234"/>
      <c r="EXW10" s="2234"/>
      <c r="EXX10" s="2234"/>
      <c r="EXY10" s="2234"/>
      <c r="EXZ10" s="2234"/>
      <c r="EYA10" s="2234"/>
      <c r="EYB10" s="2234"/>
      <c r="EYC10" s="2234"/>
      <c r="EYD10" s="2234"/>
      <c r="EYE10" s="2234"/>
      <c r="EYF10" s="2234"/>
      <c r="EYG10" s="2234"/>
      <c r="EYH10" s="2234"/>
      <c r="EYI10" s="2234"/>
      <c r="EYJ10" s="2234"/>
      <c r="EYK10" s="2234"/>
      <c r="EYL10" s="2234"/>
      <c r="EYM10" s="2234"/>
      <c r="EYN10" s="2234"/>
      <c r="EYO10" s="2234"/>
      <c r="EYP10" s="2234"/>
      <c r="EYQ10" s="2234"/>
      <c r="EYR10" s="2234"/>
      <c r="EYS10" s="2234"/>
      <c r="EYT10" s="2234"/>
      <c r="EYU10" s="2234"/>
      <c r="EYV10" s="2234"/>
      <c r="EYW10" s="2234"/>
      <c r="EYX10" s="2234"/>
      <c r="EYY10" s="2234"/>
      <c r="EYZ10" s="2234"/>
      <c r="EZA10" s="2234"/>
      <c r="EZB10" s="2234"/>
      <c r="EZC10" s="2234"/>
      <c r="EZD10" s="2234"/>
      <c r="EZE10" s="2234"/>
      <c r="EZF10" s="2234"/>
      <c r="EZG10" s="2234"/>
      <c r="EZH10" s="2234"/>
      <c r="EZI10" s="2234"/>
      <c r="EZJ10" s="2234"/>
      <c r="EZK10" s="2234"/>
      <c r="EZL10" s="2234"/>
      <c r="EZM10" s="2234"/>
      <c r="EZN10" s="2234"/>
      <c r="EZO10" s="2234"/>
      <c r="EZP10" s="2234"/>
      <c r="EZQ10" s="2234"/>
      <c r="EZR10" s="2234"/>
      <c r="EZS10" s="2234"/>
      <c r="EZT10" s="2234"/>
      <c r="EZU10" s="2234"/>
      <c r="EZV10" s="2234"/>
      <c r="EZW10" s="2234"/>
      <c r="EZX10" s="2234"/>
      <c r="EZY10" s="2234"/>
      <c r="EZZ10" s="2234"/>
      <c r="FAA10" s="2234"/>
      <c r="FAB10" s="2234"/>
      <c r="FAC10" s="2234"/>
      <c r="FAD10" s="2234"/>
      <c r="FAE10" s="2234"/>
      <c r="FAF10" s="2234"/>
      <c r="FAG10" s="2234"/>
      <c r="FAH10" s="2234"/>
      <c r="FAI10" s="2234"/>
      <c r="FAJ10" s="2234"/>
      <c r="FAK10" s="2234"/>
      <c r="FAL10" s="2234"/>
      <c r="FAM10" s="2234"/>
      <c r="FAN10" s="2234"/>
      <c r="FAO10" s="2234"/>
      <c r="FAP10" s="2234"/>
      <c r="FAQ10" s="2234"/>
      <c r="FAR10" s="2234"/>
      <c r="FAS10" s="2234"/>
      <c r="FAT10" s="2234"/>
      <c r="FAU10" s="2234"/>
      <c r="FAV10" s="2234"/>
      <c r="FAW10" s="2234"/>
      <c r="FAX10" s="2234"/>
      <c r="FAY10" s="2234"/>
      <c r="FAZ10" s="2234"/>
      <c r="FBA10" s="2234"/>
      <c r="FBB10" s="2234"/>
      <c r="FBC10" s="2234"/>
      <c r="FBD10" s="2234"/>
      <c r="FBE10" s="2234"/>
      <c r="FBF10" s="2234"/>
      <c r="FBG10" s="2234"/>
      <c r="FBH10" s="2234"/>
      <c r="FBI10" s="2234"/>
      <c r="FBJ10" s="2234"/>
      <c r="FBK10" s="2234"/>
      <c r="FBL10" s="2234"/>
      <c r="FBM10" s="2234"/>
      <c r="FBN10" s="2234"/>
      <c r="FBO10" s="2234"/>
      <c r="FBP10" s="2234"/>
      <c r="FBQ10" s="2234"/>
      <c r="FBR10" s="2234"/>
      <c r="FBS10" s="2234"/>
      <c r="FBT10" s="2234"/>
      <c r="FBU10" s="2234"/>
      <c r="FBV10" s="2234"/>
      <c r="FBW10" s="2234"/>
      <c r="FBX10" s="2234"/>
      <c r="FBY10" s="2234"/>
      <c r="FBZ10" s="2234"/>
      <c r="FCA10" s="2234"/>
      <c r="FCB10" s="2234"/>
      <c r="FCC10" s="2234"/>
      <c r="FCD10" s="2234"/>
      <c r="FCE10" s="2234"/>
      <c r="FCF10" s="2234"/>
      <c r="FCG10" s="2234"/>
      <c r="FCH10" s="2234"/>
      <c r="FCI10" s="2234"/>
      <c r="FCJ10" s="2234"/>
      <c r="FCK10" s="2234"/>
      <c r="FCL10" s="2234"/>
      <c r="FCM10" s="2234"/>
      <c r="FCN10" s="2234"/>
      <c r="FCO10" s="2234"/>
      <c r="FCP10" s="2234"/>
      <c r="FCQ10" s="2234"/>
      <c r="FCR10" s="2234"/>
      <c r="FCS10" s="2234"/>
      <c r="FCT10" s="2234"/>
      <c r="FCU10" s="2234"/>
      <c r="FCV10" s="2234"/>
      <c r="FCW10" s="2234"/>
      <c r="FCX10" s="2234"/>
      <c r="FCY10" s="2234"/>
      <c r="FCZ10" s="2234"/>
      <c r="FDA10" s="2234"/>
      <c r="FDB10" s="2234"/>
      <c r="FDC10" s="2234"/>
      <c r="FDD10" s="2234"/>
      <c r="FDE10" s="2234"/>
      <c r="FDF10" s="2234"/>
      <c r="FDG10" s="2234"/>
      <c r="FDH10" s="2234"/>
      <c r="FDI10" s="2234"/>
      <c r="FDJ10" s="2234"/>
      <c r="FDK10" s="2234"/>
      <c r="FDL10" s="2234"/>
      <c r="FDM10" s="2234"/>
      <c r="FDN10" s="2234"/>
      <c r="FDO10" s="2234"/>
      <c r="FDP10" s="2234"/>
      <c r="FDQ10" s="2234"/>
      <c r="FDR10" s="2234"/>
      <c r="FDS10" s="2234"/>
      <c r="FDT10" s="2234"/>
      <c r="FDU10" s="2234"/>
      <c r="FDV10" s="2234"/>
      <c r="FDW10" s="2234"/>
      <c r="FDX10" s="2234"/>
      <c r="FDY10" s="2234"/>
      <c r="FDZ10" s="2234"/>
      <c r="FEA10" s="2234"/>
      <c r="FEB10" s="2234"/>
      <c r="FEC10" s="2234"/>
      <c r="FED10" s="2234"/>
      <c r="FEE10" s="2234"/>
      <c r="FEF10" s="2234"/>
      <c r="FEG10" s="2234"/>
      <c r="FEH10" s="2234"/>
      <c r="FEI10" s="2234"/>
      <c r="FEJ10" s="2234"/>
      <c r="FEK10" s="2234"/>
      <c r="FEL10" s="2234"/>
      <c r="FEM10" s="2234"/>
      <c r="FEN10" s="2234"/>
      <c r="FEO10" s="2234"/>
      <c r="FEP10" s="2234"/>
      <c r="FEQ10" s="2234"/>
      <c r="FER10" s="2234"/>
      <c r="FES10" s="2234"/>
      <c r="FET10" s="2234"/>
      <c r="FEU10" s="2234"/>
      <c r="FEV10" s="2234"/>
      <c r="FEW10" s="2234"/>
      <c r="FEX10" s="2234"/>
      <c r="FEY10" s="2234"/>
      <c r="FEZ10" s="2234"/>
      <c r="FFA10" s="2234"/>
      <c r="FFB10" s="2234"/>
      <c r="FFC10" s="2234"/>
      <c r="FFD10" s="2234"/>
      <c r="FFE10" s="2234"/>
      <c r="FFF10" s="2234"/>
      <c r="FFG10" s="2234"/>
      <c r="FFH10" s="2234"/>
      <c r="FFI10" s="2234"/>
      <c r="FFJ10" s="2234"/>
      <c r="FFK10" s="2234"/>
      <c r="FFL10" s="2234"/>
      <c r="FFM10" s="2234"/>
      <c r="FFN10" s="2234"/>
      <c r="FFO10" s="2234"/>
      <c r="FFP10" s="2234"/>
      <c r="FFQ10" s="2234"/>
      <c r="FFR10" s="2234"/>
      <c r="FFS10" s="2234"/>
      <c r="FFT10" s="2234"/>
      <c r="FFU10" s="2234"/>
      <c r="FFV10" s="2234"/>
      <c r="FFW10" s="2234"/>
      <c r="FFX10" s="2234"/>
      <c r="FFY10" s="2234"/>
      <c r="FFZ10" s="2234"/>
      <c r="FGA10" s="2234"/>
      <c r="FGB10" s="2234"/>
      <c r="FGC10" s="2234"/>
      <c r="FGD10" s="2234"/>
      <c r="FGE10" s="2234"/>
      <c r="FGF10" s="2234"/>
      <c r="FGG10" s="2234"/>
      <c r="FGH10" s="2234"/>
      <c r="FGI10" s="2234"/>
      <c r="FGJ10" s="2234"/>
      <c r="FGK10" s="2234"/>
      <c r="FGL10" s="2234"/>
      <c r="FGM10" s="2234"/>
      <c r="FGN10" s="2234"/>
      <c r="FGO10" s="2234"/>
      <c r="FGP10" s="2234"/>
      <c r="FGQ10" s="2234"/>
      <c r="FGR10" s="2234"/>
      <c r="FGS10" s="2234"/>
      <c r="FGT10" s="2234"/>
      <c r="FGU10" s="2234"/>
      <c r="FGV10" s="2234"/>
      <c r="FGW10" s="2234"/>
      <c r="FGX10" s="2234"/>
      <c r="FGY10" s="2234"/>
      <c r="FGZ10" s="2234"/>
      <c r="FHA10" s="2234"/>
      <c r="FHB10" s="2234"/>
      <c r="FHC10" s="2234"/>
      <c r="FHD10" s="2234"/>
      <c r="FHE10" s="2234"/>
      <c r="FHF10" s="2234"/>
      <c r="FHG10" s="2234"/>
      <c r="FHH10" s="2234"/>
      <c r="FHI10" s="2234"/>
      <c r="FHJ10" s="2234"/>
      <c r="FHK10" s="2234"/>
      <c r="FHL10" s="2234"/>
      <c r="FHM10" s="2234"/>
      <c r="FHN10" s="2234"/>
      <c r="FHO10" s="2234"/>
      <c r="FHP10" s="2234"/>
      <c r="FHQ10" s="2234"/>
      <c r="FHR10" s="2234"/>
      <c r="FHS10" s="2234"/>
      <c r="FHT10" s="2234"/>
      <c r="FHU10" s="2234"/>
      <c r="FHV10" s="2234"/>
      <c r="FHW10" s="2234"/>
      <c r="FHX10" s="2234"/>
      <c r="FHY10" s="2234"/>
      <c r="FHZ10" s="2234"/>
      <c r="FIA10" s="2234"/>
      <c r="FIB10" s="2234"/>
      <c r="FIC10" s="2234"/>
      <c r="FID10" s="2234"/>
      <c r="FIE10" s="2234"/>
      <c r="FIF10" s="2234"/>
      <c r="FIG10" s="2234"/>
      <c r="FIH10" s="2234"/>
      <c r="FII10" s="2234"/>
      <c r="FIJ10" s="2234"/>
      <c r="FIK10" s="2234"/>
      <c r="FIL10" s="2234"/>
      <c r="FIM10" s="2234"/>
      <c r="FIN10" s="2234"/>
      <c r="FIO10" s="2234"/>
      <c r="FIP10" s="2234"/>
      <c r="FIQ10" s="2234"/>
      <c r="FIR10" s="2234"/>
      <c r="FIS10" s="2234"/>
      <c r="FIT10" s="2234"/>
      <c r="FIU10" s="2234"/>
      <c r="FIV10" s="2234"/>
      <c r="FIW10" s="2234"/>
      <c r="FIX10" s="2234"/>
      <c r="FIY10" s="2234"/>
      <c r="FIZ10" s="2234"/>
      <c r="FJA10" s="2234"/>
      <c r="FJB10" s="2234"/>
      <c r="FJC10" s="2234"/>
      <c r="FJD10" s="2234"/>
      <c r="FJE10" s="2234"/>
      <c r="FJF10" s="2234"/>
      <c r="FJG10" s="2234"/>
      <c r="FJH10" s="2234"/>
      <c r="FJI10" s="2234"/>
      <c r="FJJ10" s="2234"/>
      <c r="FJK10" s="2234"/>
      <c r="FJL10" s="2234"/>
      <c r="FJM10" s="2234"/>
      <c r="FJN10" s="2234"/>
      <c r="FJO10" s="2234"/>
      <c r="FJP10" s="2234"/>
      <c r="FJQ10" s="2234"/>
      <c r="FJR10" s="2234"/>
      <c r="FJS10" s="2234"/>
      <c r="FJT10" s="2234"/>
      <c r="FJU10" s="2234"/>
      <c r="FJV10" s="2234"/>
      <c r="FJW10" s="2234"/>
      <c r="FJX10" s="2234"/>
      <c r="FJY10" s="2234"/>
      <c r="FJZ10" s="2234"/>
      <c r="FKA10" s="2234"/>
      <c r="FKB10" s="2234"/>
      <c r="FKC10" s="2234"/>
      <c r="FKD10" s="2234"/>
      <c r="FKE10" s="2234"/>
      <c r="FKF10" s="2234"/>
      <c r="FKG10" s="2234"/>
      <c r="FKH10" s="2234"/>
      <c r="FKI10" s="2234"/>
      <c r="FKJ10" s="2234"/>
      <c r="FKK10" s="2234"/>
      <c r="FKL10" s="2234"/>
      <c r="FKM10" s="2234"/>
      <c r="FKN10" s="2234"/>
      <c r="FKO10" s="2234"/>
      <c r="FKP10" s="2234"/>
      <c r="FKQ10" s="2234"/>
      <c r="FKR10" s="2234"/>
      <c r="FKS10" s="2234"/>
      <c r="FKT10" s="2234"/>
      <c r="FKU10" s="2234"/>
      <c r="FKV10" s="2234"/>
      <c r="FKW10" s="2234"/>
      <c r="FKX10" s="2234"/>
      <c r="FKY10" s="2234"/>
      <c r="FKZ10" s="2234"/>
      <c r="FLA10" s="2234"/>
      <c r="FLB10" s="2234"/>
      <c r="FLC10" s="2234"/>
      <c r="FLD10" s="2234"/>
      <c r="FLE10" s="2234"/>
      <c r="FLF10" s="2234"/>
      <c r="FLG10" s="2234"/>
      <c r="FLH10" s="2234"/>
      <c r="FLI10" s="2234"/>
      <c r="FLJ10" s="2234"/>
      <c r="FLK10" s="2234"/>
      <c r="FLL10" s="2234"/>
      <c r="FLM10" s="2234"/>
      <c r="FLN10" s="2234"/>
      <c r="FLO10" s="2234"/>
      <c r="FLP10" s="2234"/>
      <c r="FLQ10" s="2234"/>
      <c r="FLR10" s="2234"/>
      <c r="FLS10" s="2234"/>
      <c r="FLT10" s="2234"/>
      <c r="FLU10" s="2234"/>
      <c r="FLV10" s="2234"/>
      <c r="FLW10" s="2234"/>
      <c r="FLX10" s="2234"/>
      <c r="FLY10" s="2234"/>
      <c r="FLZ10" s="2234"/>
      <c r="FMA10" s="2234"/>
      <c r="FMB10" s="2234"/>
      <c r="FMC10" s="2234"/>
      <c r="FMD10" s="2234"/>
      <c r="FME10" s="2234"/>
      <c r="FMF10" s="2234"/>
      <c r="FMG10" s="2234"/>
      <c r="FMH10" s="2234"/>
      <c r="FMI10" s="2234"/>
      <c r="FMJ10" s="2234"/>
      <c r="FMK10" s="2234"/>
      <c r="FML10" s="2234"/>
      <c r="FMM10" s="2234"/>
      <c r="FMN10" s="2234"/>
      <c r="FMO10" s="2234"/>
      <c r="FMP10" s="2234"/>
      <c r="FMQ10" s="2234"/>
      <c r="FMR10" s="2234"/>
      <c r="FMS10" s="2234"/>
      <c r="FMT10" s="2234"/>
      <c r="FMU10" s="2234"/>
      <c r="FMV10" s="2234"/>
      <c r="FMW10" s="2234"/>
      <c r="FMX10" s="2234"/>
      <c r="FMY10" s="2234"/>
      <c r="FMZ10" s="2234"/>
      <c r="FNA10" s="2234"/>
      <c r="FNB10" s="2234"/>
      <c r="FNC10" s="2234"/>
      <c r="FND10" s="2234"/>
      <c r="FNE10" s="2234"/>
      <c r="FNF10" s="2234"/>
      <c r="FNG10" s="2234"/>
      <c r="FNH10" s="2234"/>
      <c r="FNI10" s="2234"/>
      <c r="FNJ10" s="2234"/>
      <c r="FNK10" s="2234"/>
      <c r="FNL10" s="2234"/>
      <c r="FNM10" s="2234"/>
      <c r="FNN10" s="2234"/>
      <c r="FNO10" s="2234"/>
      <c r="FNP10" s="2234"/>
      <c r="FNQ10" s="2234"/>
      <c r="FNR10" s="2234"/>
      <c r="FNS10" s="2234"/>
      <c r="FNT10" s="2234"/>
      <c r="FNU10" s="2234"/>
      <c r="FNV10" s="2234"/>
      <c r="FNW10" s="2234"/>
      <c r="FNX10" s="2234"/>
      <c r="FNY10" s="2234"/>
      <c r="FNZ10" s="2234"/>
      <c r="FOA10" s="2234"/>
      <c r="FOB10" s="2234"/>
      <c r="FOC10" s="2234"/>
      <c r="FOD10" s="2234"/>
      <c r="FOE10" s="2234"/>
      <c r="FOF10" s="2234"/>
      <c r="FOG10" s="2234"/>
      <c r="FOH10" s="2234"/>
      <c r="FOI10" s="2234"/>
      <c r="FOJ10" s="2234"/>
      <c r="FOK10" s="2234"/>
      <c r="FOL10" s="2234"/>
      <c r="FOM10" s="2234"/>
      <c r="FON10" s="2234"/>
      <c r="FOO10" s="2234"/>
      <c r="FOP10" s="2234"/>
      <c r="FOQ10" s="2234"/>
      <c r="FOR10" s="2234"/>
      <c r="FOS10" s="2234"/>
      <c r="FOT10" s="2234"/>
      <c r="FOU10" s="2234"/>
      <c r="FOV10" s="2234"/>
      <c r="FOW10" s="2234"/>
      <c r="FOX10" s="2234"/>
      <c r="FOY10" s="2234"/>
      <c r="FOZ10" s="2234"/>
      <c r="FPA10" s="2234"/>
      <c r="FPB10" s="2234"/>
      <c r="FPC10" s="2234"/>
      <c r="FPD10" s="2234"/>
      <c r="FPE10" s="2234"/>
      <c r="FPF10" s="2234"/>
      <c r="FPG10" s="2234"/>
      <c r="FPH10" s="2234"/>
      <c r="FPI10" s="2234"/>
      <c r="FPJ10" s="2234"/>
      <c r="FPK10" s="2234"/>
      <c r="FPL10" s="2234"/>
      <c r="FPM10" s="2234"/>
      <c r="FPN10" s="2234"/>
      <c r="FPO10" s="2234"/>
      <c r="FPP10" s="2234"/>
      <c r="FPQ10" s="2234"/>
      <c r="FPR10" s="2234"/>
      <c r="FPS10" s="2234"/>
      <c r="FPT10" s="2234"/>
      <c r="FPU10" s="2234"/>
      <c r="FPV10" s="2234"/>
      <c r="FPW10" s="2234"/>
      <c r="FPX10" s="2234"/>
      <c r="FPY10" s="2234"/>
      <c r="FPZ10" s="2234"/>
      <c r="FQA10" s="2234"/>
      <c r="FQB10" s="2234"/>
      <c r="FQC10" s="2234"/>
      <c r="FQD10" s="2234"/>
      <c r="FQE10" s="2234"/>
      <c r="FQF10" s="2234"/>
      <c r="FQG10" s="2234"/>
      <c r="FQH10" s="2234"/>
      <c r="FQI10" s="2234"/>
      <c r="FQJ10" s="2234"/>
      <c r="FQK10" s="2234"/>
      <c r="FQL10" s="2234"/>
      <c r="FQM10" s="2234"/>
      <c r="FQN10" s="2234"/>
      <c r="FQO10" s="2234"/>
      <c r="FQP10" s="2234"/>
      <c r="FQQ10" s="2234"/>
      <c r="FQR10" s="2234"/>
      <c r="FQS10" s="2234"/>
      <c r="FQT10" s="2234"/>
      <c r="FQU10" s="2234"/>
      <c r="FQV10" s="2234"/>
      <c r="FQW10" s="2234"/>
      <c r="FQX10" s="2234"/>
      <c r="FQY10" s="2234"/>
      <c r="FQZ10" s="2234"/>
      <c r="FRA10" s="2234"/>
      <c r="FRB10" s="2234"/>
      <c r="FRC10" s="2234"/>
      <c r="FRD10" s="2234"/>
      <c r="FRE10" s="2234"/>
      <c r="FRF10" s="2234"/>
      <c r="FRG10" s="2234"/>
      <c r="FRH10" s="2234"/>
      <c r="FRI10" s="2234"/>
      <c r="FRJ10" s="2234"/>
      <c r="FRK10" s="2234"/>
      <c r="FRL10" s="2234"/>
      <c r="FRM10" s="2234"/>
      <c r="FRN10" s="2234"/>
      <c r="FRO10" s="2234"/>
      <c r="FRP10" s="2234"/>
      <c r="FRQ10" s="2234"/>
      <c r="FRR10" s="2234"/>
      <c r="FRS10" s="2234"/>
      <c r="FRT10" s="2234"/>
      <c r="FRU10" s="2234"/>
      <c r="FRV10" s="2234"/>
      <c r="FRW10" s="2234"/>
      <c r="FRX10" s="2234"/>
      <c r="FRY10" s="2234"/>
      <c r="FRZ10" s="2234"/>
      <c r="FSA10" s="2234"/>
      <c r="FSB10" s="2234"/>
      <c r="FSC10" s="2234"/>
      <c r="FSD10" s="2234"/>
      <c r="FSE10" s="2234"/>
      <c r="FSF10" s="2234"/>
      <c r="FSG10" s="2234"/>
      <c r="FSH10" s="2234"/>
      <c r="FSI10" s="2234"/>
      <c r="FSJ10" s="2234"/>
      <c r="FSK10" s="2234"/>
      <c r="FSL10" s="2234"/>
      <c r="FSM10" s="2234"/>
      <c r="FSN10" s="2234"/>
      <c r="FSO10" s="2234"/>
      <c r="FSP10" s="2234"/>
      <c r="FSQ10" s="2234"/>
      <c r="FSR10" s="2234"/>
      <c r="FSS10" s="2234"/>
      <c r="FST10" s="2234"/>
      <c r="FSU10" s="2234"/>
      <c r="FSV10" s="2234"/>
      <c r="FSW10" s="2234"/>
      <c r="FSX10" s="2234"/>
      <c r="FSY10" s="2234"/>
      <c r="FSZ10" s="2234"/>
      <c r="FTA10" s="2234"/>
      <c r="FTB10" s="2234"/>
      <c r="FTC10" s="2234"/>
      <c r="FTD10" s="2234"/>
      <c r="FTE10" s="2234"/>
      <c r="FTF10" s="2234"/>
      <c r="FTG10" s="2234"/>
      <c r="FTH10" s="2234"/>
      <c r="FTI10" s="2234"/>
      <c r="FTJ10" s="2234"/>
      <c r="FTK10" s="2234"/>
      <c r="FTL10" s="2234"/>
      <c r="FTM10" s="2234"/>
      <c r="FTN10" s="2234"/>
      <c r="FTO10" s="2234"/>
      <c r="FTP10" s="2234"/>
      <c r="FTQ10" s="2234"/>
      <c r="FTR10" s="2234"/>
      <c r="FTS10" s="2234"/>
      <c r="FTT10" s="2234"/>
      <c r="FTU10" s="2234"/>
      <c r="FTV10" s="2234"/>
      <c r="FTW10" s="2234"/>
      <c r="FTX10" s="2234"/>
      <c r="FTY10" s="2234"/>
      <c r="FTZ10" s="2234"/>
      <c r="FUA10" s="2234"/>
      <c r="FUB10" s="2234"/>
      <c r="FUC10" s="2234"/>
      <c r="FUD10" s="2234"/>
      <c r="FUE10" s="2234"/>
      <c r="FUF10" s="2234"/>
      <c r="FUG10" s="2234"/>
      <c r="FUH10" s="2234"/>
      <c r="FUI10" s="2234"/>
      <c r="FUJ10" s="2234"/>
      <c r="FUK10" s="2234"/>
      <c r="FUL10" s="2234"/>
      <c r="FUM10" s="2234"/>
      <c r="FUN10" s="2234"/>
      <c r="FUO10" s="2234"/>
      <c r="FUP10" s="2234"/>
      <c r="FUQ10" s="2234"/>
      <c r="FUR10" s="2234"/>
      <c r="FUS10" s="2234"/>
      <c r="FUT10" s="2234"/>
      <c r="FUU10" s="2234"/>
      <c r="FUV10" s="2234"/>
      <c r="FUW10" s="2234"/>
      <c r="FUX10" s="2234"/>
      <c r="FUY10" s="2234"/>
      <c r="FUZ10" s="2234"/>
      <c r="FVA10" s="2234"/>
      <c r="FVB10" s="2234"/>
      <c r="FVC10" s="2234"/>
      <c r="FVD10" s="2234"/>
      <c r="FVE10" s="2234"/>
      <c r="FVF10" s="2234"/>
      <c r="FVG10" s="2234"/>
      <c r="FVH10" s="2234"/>
      <c r="FVI10" s="2234"/>
      <c r="FVJ10" s="2234"/>
      <c r="FVK10" s="2234"/>
      <c r="FVL10" s="2234"/>
      <c r="FVM10" s="2234"/>
      <c r="FVN10" s="2234"/>
      <c r="FVO10" s="2234"/>
      <c r="FVP10" s="2234"/>
      <c r="FVQ10" s="2234"/>
      <c r="FVR10" s="2234"/>
      <c r="FVS10" s="2234"/>
      <c r="FVT10" s="2234"/>
      <c r="FVU10" s="2234"/>
      <c r="FVV10" s="2234"/>
      <c r="FVW10" s="2234"/>
      <c r="FVX10" s="2234"/>
      <c r="FVY10" s="2234"/>
      <c r="FVZ10" s="2234"/>
      <c r="FWA10" s="2234"/>
      <c r="FWB10" s="2234"/>
      <c r="FWC10" s="2234"/>
      <c r="FWD10" s="2234"/>
      <c r="FWE10" s="2234"/>
      <c r="FWF10" s="2234"/>
      <c r="FWG10" s="2234"/>
      <c r="FWH10" s="2234"/>
      <c r="FWI10" s="2234"/>
      <c r="FWJ10" s="2234"/>
      <c r="FWK10" s="2234"/>
      <c r="FWL10" s="2234"/>
      <c r="FWM10" s="2234"/>
      <c r="FWN10" s="2234"/>
      <c r="FWO10" s="2234"/>
      <c r="FWP10" s="2234"/>
      <c r="FWQ10" s="2234"/>
      <c r="FWR10" s="2234"/>
      <c r="FWS10" s="2234"/>
      <c r="FWT10" s="2234"/>
      <c r="FWU10" s="2234"/>
      <c r="FWV10" s="2234"/>
      <c r="FWW10" s="2234"/>
      <c r="FWX10" s="2234"/>
      <c r="FWY10" s="2234"/>
      <c r="FWZ10" s="2234"/>
      <c r="FXA10" s="2234"/>
      <c r="FXB10" s="2234"/>
      <c r="FXC10" s="2234"/>
      <c r="FXD10" s="2234"/>
      <c r="FXE10" s="2234"/>
      <c r="FXF10" s="2234"/>
      <c r="FXG10" s="2234"/>
      <c r="FXH10" s="2234"/>
      <c r="FXI10" s="2234"/>
      <c r="FXJ10" s="2234"/>
      <c r="FXK10" s="2234"/>
      <c r="FXL10" s="2234"/>
      <c r="FXM10" s="2234"/>
      <c r="FXN10" s="2234"/>
      <c r="FXO10" s="2234"/>
      <c r="FXP10" s="2234"/>
      <c r="FXQ10" s="2234"/>
      <c r="FXR10" s="2234"/>
      <c r="FXS10" s="2234"/>
      <c r="FXT10" s="2234"/>
      <c r="FXU10" s="2234"/>
      <c r="FXV10" s="2234"/>
      <c r="FXW10" s="2234"/>
      <c r="FXX10" s="2234"/>
      <c r="FXY10" s="2234"/>
      <c r="FXZ10" s="2234"/>
      <c r="FYA10" s="2234"/>
      <c r="FYB10" s="2234"/>
      <c r="FYC10" s="2234"/>
      <c r="FYD10" s="2234"/>
      <c r="FYE10" s="2234"/>
      <c r="FYF10" s="2234"/>
      <c r="FYG10" s="2234"/>
      <c r="FYH10" s="2234"/>
      <c r="FYI10" s="2234"/>
      <c r="FYJ10" s="2234"/>
      <c r="FYK10" s="2234"/>
      <c r="FYL10" s="2234"/>
      <c r="FYM10" s="2234"/>
      <c r="FYN10" s="2234"/>
      <c r="FYO10" s="2234"/>
      <c r="FYP10" s="2234"/>
      <c r="FYQ10" s="2234"/>
      <c r="FYR10" s="2234"/>
      <c r="FYS10" s="2234"/>
      <c r="FYT10" s="2234"/>
      <c r="FYU10" s="2234"/>
      <c r="FYV10" s="2234"/>
      <c r="FYW10" s="2234"/>
      <c r="FYX10" s="2234"/>
      <c r="FYY10" s="2234"/>
      <c r="FYZ10" s="2234"/>
      <c r="FZA10" s="2234"/>
      <c r="FZB10" s="2234"/>
      <c r="FZC10" s="2234"/>
      <c r="FZD10" s="2234"/>
      <c r="FZE10" s="2234"/>
      <c r="FZF10" s="2234"/>
      <c r="FZG10" s="2234"/>
      <c r="FZH10" s="2234"/>
      <c r="FZI10" s="2234"/>
      <c r="FZJ10" s="2234"/>
      <c r="FZK10" s="2234"/>
      <c r="FZL10" s="2234"/>
      <c r="FZM10" s="2234"/>
      <c r="FZN10" s="2234"/>
      <c r="FZO10" s="2234"/>
      <c r="FZP10" s="2234"/>
      <c r="FZQ10" s="2234"/>
      <c r="FZR10" s="2234"/>
      <c r="FZS10" s="2234"/>
      <c r="FZT10" s="2234"/>
      <c r="FZU10" s="2234"/>
      <c r="FZV10" s="2234"/>
      <c r="FZW10" s="2234"/>
      <c r="FZX10" s="2234"/>
      <c r="FZY10" s="2234"/>
      <c r="FZZ10" s="2234"/>
      <c r="GAA10" s="2234"/>
      <c r="GAB10" s="2234"/>
      <c r="GAC10" s="2234"/>
      <c r="GAD10" s="2234"/>
      <c r="GAE10" s="2234"/>
      <c r="GAF10" s="2234"/>
      <c r="GAG10" s="2234"/>
      <c r="GAH10" s="2234"/>
      <c r="GAI10" s="2234"/>
      <c r="GAJ10" s="2234"/>
      <c r="GAK10" s="2234"/>
      <c r="GAL10" s="2234"/>
      <c r="GAM10" s="2234"/>
      <c r="GAN10" s="2234"/>
      <c r="GAO10" s="2234"/>
      <c r="GAP10" s="2234"/>
      <c r="GAQ10" s="2234"/>
      <c r="GAR10" s="2234"/>
      <c r="GAS10" s="2234"/>
      <c r="GAT10" s="2234"/>
      <c r="GAU10" s="2234"/>
      <c r="GAV10" s="2234"/>
      <c r="GAW10" s="2234"/>
      <c r="GAX10" s="2234"/>
      <c r="GAY10" s="2234"/>
      <c r="GAZ10" s="2234"/>
      <c r="GBA10" s="2234"/>
      <c r="GBB10" s="2234"/>
      <c r="GBC10" s="2234"/>
      <c r="GBD10" s="2234"/>
      <c r="GBE10" s="2234"/>
      <c r="GBF10" s="2234"/>
      <c r="GBG10" s="2234"/>
      <c r="GBH10" s="2234"/>
      <c r="GBI10" s="2234"/>
      <c r="GBJ10" s="2234"/>
      <c r="GBK10" s="2234"/>
      <c r="GBL10" s="2234"/>
      <c r="GBM10" s="2234"/>
      <c r="GBN10" s="2234"/>
      <c r="GBO10" s="2234"/>
      <c r="GBP10" s="2234"/>
      <c r="GBQ10" s="2234"/>
      <c r="GBR10" s="2234"/>
      <c r="GBS10" s="2234"/>
      <c r="GBT10" s="2234"/>
      <c r="GBU10" s="2234"/>
      <c r="GBV10" s="2234"/>
      <c r="GBW10" s="2234"/>
      <c r="GBX10" s="2234"/>
      <c r="GBY10" s="2234"/>
      <c r="GBZ10" s="2234"/>
      <c r="GCA10" s="2234"/>
      <c r="GCB10" s="2234"/>
      <c r="GCC10" s="2234"/>
      <c r="GCD10" s="2234"/>
      <c r="GCE10" s="2234"/>
      <c r="GCF10" s="2234"/>
      <c r="GCG10" s="2234"/>
      <c r="GCH10" s="2234"/>
      <c r="GCI10" s="2234"/>
      <c r="GCJ10" s="2234"/>
      <c r="GCK10" s="2234"/>
      <c r="GCL10" s="2234"/>
      <c r="GCM10" s="2234"/>
      <c r="GCN10" s="2234"/>
      <c r="GCO10" s="2234"/>
      <c r="GCP10" s="2234"/>
      <c r="GCQ10" s="2234"/>
      <c r="GCR10" s="2234"/>
      <c r="GCS10" s="2234"/>
      <c r="GCT10" s="2234"/>
      <c r="GCU10" s="2234"/>
      <c r="GCV10" s="2234"/>
      <c r="GCW10" s="2234"/>
      <c r="GCX10" s="2234"/>
      <c r="GCY10" s="2234"/>
      <c r="GCZ10" s="2234"/>
      <c r="GDA10" s="2234"/>
      <c r="GDB10" s="2234"/>
      <c r="GDC10" s="2234"/>
      <c r="GDD10" s="2234"/>
      <c r="GDE10" s="2234"/>
      <c r="GDF10" s="2234"/>
      <c r="GDG10" s="2234"/>
      <c r="GDH10" s="2234"/>
      <c r="GDI10" s="2234"/>
      <c r="GDJ10" s="2234"/>
      <c r="GDK10" s="2234"/>
      <c r="GDL10" s="2234"/>
      <c r="GDM10" s="2234"/>
      <c r="GDN10" s="2234"/>
      <c r="GDO10" s="2234"/>
      <c r="GDP10" s="2234"/>
      <c r="GDQ10" s="2234"/>
      <c r="GDR10" s="2234"/>
      <c r="GDS10" s="2234"/>
      <c r="GDT10" s="2234"/>
      <c r="GDU10" s="2234"/>
      <c r="GDV10" s="2234"/>
      <c r="GDW10" s="2234"/>
      <c r="GDX10" s="2234"/>
      <c r="GDY10" s="2234"/>
      <c r="GDZ10" s="2234"/>
      <c r="GEA10" s="2234"/>
      <c r="GEB10" s="2234"/>
      <c r="GEC10" s="2234"/>
      <c r="GED10" s="2234"/>
      <c r="GEE10" s="2234"/>
      <c r="GEF10" s="2234"/>
      <c r="GEG10" s="2234"/>
      <c r="GEH10" s="2234"/>
      <c r="GEI10" s="2234"/>
      <c r="GEJ10" s="2234"/>
      <c r="GEK10" s="2234"/>
      <c r="GEL10" s="2234"/>
      <c r="GEM10" s="2234"/>
      <c r="GEN10" s="2234"/>
      <c r="GEO10" s="2234"/>
      <c r="GEP10" s="2234"/>
      <c r="GEQ10" s="2234"/>
      <c r="GER10" s="2234"/>
      <c r="GES10" s="2234"/>
      <c r="GET10" s="2234"/>
      <c r="GEU10" s="2234"/>
      <c r="GEV10" s="2234"/>
      <c r="GEW10" s="2234"/>
      <c r="GEX10" s="2234"/>
      <c r="GEY10" s="2234"/>
      <c r="GEZ10" s="2234"/>
      <c r="GFA10" s="2234"/>
      <c r="GFB10" s="2234"/>
      <c r="GFC10" s="2234"/>
      <c r="GFD10" s="2234"/>
      <c r="GFE10" s="2234"/>
      <c r="GFF10" s="2234"/>
      <c r="GFG10" s="2234"/>
      <c r="GFH10" s="2234"/>
      <c r="GFI10" s="2234"/>
      <c r="GFJ10" s="2234"/>
      <c r="GFK10" s="2234"/>
      <c r="GFL10" s="2234"/>
      <c r="GFM10" s="2234"/>
      <c r="GFN10" s="2234"/>
      <c r="GFO10" s="2234"/>
      <c r="GFP10" s="2234"/>
      <c r="GFQ10" s="2234"/>
      <c r="GFR10" s="2234"/>
      <c r="GFS10" s="2234"/>
      <c r="GFT10" s="2234"/>
      <c r="GFU10" s="2234"/>
      <c r="GFV10" s="2234"/>
      <c r="GFW10" s="2234"/>
      <c r="GFX10" s="2234"/>
      <c r="GFY10" s="2234"/>
      <c r="GFZ10" s="2234"/>
      <c r="GGA10" s="2234"/>
      <c r="GGB10" s="2234"/>
      <c r="GGC10" s="2234"/>
      <c r="GGD10" s="2234"/>
      <c r="GGE10" s="2234"/>
      <c r="GGF10" s="2234"/>
      <c r="GGG10" s="2234"/>
      <c r="GGH10" s="2234"/>
      <c r="GGI10" s="2234"/>
      <c r="GGJ10" s="2234"/>
      <c r="GGK10" s="2234"/>
      <c r="GGL10" s="2234"/>
      <c r="GGM10" s="2234"/>
      <c r="GGN10" s="2234"/>
      <c r="GGO10" s="2234"/>
      <c r="GGP10" s="2234"/>
      <c r="GGQ10" s="2234"/>
      <c r="GGR10" s="2234"/>
      <c r="GGS10" s="2234"/>
      <c r="GGT10" s="2234"/>
      <c r="GGU10" s="2234"/>
      <c r="GGV10" s="2234"/>
      <c r="GGW10" s="2234"/>
      <c r="GGX10" s="2234"/>
      <c r="GGY10" s="2234"/>
      <c r="GGZ10" s="2234"/>
      <c r="GHA10" s="2234"/>
      <c r="GHB10" s="2234"/>
      <c r="GHC10" s="2234"/>
      <c r="GHD10" s="2234"/>
      <c r="GHE10" s="2234"/>
      <c r="GHF10" s="2234"/>
      <c r="GHG10" s="2234"/>
      <c r="GHH10" s="2234"/>
      <c r="GHI10" s="2234"/>
      <c r="GHJ10" s="2234"/>
      <c r="GHK10" s="2234"/>
      <c r="GHL10" s="2234"/>
      <c r="GHM10" s="2234"/>
      <c r="GHN10" s="2234"/>
      <c r="GHO10" s="2234"/>
      <c r="GHP10" s="2234"/>
      <c r="GHQ10" s="2234"/>
      <c r="GHR10" s="2234"/>
      <c r="GHS10" s="2234"/>
      <c r="GHT10" s="2234"/>
      <c r="GHU10" s="2234"/>
      <c r="GHV10" s="2234"/>
      <c r="GHW10" s="2234"/>
      <c r="GHX10" s="2234"/>
      <c r="GHY10" s="2234"/>
      <c r="GHZ10" s="2234"/>
      <c r="GIA10" s="2234"/>
      <c r="GIB10" s="2234"/>
      <c r="GIC10" s="2234"/>
      <c r="GID10" s="2234"/>
      <c r="GIE10" s="2234"/>
      <c r="GIF10" s="2234"/>
      <c r="GIG10" s="2234"/>
      <c r="GIH10" s="2234"/>
      <c r="GII10" s="2234"/>
      <c r="GIJ10" s="2234"/>
      <c r="GIK10" s="2234"/>
      <c r="GIL10" s="2234"/>
      <c r="GIM10" s="2234"/>
      <c r="GIN10" s="2234"/>
      <c r="GIO10" s="2234"/>
      <c r="GIP10" s="2234"/>
      <c r="GIQ10" s="2234"/>
      <c r="GIR10" s="2234"/>
      <c r="GIS10" s="2234"/>
      <c r="GIT10" s="2234"/>
      <c r="GIU10" s="2234"/>
      <c r="GIV10" s="2234"/>
      <c r="GIW10" s="2234"/>
      <c r="GIX10" s="2234"/>
      <c r="GIY10" s="2234"/>
      <c r="GIZ10" s="2234"/>
      <c r="GJA10" s="2234"/>
      <c r="GJB10" s="2234"/>
      <c r="GJC10" s="2234"/>
      <c r="GJD10" s="2234"/>
      <c r="GJE10" s="2234"/>
      <c r="GJF10" s="2234"/>
      <c r="GJG10" s="2234"/>
      <c r="GJH10" s="2234"/>
      <c r="GJI10" s="2234"/>
      <c r="GJJ10" s="2234"/>
      <c r="GJK10" s="2234"/>
      <c r="GJL10" s="2234"/>
      <c r="GJM10" s="2234"/>
      <c r="GJN10" s="2234"/>
      <c r="GJO10" s="2234"/>
      <c r="GJP10" s="2234"/>
      <c r="GJQ10" s="2234"/>
      <c r="GJR10" s="2234"/>
      <c r="GJS10" s="2234"/>
      <c r="GJT10" s="2234"/>
      <c r="GJU10" s="2234"/>
      <c r="GJV10" s="2234"/>
      <c r="GJW10" s="2234"/>
      <c r="GJX10" s="2234"/>
      <c r="GJY10" s="2234"/>
      <c r="GJZ10" s="2234"/>
      <c r="GKA10" s="2234"/>
      <c r="GKB10" s="2234"/>
      <c r="GKC10" s="2234"/>
      <c r="GKD10" s="2234"/>
      <c r="GKE10" s="2234"/>
      <c r="GKF10" s="2234"/>
      <c r="GKG10" s="2234"/>
      <c r="GKH10" s="2234"/>
      <c r="GKI10" s="2234"/>
      <c r="GKJ10" s="2234"/>
      <c r="GKK10" s="2234"/>
      <c r="GKL10" s="2234"/>
      <c r="GKM10" s="2234"/>
      <c r="GKN10" s="2234"/>
      <c r="GKO10" s="2234"/>
      <c r="GKP10" s="2234"/>
      <c r="GKQ10" s="2234"/>
      <c r="GKR10" s="2234"/>
      <c r="GKS10" s="2234"/>
      <c r="GKT10" s="2234"/>
      <c r="GKU10" s="2234"/>
      <c r="GKV10" s="2234"/>
      <c r="GKW10" s="2234"/>
      <c r="GKX10" s="2234"/>
      <c r="GKY10" s="2234"/>
      <c r="GKZ10" s="2234"/>
      <c r="GLA10" s="2234"/>
      <c r="GLB10" s="2234"/>
      <c r="GLC10" s="2234"/>
      <c r="GLD10" s="2234"/>
      <c r="GLE10" s="2234"/>
      <c r="GLF10" s="2234"/>
      <c r="GLG10" s="2234"/>
      <c r="GLH10" s="2234"/>
      <c r="GLI10" s="2234"/>
      <c r="GLJ10" s="2234"/>
      <c r="GLK10" s="2234"/>
      <c r="GLL10" s="2234"/>
      <c r="GLM10" s="2234"/>
      <c r="GLN10" s="2234"/>
      <c r="GLO10" s="2234"/>
      <c r="GLP10" s="2234"/>
      <c r="GLQ10" s="2234"/>
      <c r="GLR10" s="2234"/>
      <c r="GLS10" s="2234"/>
      <c r="GLT10" s="2234"/>
      <c r="GLU10" s="2234"/>
      <c r="GLV10" s="2234"/>
      <c r="GLW10" s="2234"/>
      <c r="GLX10" s="2234"/>
      <c r="GLY10" s="2234"/>
      <c r="GLZ10" s="2234"/>
      <c r="GMA10" s="2234"/>
      <c r="GMB10" s="2234"/>
      <c r="GMC10" s="2234"/>
      <c r="GMD10" s="2234"/>
      <c r="GME10" s="2234"/>
      <c r="GMF10" s="2234"/>
      <c r="GMG10" s="2234"/>
      <c r="GMH10" s="2234"/>
      <c r="GMI10" s="2234"/>
      <c r="GMJ10" s="2234"/>
      <c r="GMK10" s="2234"/>
      <c r="GML10" s="2234"/>
      <c r="GMM10" s="2234"/>
      <c r="GMN10" s="2234"/>
      <c r="GMO10" s="2234"/>
      <c r="GMP10" s="2234"/>
      <c r="GMQ10" s="2234"/>
      <c r="GMR10" s="2234"/>
      <c r="GMS10" s="2234"/>
      <c r="GMT10" s="2234"/>
      <c r="GMU10" s="2234"/>
      <c r="GMV10" s="2234"/>
      <c r="GMW10" s="2234"/>
      <c r="GMX10" s="2234"/>
      <c r="GMY10" s="2234"/>
      <c r="GMZ10" s="2234"/>
      <c r="GNA10" s="2234"/>
      <c r="GNB10" s="2234"/>
      <c r="GNC10" s="2234"/>
      <c r="GND10" s="2234"/>
      <c r="GNE10" s="2234"/>
      <c r="GNF10" s="2234"/>
      <c r="GNG10" s="2234"/>
      <c r="GNH10" s="2234"/>
      <c r="GNI10" s="2234"/>
      <c r="GNJ10" s="2234"/>
      <c r="GNK10" s="2234"/>
      <c r="GNL10" s="2234"/>
      <c r="GNM10" s="2234"/>
      <c r="GNN10" s="2234"/>
      <c r="GNO10" s="2234"/>
      <c r="GNP10" s="2234"/>
      <c r="GNQ10" s="2234"/>
      <c r="GNR10" s="2234"/>
      <c r="GNS10" s="2234"/>
      <c r="GNT10" s="2234"/>
      <c r="GNU10" s="2234"/>
      <c r="GNV10" s="2234"/>
      <c r="GNW10" s="2234"/>
      <c r="GNX10" s="2234"/>
      <c r="GNY10" s="2234"/>
      <c r="GNZ10" s="2234"/>
      <c r="GOA10" s="2234"/>
      <c r="GOB10" s="2234"/>
      <c r="GOC10" s="2234"/>
      <c r="GOD10" s="2234"/>
      <c r="GOE10" s="2234"/>
      <c r="GOF10" s="2234"/>
      <c r="GOG10" s="2234"/>
      <c r="GOH10" s="2234"/>
      <c r="GOI10" s="2234"/>
      <c r="GOJ10" s="2234"/>
      <c r="GOK10" s="2234"/>
      <c r="GOL10" s="2234"/>
      <c r="GOM10" s="2234"/>
      <c r="GON10" s="2234"/>
      <c r="GOO10" s="2234"/>
      <c r="GOP10" s="2234"/>
      <c r="GOQ10" s="2234"/>
      <c r="GOR10" s="2234"/>
      <c r="GOS10" s="2234"/>
      <c r="GOT10" s="2234"/>
      <c r="GOU10" s="2234"/>
      <c r="GOV10" s="2234"/>
      <c r="GOW10" s="2234"/>
      <c r="GOX10" s="2234"/>
      <c r="GOY10" s="2234"/>
      <c r="GOZ10" s="2234"/>
      <c r="GPA10" s="2234"/>
      <c r="GPB10" s="2234"/>
      <c r="GPC10" s="2234"/>
      <c r="GPD10" s="2234"/>
      <c r="GPE10" s="2234"/>
      <c r="GPF10" s="2234"/>
      <c r="GPG10" s="2234"/>
      <c r="GPH10" s="2234"/>
      <c r="GPI10" s="2234"/>
      <c r="GPJ10" s="2234"/>
      <c r="GPK10" s="2234"/>
      <c r="GPL10" s="2234"/>
      <c r="GPM10" s="2234"/>
      <c r="GPN10" s="2234"/>
      <c r="GPO10" s="2234"/>
      <c r="GPP10" s="2234"/>
      <c r="GPQ10" s="2234"/>
      <c r="GPR10" s="2234"/>
      <c r="GPS10" s="2234"/>
      <c r="GPT10" s="2234"/>
      <c r="GPU10" s="2234"/>
      <c r="GPV10" s="2234"/>
      <c r="GPW10" s="2234"/>
      <c r="GPX10" s="2234"/>
      <c r="GPY10" s="2234"/>
      <c r="GPZ10" s="2234"/>
      <c r="GQA10" s="2234"/>
      <c r="GQB10" s="2234"/>
      <c r="GQC10" s="2234"/>
      <c r="GQD10" s="2234"/>
      <c r="GQE10" s="2234"/>
      <c r="GQF10" s="2234"/>
      <c r="GQG10" s="2234"/>
      <c r="GQH10" s="2234"/>
      <c r="GQI10" s="2234"/>
      <c r="GQJ10" s="2234"/>
      <c r="GQK10" s="2234"/>
      <c r="GQL10" s="2234"/>
      <c r="GQM10" s="2234"/>
      <c r="GQN10" s="2234"/>
      <c r="GQO10" s="2234"/>
      <c r="GQP10" s="2234"/>
      <c r="GQQ10" s="2234"/>
      <c r="GQR10" s="2234"/>
      <c r="GQS10" s="2234"/>
      <c r="GQT10" s="2234"/>
      <c r="GQU10" s="2234"/>
      <c r="GQV10" s="2234"/>
      <c r="GQW10" s="2234"/>
      <c r="GQX10" s="2234"/>
      <c r="GQY10" s="2234"/>
      <c r="GQZ10" s="2234"/>
      <c r="GRA10" s="2234"/>
      <c r="GRB10" s="2234"/>
      <c r="GRC10" s="2234"/>
      <c r="GRD10" s="2234"/>
      <c r="GRE10" s="2234"/>
      <c r="GRF10" s="2234"/>
      <c r="GRG10" s="2234"/>
      <c r="GRH10" s="2234"/>
      <c r="GRI10" s="2234"/>
      <c r="GRJ10" s="2234"/>
      <c r="GRK10" s="2234"/>
      <c r="GRL10" s="2234"/>
      <c r="GRM10" s="2234"/>
      <c r="GRN10" s="2234"/>
      <c r="GRO10" s="2234"/>
      <c r="GRP10" s="2234"/>
      <c r="GRQ10" s="2234"/>
      <c r="GRR10" s="2234"/>
      <c r="GRS10" s="2234"/>
      <c r="GRT10" s="2234"/>
      <c r="GRU10" s="2234"/>
      <c r="GRV10" s="2234"/>
      <c r="GRW10" s="2234"/>
      <c r="GRX10" s="2234"/>
      <c r="GRY10" s="2234"/>
      <c r="GRZ10" s="2234"/>
      <c r="GSA10" s="2234"/>
      <c r="GSB10" s="2234"/>
      <c r="GSC10" s="2234"/>
      <c r="GSD10" s="2234"/>
      <c r="GSE10" s="2234"/>
      <c r="GSF10" s="2234"/>
      <c r="GSG10" s="2234"/>
      <c r="GSH10" s="2234"/>
      <c r="GSI10" s="2234"/>
      <c r="GSJ10" s="2234"/>
      <c r="GSK10" s="2234"/>
      <c r="GSL10" s="2234"/>
      <c r="GSM10" s="2234"/>
      <c r="GSN10" s="2234"/>
      <c r="GSO10" s="2234"/>
      <c r="GSP10" s="2234"/>
      <c r="GSQ10" s="2234"/>
      <c r="GSR10" s="2234"/>
      <c r="GSS10" s="2234"/>
      <c r="GST10" s="2234"/>
      <c r="GSU10" s="2234"/>
      <c r="GSV10" s="2234"/>
      <c r="GSW10" s="2234"/>
      <c r="GSX10" s="2234"/>
      <c r="GSY10" s="2234"/>
      <c r="GSZ10" s="2234"/>
      <c r="GTA10" s="2234"/>
      <c r="GTB10" s="2234"/>
      <c r="GTC10" s="2234"/>
      <c r="GTD10" s="2234"/>
      <c r="GTE10" s="2234"/>
      <c r="GTF10" s="2234"/>
      <c r="GTG10" s="2234"/>
      <c r="GTH10" s="2234"/>
      <c r="GTI10" s="2234"/>
      <c r="GTJ10" s="2234"/>
      <c r="GTK10" s="2234"/>
      <c r="GTL10" s="2234"/>
      <c r="GTM10" s="2234"/>
      <c r="GTN10" s="2234"/>
      <c r="GTO10" s="2234"/>
      <c r="GTP10" s="2234"/>
      <c r="GTQ10" s="2234"/>
      <c r="GTR10" s="2234"/>
      <c r="GTS10" s="2234"/>
      <c r="GTT10" s="2234"/>
      <c r="GTU10" s="2234"/>
      <c r="GTV10" s="2234"/>
      <c r="GTW10" s="2234"/>
      <c r="GTX10" s="2234"/>
      <c r="GTY10" s="2234"/>
      <c r="GTZ10" s="2234"/>
      <c r="GUA10" s="2234"/>
      <c r="GUB10" s="2234"/>
      <c r="GUC10" s="2234"/>
      <c r="GUD10" s="2234"/>
      <c r="GUE10" s="2234"/>
      <c r="GUF10" s="2234"/>
      <c r="GUG10" s="2234"/>
      <c r="GUH10" s="2234"/>
      <c r="GUI10" s="2234"/>
      <c r="GUJ10" s="2234"/>
      <c r="GUK10" s="2234"/>
      <c r="GUL10" s="2234"/>
      <c r="GUM10" s="2234"/>
      <c r="GUN10" s="2234"/>
      <c r="GUO10" s="2234"/>
      <c r="GUP10" s="2234"/>
      <c r="GUQ10" s="2234"/>
      <c r="GUR10" s="2234"/>
      <c r="GUS10" s="2234"/>
      <c r="GUT10" s="2234"/>
      <c r="GUU10" s="2234"/>
      <c r="GUV10" s="2234"/>
      <c r="GUW10" s="2234"/>
      <c r="GUX10" s="2234"/>
      <c r="GUY10" s="2234"/>
      <c r="GUZ10" s="2234"/>
      <c r="GVA10" s="2234"/>
      <c r="GVB10" s="2234"/>
      <c r="GVC10" s="2234"/>
      <c r="GVD10" s="2234"/>
      <c r="GVE10" s="2234"/>
      <c r="GVF10" s="2234"/>
      <c r="GVG10" s="2234"/>
      <c r="GVH10" s="2234"/>
      <c r="GVI10" s="2234"/>
      <c r="GVJ10" s="2234"/>
      <c r="GVK10" s="2234"/>
      <c r="GVL10" s="2234"/>
      <c r="GVM10" s="2234"/>
      <c r="GVN10" s="2234"/>
      <c r="GVO10" s="2234"/>
      <c r="GVP10" s="2234"/>
      <c r="GVQ10" s="2234"/>
      <c r="GVR10" s="2234"/>
      <c r="GVS10" s="2234"/>
      <c r="GVT10" s="2234"/>
      <c r="GVU10" s="2234"/>
      <c r="GVV10" s="2234"/>
      <c r="GVW10" s="2234"/>
      <c r="GVX10" s="2234"/>
      <c r="GVY10" s="2234"/>
      <c r="GVZ10" s="2234"/>
      <c r="GWA10" s="2234"/>
      <c r="GWB10" s="2234"/>
      <c r="GWC10" s="2234"/>
      <c r="GWD10" s="2234"/>
      <c r="GWE10" s="2234"/>
      <c r="GWF10" s="2234"/>
      <c r="GWG10" s="2234"/>
      <c r="GWH10" s="2234"/>
      <c r="GWI10" s="2234"/>
      <c r="GWJ10" s="2234"/>
      <c r="GWK10" s="2234"/>
      <c r="GWL10" s="2234"/>
      <c r="GWM10" s="2234"/>
      <c r="GWN10" s="2234"/>
      <c r="GWO10" s="2234"/>
      <c r="GWP10" s="2234"/>
      <c r="GWQ10" s="2234"/>
      <c r="GWR10" s="2234"/>
      <c r="GWS10" s="2234"/>
      <c r="GWT10" s="2234"/>
      <c r="GWU10" s="2234"/>
      <c r="GWV10" s="2234"/>
      <c r="GWW10" s="2234"/>
      <c r="GWX10" s="2234"/>
      <c r="GWY10" s="2234"/>
      <c r="GWZ10" s="2234"/>
      <c r="GXA10" s="2234"/>
      <c r="GXB10" s="2234"/>
      <c r="GXC10" s="2234"/>
      <c r="GXD10" s="2234"/>
      <c r="GXE10" s="2234"/>
      <c r="GXF10" s="2234"/>
      <c r="GXG10" s="2234"/>
      <c r="GXH10" s="2234"/>
      <c r="GXI10" s="2234"/>
      <c r="GXJ10" s="2234"/>
      <c r="GXK10" s="2234"/>
      <c r="GXL10" s="2234"/>
      <c r="GXM10" s="2234"/>
      <c r="GXN10" s="2234"/>
      <c r="GXO10" s="2234"/>
      <c r="GXP10" s="2234"/>
      <c r="GXQ10" s="2234"/>
      <c r="GXR10" s="2234"/>
      <c r="GXS10" s="2234"/>
      <c r="GXT10" s="2234"/>
      <c r="GXU10" s="2234"/>
      <c r="GXV10" s="2234"/>
      <c r="GXW10" s="2234"/>
      <c r="GXX10" s="2234"/>
      <c r="GXY10" s="2234"/>
      <c r="GXZ10" s="2234"/>
      <c r="GYA10" s="2234"/>
      <c r="GYB10" s="2234"/>
      <c r="GYC10" s="2234"/>
      <c r="GYD10" s="2234"/>
      <c r="GYE10" s="2234"/>
      <c r="GYF10" s="2234"/>
      <c r="GYG10" s="2234"/>
      <c r="GYH10" s="2234"/>
      <c r="GYI10" s="2234"/>
      <c r="GYJ10" s="2234"/>
      <c r="GYK10" s="2234"/>
      <c r="GYL10" s="2234"/>
      <c r="GYM10" s="2234"/>
      <c r="GYN10" s="2234"/>
      <c r="GYO10" s="2234"/>
      <c r="GYP10" s="2234"/>
      <c r="GYQ10" s="2234"/>
      <c r="GYR10" s="2234"/>
      <c r="GYS10" s="2234"/>
      <c r="GYT10" s="2234"/>
      <c r="GYU10" s="2234"/>
      <c r="GYV10" s="2234"/>
      <c r="GYW10" s="2234"/>
      <c r="GYX10" s="2234"/>
      <c r="GYY10" s="2234"/>
      <c r="GYZ10" s="2234"/>
      <c r="GZA10" s="2234"/>
      <c r="GZB10" s="2234"/>
      <c r="GZC10" s="2234"/>
      <c r="GZD10" s="2234"/>
      <c r="GZE10" s="2234"/>
      <c r="GZF10" s="2234"/>
      <c r="GZG10" s="2234"/>
      <c r="GZH10" s="2234"/>
      <c r="GZI10" s="2234"/>
      <c r="GZJ10" s="2234"/>
      <c r="GZK10" s="2234"/>
      <c r="GZL10" s="2234"/>
      <c r="GZM10" s="2234"/>
      <c r="GZN10" s="2234"/>
      <c r="GZO10" s="2234"/>
      <c r="GZP10" s="2234"/>
      <c r="GZQ10" s="2234"/>
      <c r="GZR10" s="2234"/>
      <c r="GZS10" s="2234"/>
      <c r="GZT10" s="2234"/>
      <c r="GZU10" s="2234"/>
      <c r="GZV10" s="2234"/>
      <c r="GZW10" s="2234"/>
      <c r="GZX10" s="2234"/>
      <c r="GZY10" s="2234"/>
      <c r="GZZ10" s="2234"/>
      <c r="HAA10" s="2234"/>
      <c r="HAB10" s="2234"/>
      <c r="HAC10" s="2234"/>
      <c r="HAD10" s="2234"/>
      <c r="HAE10" s="2234"/>
      <c r="HAF10" s="2234"/>
      <c r="HAG10" s="2234"/>
      <c r="HAH10" s="2234"/>
      <c r="HAI10" s="2234"/>
      <c r="HAJ10" s="2234"/>
      <c r="HAK10" s="2234"/>
      <c r="HAL10" s="2234"/>
      <c r="HAM10" s="2234"/>
      <c r="HAN10" s="2234"/>
      <c r="HAO10" s="2234"/>
      <c r="HAP10" s="2234"/>
      <c r="HAQ10" s="2234"/>
      <c r="HAR10" s="2234"/>
      <c r="HAS10" s="2234"/>
      <c r="HAT10" s="2234"/>
      <c r="HAU10" s="2234"/>
      <c r="HAV10" s="2234"/>
      <c r="HAW10" s="2234"/>
      <c r="HAX10" s="2234"/>
      <c r="HAY10" s="2234"/>
      <c r="HAZ10" s="2234"/>
      <c r="HBA10" s="2234"/>
      <c r="HBB10" s="2234"/>
      <c r="HBC10" s="2234"/>
      <c r="HBD10" s="2234"/>
      <c r="HBE10" s="2234"/>
      <c r="HBF10" s="2234"/>
      <c r="HBG10" s="2234"/>
      <c r="HBH10" s="2234"/>
      <c r="HBI10" s="2234"/>
      <c r="HBJ10" s="2234"/>
      <c r="HBK10" s="2234"/>
      <c r="HBL10" s="2234"/>
      <c r="HBM10" s="2234"/>
      <c r="HBN10" s="2234"/>
      <c r="HBO10" s="2234"/>
      <c r="HBP10" s="2234"/>
      <c r="HBQ10" s="2234"/>
      <c r="HBR10" s="2234"/>
      <c r="HBS10" s="2234"/>
      <c r="HBT10" s="2234"/>
      <c r="HBU10" s="2234"/>
      <c r="HBV10" s="2234"/>
      <c r="HBW10" s="2234"/>
      <c r="HBX10" s="2234"/>
      <c r="HBY10" s="2234"/>
      <c r="HBZ10" s="2234"/>
      <c r="HCA10" s="2234"/>
      <c r="HCB10" s="2234"/>
      <c r="HCC10" s="2234"/>
      <c r="HCD10" s="2234"/>
      <c r="HCE10" s="2234"/>
      <c r="HCF10" s="2234"/>
      <c r="HCG10" s="2234"/>
      <c r="HCH10" s="2234"/>
      <c r="HCI10" s="2234"/>
      <c r="HCJ10" s="2234"/>
      <c r="HCK10" s="2234"/>
      <c r="HCL10" s="2234"/>
      <c r="HCM10" s="2234"/>
      <c r="HCN10" s="2234"/>
      <c r="HCO10" s="2234"/>
      <c r="HCP10" s="2234"/>
      <c r="HCQ10" s="2234"/>
      <c r="HCR10" s="2234"/>
      <c r="HCS10" s="2234"/>
      <c r="HCT10" s="2234"/>
      <c r="HCU10" s="2234"/>
      <c r="HCV10" s="2234"/>
      <c r="HCW10" s="2234"/>
      <c r="HCX10" s="2234"/>
      <c r="HCY10" s="2234"/>
      <c r="HCZ10" s="2234"/>
      <c r="HDA10" s="2234"/>
      <c r="HDB10" s="2234"/>
      <c r="HDC10" s="2234"/>
      <c r="HDD10" s="2234"/>
      <c r="HDE10" s="2234"/>
      <c r="HDF10" s="2234"/>
      <c r="HDG10" s="2234"/>
      <c r="HDH10" s="2234"/>
      <c r="HDI10" s="2234"/>
      <c r="HDJ10" s="2234"/>
      <c r="HDK10" s="2234"/>
      <c r="HDL10" s="2234"/>
      <c r="HDM10" s="2234"/>
      <c r="HDN10" s="2234"/>
      <c r="HDO10" s="2234"/>
      <c r="HDP10" s="2234"/>
      <c r="HDQ10" s="2234"/>
      <c r="HDR10" s="2234"/>
      <c r="HDS10" s="2234"/>
      <c r="HDT10" s="2234"/>
      <c r="HDU10" s="2234"/>
      <c r="HDV10" s="2234"/>
      <c r="HDW10" s="2234"/>
      <c r="HDX10" s="2234"/>
      <c r="HDY10" s="2234"/>
      <c r="HDZ10" s="2234"/>
      <c r="HEA10" s="2234"/>
      <c r="HEB10" s="2234"/>
      <c r="HEC10" s="2234"/>
      <c r="HED10" s="2234"/>
      <c r="HEE10" s="2234"/>
      <c r="HEF10" s="2234"/>
      <c r="HEG10" s="2234"/>
      <c r="HEH10" s="2234"/>
      <c r="HEI10" s="2234"/>
      <c r="HEJ10" s="2234"/>
      <c r="HEK10" s="2234"/>
      <c r="HEL10" s="2234"/>
      <c r="HEM10" s="2234"/>
      <c r="HEN10" s="2234"/>
      <c r="HEO10" s="2234"/>
      <c r="HEP10" s="2234"/>
      <c r="HEQ10" s="2234"/>
      <c r="HER10" s="2234"/>
      <c r="HES10" s="2234"/>
      <c r="HET10" s="2234"/>
      <c r="HEU10" s="2234"/>
      <c r="HEV10" s="2234"/>
      <c r="HEW10" s="2234"/>
      <c r="HEX10" s="2234"/>
      <c r="HEY10" s="2234"/>
      <c r="HEZ10" s="2234"/>
      <c r="HFA10" s="2234"/>
      <c r="HFB10" s="2234"/>
      <c r="HFC10" s="2234"/>
      <c r="HFD10" s="2234"/>
      <c r="HFE10" s="2234"/>
      <c r="HFF10" s="2234"/>
      <c r="HFG10" s="2234"/>
      <c r="HFH10" s="2234"/>
      <c r="HFI10" s="2234"/>
      <c r="HFJ10" s="2234"/>
      <c r="HFK10" s="2234"/>
      <c r="HFL10" s="2234"/>
      <c r="HFM10" s="2234"/>
      <c r="HFN10" s="2234"/>
      <c r="HFO10" s="2234"/>
      <c r="HFP10" s="2234"/>
      <c r="HFQ10" s="2234"/>
      <c r="HFR10" s="2234"/>
      <c r="HFS10" s="2234"/>
      <c r="HFT10" s="2234"/>
      <c r="HFU10" s="2234"/>
      <c r="HFV10" s="2234"/>
      <c r="HFW10" s="2234"/>
      <c r="HFX10" s="2234"/>
      <c r="HFY10" s="2234"/>
      <c r="HFZ10" s="2234"/>
      <c r="HGA10" s="2234"/>
      <c r="HGB10" s="2234"/>
      <c r="HGC10" s="2234"/>
      <c r="HGD10" s="2234"/>
      <c r="HGE10" s="2234"/>
      <c r="HGF10" s="2234"/>
      <c r="HGG10" s="2234"/>
      <c r="HGH10" s="2234"/>
      <c r="HGI10" s="2234"/>
      <c r="HGJ10" s="2234"/>
      <c r="HGK10" s="2234"/>
      <c r="HGL10" s="2234"/>
      <c r="HGM10" s="2234"/>
      <c r="HGN10" s="2234"/>
      <c r="HGO10" s="2234"/>
      <c r="HGP10" s="2234"/>
      <c r="HGQ10" s="2234"/>
      <c r="HGR10" s="2234"/>
      <c r="HGS10" s="2234"/>
      <c r="HGT10" s="2234"/>
      <c r="HGU10" s="2234"/>
      <c r="HGV10" s="2234"/>
      <c r="HGW10" s="2234"/>
      <c r="HGX10" s="2234"/>
      <c r="HGY10" s="2234"/>
      <c r="HGZ10" s="2234"/>
      <c r="HHA10" s="2234"/>
      <c r="HHB10" s="2234"/>
      <c r="HHC10" s="2234"/>
      <c r="HHD10" s="2234"/>
      <c r="HHE10" s="2234"/>
      <c r="HHF10" s="2234"/>
      <c r="HHG10" s="2234"/>
      <c r="HHH10" s="2234"/>
      <c r="HHI10" s="2234"/>
      <c r="HHJ10" s="2234"/>
      <c r="HHK10" s="2234"/>
      <c r="HHL10" s="2234"/>
      <c r="HHM10" s="2234"/>
      <c r="HHN10" s="2234"/>
      <c r="HHO10" s="2234"/>
      <c r="HHP10" s="2234"/>
      <c r="HHQ10" s="2234"/>
      <c r="HHR10" s="2234"/>
      <c r="HHS10" s="2234"/>
      <c r="HHT10" s="2234"/>
      <c r="HHU10" s="2234"/>
      <c r="HHV10" s="2234"/>
      <c r="HHW10" s="2234"/>
      <c r="HHX10" s="2234"/>
      <c r="HHY10" s="2234"/>
      <c r="HHZ10" s="2234"/>
      <c r="HIA10" s="2234"/>
      <c r="HIB10" s="2234"/>
      <c r="HIC10" s="2234"/>
      <c r="HID10" s="2234"/>
      <c r="HIE10" s="2234"/>
      <c r="HIF10" s="2234"/>
      <c r="HIG10" s="2234"/>
      <c r="HIH10" s="2234"/>
      <c r="HII10" s="2234"/>
      <c r="HIJ10" s="2234"/>
      <c r="HIK10" s="2234"/>
      <c r="HIL10" s="2234"/>
      <c r="HIM10" s="2234"/>
      <c r="HIN10" s="2234"/>
      <c r="HIO10" s="2234"/>
      <c r="HIP10" s="2234"/>
      <c r="HIQ10" s="2234"/>
      <c r="HIR10" s="2234"/>
      <c r="HIS10" s="2234"/>
      <c r="HIT10" s="2234"/>
      <c r="HIU10" s="2234"/>
      <c r="HIV10" s="2234"/>
      <c r="HIW10" s="2234"/>
      <c r="HIX10" s="2234"/>
      <c r="HIY10" s="2234"/>
      <c r="HIZ10" s="2234"/>
      <c r="HJA10" s="2234"/>
      <c r="HJB10" s="2234"/>
      <c r="HJC10" s="2234"/>
      <c r="HJD10" s="2234"/>
      <c r="HJE10" s="2234"/>
      <c r="HJF10" s="2234"/>
      <c r="HJG10" s="2234"/>
      <c r="HJH10" s="2234"/>
      <c r="HJI10" s="2234"/>
      <c r="HJJ10" s="2234"/>
      <c r="HJK10" s="2234"/>
      <c r="HJL10" s="2234"/>
      <c r="HJM10" s="2234"/>
      <c r="HJN10" s="2234"/>
      <c r="HJO10" s="2234"/>
      <c r="HJP10" s="2234"/>
      <c r="HJQ10" s="2234"/>
      <c r="HJR10" s="2234"/>
      <c r="HJS10" s="2234"/>
      <c r="HJT10" s="2234"/>
      <c r="HJU10" s="2234"/>
      <c r="HJV10" s="2234"/>
      <c r="HJW10" s="2234"/>
      <c r="HJX10" s="2234"/>
      <c r="HJY10" s="2234"/>
      <c r="HJZ10" s="2234"/>
      <c r="HKA10" s="2234"/>
      <c r="HKB10" s="2234"/>
      <c r="HKC10" s="2234"/>
      <c r="HKD10" s="2234"/>
      <c r="HKE10" s="2234"/>
      <c r="HKF10" s="2234"/>
      <c r="HKG10" s="2234"/>
      <c r="HKH10" s="2234"/>
      <c r="HKI10" s="2234"/>
      <c r="HKJ10" s="2234"/>
      <c r="HKK10" s="2234"/>
      <c r="HKL10" s="2234"/>
      <c r="HKM10" s="2234"/>
      <c r="HKN10" s="2234"/>
      <c r="HKO10" s="2234"/>
      <c r="HKP10" s="2234"/>
      <c r="HKQ10" s="2234"/>
      <c r="HKR10" s="2234"/>
      <c r="HKS10" s="2234"/>
      <c r="HKT10" s="2234"/>
      <c r="HKU10" s="2234"/>
      <c r="HKV10" s="2234"/>
      <c r="HKW10" s="2234"/>
      <c r="HKX10" s="2234"/>
      <c r="HKY10" s="2234"/>
      <c r="HKZ10" s="2234"/>
      <c r="HLA10" s="2234"/>
      <c r="HLB10" s="2234"/>
      <c r="HLC10" s="2234"/>
      <c r="HLD10" s="2234"/>
      <c r="HLE10" s="2234"/>
      <c r="HLF10" s="2234"/>
      <c r="HLG10" s="2234"/>
      <c r="HLH10" s="2234"/>
      <c r="HLI10" s="2234"/>
      <c r="HLJ10" s="2234"/>
      <c r="HLK10" s="2234"/>
      <c r="HLL10" s="2234"/>
      <c r="HLM10" s="2234"/>
      <c r="HLN10" s="2234"/>
      <c r="HLO10" s="2234"/>
      <c r="HLP10" s="2234"/>
      <c r="HLQ10" s="2234"/>
      <c r="HLR10" s="2234"/>
      <c r="HLS10" s="2234"/>
      <c r="HLT10" s="2234"/>
      <c r="HLU10" s="2234"/>
      <c r="HLV10" s="2234"/>
      <c r="HLW10" s="2234"/>
      <c r="HLX10" s="2234"/>
      <c r="HLY10" s="2234"/>
      <c r="HLZ10" s="2234"/>
      <c r="HMA10" s="2234"/>
      <c r="HMB10" s="2234"/>
      <c r="HMC10" s="2234"/>
      <c r="HMD10" s="2234"/>
      <c r="HME10" s="2234"/>
      <c r="HMF10" s="2234"/>
      <c r="HMG10" s="2234"/>
      <c r="HMH10" s="2234"/>
      <c r="HMI10" s="2234"/>
      <c r="HMJ10" s="2234"/>
      <c r="HMK10" s="2234"/>
      <c r="HML10" s="2234"/>
      <c r="HMM10" s="2234"/>
      <c r="HMN10" s="2234"/>
      <c r="HMO10" s="2234"/>
      <c r="HMP10" s="2234"/>
      <c r="HMQ10" s="2234"/>
      <c r="HMR10" s="2234"/>
      <c r="HMS10" s="2234"/>
      <c r="HMT10" s="2234"/>
      <c r="HMU10" s="2234"/>
      <c r="HMV10" s="2234"/>
      <c r="HMW10" s="2234"/>
      <c r="HMX10" s="2234"/>
      <c r="HMY10" s="2234"/>
      <c r="HMZ10" s="2234"/>
      <c r="HNA10" s="2234"/>
      <c r="HNB10" s="2234"/>
      <c r="HNC10" s="2234"/>
      <c r="HND10" s="2234"/>
      <c r="HNE10" s="2234"/>
      <c r="HNF10" s="2234"/>
      <c r="HNG10" s="2234"/>
      <c r="HNH10" s="2234"/>
      <c r="HNI10" s="2234"/>
      <c r="HNJ10" s="2234"/>
      <c r="HNK10" s="2234"/>
      <c r="HNL10" s="2234"/>
      <c r="HNM10" s="2234"/>
      <c r="HNN10" s="2234"/>
      <c r="HNO10" s="2234"/>
      <c r="HNP10" s="2234"/>
      <c r="HNQ10" s="2234"/>
      <c r="HNR10" s="2234"/>
      <c r="HNS10" s="2234"/>
      <c r="HNT10" s="2234"/>
      <c r="HNU10" s="2234"/>
      <c r="HNV10" s="2234"/>
      <c r="HNW10" s="2234"/>
      <c r="HNX10" s="2234"/>
      <c r="HNY10" s="2234"/>
      <c r="HNZ10" s="2234"/>
      <c r="HOA10" s="2234"/>
      <c r="HOB10" s="2234"/>
      <c r="HOC10" s="2234"/>
      <c r="HOD10" s="2234"/>
      <c r="HOE10" s="2234"/>
      <c r="HOF10" s="2234"/>
      <c r="HOG10" s="2234"/>
      <c r="HOH10" s="2234"/>
      <c r="HOI10" s="2234"/>
      <c r="HOJ10" s="2234"/>
      <c r="HOK10" s="2234"/>
      <c r="HOL10" s="2234"/>
      <c r="HOM10" s="2234"/>
      <c r="HON10" s="2234"/>
      <c r="HOO10" s="2234"/>
      <c r="HOP10" s="2234"/>
      <c r="HOQ10" s="2234"/>
      <c r="HOR10" s="2234"/>
      <c r="HOS10" s="2234"/>
      <c r="HOT10" s="2234"/>
      <c r="HOU10" s="2234"/>
      <c r="HOV10" s="2234"/>
      <c r="HOW10" s="2234"/>
      <c r="HOX10" s="2234"/>
      <c r="HOY10" s="2234"/>
      <c r="HOZ10" s="2234"/>
      <c r="HPA10" s="2234"/>
      <c r="HPB10" s="2234"/>
      <c r="HPC10" s="2234"/>
      <c r="HPD10" s="2234"/>
      <c r="HPE10" s="2234"/>
      <c r="HPF10" s="2234"/>
      <c r="HPG10" s="2234"/>
      <c r="HPH10" s="2234"/>
      <c r="HPI10" s="2234"/>
      <c r="HPJ10" s="2234"/>
      <c r="HPK10" s="2234"/>
      <c r="HPL10" s="2234"/>
      <c r="HPM10" s="2234"/>
      <c r="HPN10" s="2234"/>
      <c r="HPO10" s="2234"/>
      <c r="HPP10" s="2234"/>
      <c r="HPQ10" s="2234"/>
      <c r="HPR10" s="2234"/>
      <c r="HPS10" s="2234"/>
      <c r="HPT10" s="2234"/>
      <c r="HPU10" s="2234"/>
      <c r="HPV10" s="2234"/>
      <c r="HPW10" s="2234"/>
      <c r="HPX10" s="2234"/>
      <c r="HPY10" s="2234"/>
      <c r="HPZ10" s="2234"/>
      <c r="HQA10" s="2234"/>
      <c r="HQB10" s="2234"/>
      <c r="HQC10" s="2234"/>
      <c r="HQD10" s="2234"/>
      <c r="HQE10" s="2234"/>
      <c r="HQF10" s="2234"/>
      <c r="HQG10" s="2234"/>
      <c r="HQH10" s="2234"/>
      <c r="HQI10" s="2234"/>
      <c r="HQJ10" s="2234"/>
      <c r="HQK10" s="2234"/>
      <c r="HQL10" s="2234"/>
      <c r="HQM10" s="2234"/>
      <c r="HQN10" s="2234"/>
      <c r="HQO10" s="2234"/>
      <c r="HQP10" s="2234"/>
      <c r="HQQ10" s="2234"/>
      <c r="HQR10" s="2234"/>
      <c r="HQS10" s="2234"/>
      <c r="HQT10" s="2234"/>
      <c r="HQU10" s="2234"/>
      <c r="HQV10" s="2234"/>
      <c r="HQW10" s="2234"/>
      <c r="HQX10" s="2234"/>
      <c r="HQY10" s="2234"/>
      <c r="HQZ10" s="2234"/>
      <c r="HRA10" s="2234"/>
      <c r="HRB10" s="2234"/>
      <c r="HRC10" s="2234"/>
      <c r="HRD10" s="2234"/>
      <c r="HRE10" s="2234"/>
      <c r="HRF10" s="2234"/>
      <c r="HRG10" s="2234"/>
      <c r="HRH10" s="2234"/>
      <c r="HRI10" s="2234"/>
      <c r="HRJ10" s="2234"/>
      <c r="HRK10" s="2234"/>
      <c r="HRL10" s="2234"/>
      <c r="HRM10" s="2234"/>
      <c r="HRN10" s="2234"/>
      <c r="HRO10" s="2234"/>
      <c r="HRP10" s="2234"/>
      <c r="HRQ10" s="2234"/>
      <c r="HRR10" s="2234"/>
      <c r="HRS10" s="2234"/>
      <c r="HRT10" s="2234"/>
      <c r="HRU10" s="2234"/>
      <c r="HRV10" s="2234"/>
      <c r="HRW10" s="2234"/>
      <c r="HRX10" s="2234"/>
      <c r="HRY10" s="2234"/>
      <c r="HRZ10" s="2234"/>
      <c r="HSA10" s="2234"/>
      <c r="HSB10" s="2234"/>
      <c r="HSC10" s="2234"/>
      <c r="HSD10" s="2234"/>
      <c r="HSE10" s="2234"/>
      <c r="HSF10" s="2234"/>
      <c r="HSG10" s="2234"/>
      <c r="HSH10" s="2234"/>
      <c r="HSI10" s="2234"/>
      <c r="HSJ10" s="2234"/>
      <c r="HSK10" s="2234"/>
      <c r="HSL10" s="2234"/>
      <c r="HSM10" s="2234"/>
      <c r="HSN10" s="2234"/>
      <c r="HSO10" s="2234"/>
      <c r="HSP10" s="2234"/>
      <c r="HSQ10" s="2234"/>
      <c r="HSR10" s="2234"/>
      <c r="HSS10" s="2234"/>
      <c r="HST10" s="2234"/>
      <c r="HSU10" s="2234"/>
      <c r="HSV10" s="2234"/>
      <c r="HSW10" s="2234"/>
      <c r="HSX10" s="2234"/>
      <c r="HSY10" s="2234"/>
      <c r="HSZ10" s="2234"/>
      <c r="HTA10" s="2234"/>
      <c r="HTB10" s="2234"/>
      <c r="HTC10" s="2234"/>
      <c r="HTD10" s="2234"/>
      <c r="HTE10" s="2234"/>
      <c r="HTF10" s="2234"/>
      <c r="HTG10" s="2234"/>
      <c r="HTH10" s="2234"/>
      <c r="HTI10" s="2234"/>
      <c r="HTJ10" s="2234"/>
      <c r="HTK10" s="2234"/>
      <c r="HTL10" s="2234"/>
      <c r="HTM10" s="2234"/>
      <c r="HTN10" s="2234"/>
      <c r="HTO10" s="2234"/>
      <c r="HTP10" s="2234"/>
      <c r="HTQ10" s="2234"/>
      <c r="HTR10" s="2234"/>
      <c r="HTS10" s="2234"/>
      <c r="HTT10" s="2234"/>
      <c r="HTU10" s="2234"/>
      <c r="HTV10" s="2234"/>
      <c r="HTW10" s="2234"/>
      <c r="HTX10" s="2234"/>
      <c r="HTY10" s="2234"/>
      <c r="HTZ10" s="2234"/>
      <c r="HUA10" s="2234"/>
      <c r="HUB10" s="2234"/>
      <c r="HUC10" s="2234"/>
      <c r="HUD10" s="2234"/>
      <c r="HUE10" s="2234"/>
      <c r="HUF10" s="2234"/>
      <c r="HUG10" s="2234"/>
      <c r="HUH10" s="2234"/>
      <c r="HUI10" s="2234"/>
      <c r="HUJ10" s="2234"/>
      <c r="HUK10" s="2234"/>
      <c r="HUL10" s="2234"/>
      <c r="HUM10" s="2234"/>
      <c r="HUN10" s="2234"/>
      <c r="HUO10" s="2234"/>
      <c r="HUP10" s="2234"/>
      <c r="HUQ10" s="2234"/>
      <c r="HUR10" s="2234"/>
      <c r="HUS10" s="2234"/>
      <c r="HUT10" s="2234"/>
      <c r="HUU10" s="2234"/>
      <c r="HUV10" s="2234"/>
      <c r="HUW10" s="2234"/>
      <c r="HUX10" s="2234"/>
      <c r="HUY10" s="2234"/>
      <c r="HUZ10" s="2234"/>
      <c r="HVA10" s="2234"/>
      <c r="HVB10" s="2234"/>
      <c r="HVC10" s="2234"/>
      <c r="HVD10" s="2234"/>
      <c r="HVE10" s="2234"/>
      <c r="HVF10" s="2234"/>
      <c r="HVG10" s="2234"/>
      <c r="HVH10" s="2234"/>
      <c r="HVI10" s="2234"/>
      <c r="HVJ10" s="2234"/>
      <c r="HVK10" s="2234"/>
      <c r="HVL10" s="2234"/>
      <c r="HVM10" s="2234"/>
      <c r="HVN10" s="2234"/>
      <c r="HVO10" s="2234"/>
      <c r="HVP10" s="2234"/>
      <c r="HVQ10" s="2234"/>
      <c r="HVR10" s="2234"/>
      <c r="HVS10" s="2234"/>
      <c r="HVT10" s="2234"/>
      <c r="HVU10" s="2234"/>
      <c r="HVV10" s="2234"/>
      <c r="HVW10" s="2234"/>
      <c r="HVX10" s="2234"/>
      <c r="HVY10" s="2234"/>
      <c r="HVZ10" s="2234"/>
      <c r="HWA10" s="2234"/>
      <c r="HWB10" s="2234"/>
      <c r="HWC10" s="2234"/>
      <c r="HWD10" s="2234"/>
      <c r="HWE10" s="2234"/>
      <c r="HWF10" s="2234"/>
      <c r="HWG10" s="2234"/>
      <c r="HWH10" s="2234"/>
      <c r="HWI10" s="2234"/>
      <c r="HWJ10" s="2234"/>
      <c r="HWK10" s="2234"/>
      <c r="HWL10" s="2234"/>
      <c r="HWM10" s="2234"/>
      <c r="HWN10" s="2234"/>
      <c r="HWO10" s="2234"/>
      <c r="HWP10" s="2234"/>
      <c r="HWQ10" s="2234"/>
      <c r="HWR10" s="2234"/>
      <c r="HWS10" s="2234"/>
      <c r="HWT10" s="2234"/>
      <c r="HWU10" s="2234"/>
      <c r="HWV10" s="2234"/>
      <c r="HWW10" s="2234"/>
      <c r="HWX10" s="2234"/>
      <c r="HWY10" s="2234"/>
      <c r="HWZ10" s="2234"/>
      <c r="HXA10" s="2234"/>
      <c r="HXB10" s="2234"/>
      <c r="HXC10" s="2234"/>
      <c r="HXD10" s="2234"/>
      <c r="HXE10" s="2234"/>
      <c r="HXF10" s="2234"/>
      <c r="HXG10" s="2234"/>
      <c r="HXH10" s="2234"/>
      <c r="HXI10" s="2234"/>
      <c r="HXJ10" s="2234"/>
      <c r="HXK10" s="2234"/>
      <c r="HXL10" s="2234"/>
      <c r="HXM10" s="2234"/>
      <c r="HXN10" s="2234"/>
      <c r="HXO10" s="2234"/>
      <c r="HXP10" s="2234"/>
      <c r="HXQ10" s="2234"/>
      <c r="HXR10" s="2234"/>
      <c r="HXS10" s="2234"/>
      <c r="HXT10" s="2234"/>
      <c r="HXU10" s="2234"/>
      <c r="HXV10" s="2234"/>
      <c r="HXW10" s="2234"/>
      <c r="HXX10" s="2234"/>
      <c r="HXY10" s="2234"/>
      <c r="HXZ10" s="2234"/>
      <c r="HYA10" s="2234"/>
      <c r="HYB10" s="2234"/>
      <c r="HYC10" s="2234"/>
      <c r="HYD10" s="2234"/>
      <c r="HYE10" s="2234"/>
      <c r="HYF10" s="2234"/>
      <c r="HYG10" s="2234"/>
      <c r="HYH10" s="2234"/>
      <c r="HYI10" s="2234"/>
      <c r="HYJ10" s="2234"/>
      <c r="HYK10" s="2234"/>
      <c r="HYL10" s="2234"/>
      <c r="HYM10" s="2234"/>
      <c r="HYN10" s="2234"/>
      <c r="HYO10" s="2234"/>
      <c r="HYP10" s="2234"/>
      <c r="HYQ10" s="2234"/>
      <c r="HYR10" s="2234"/>
      <c r="HYS10" s="2234"/>
      <c r="HYT10" s="2234"/>
      <c r="HYU10" s="2234"/>
      <c r="HYV10" s="2234"/>
      <c r="HYW10" s="2234"/>
      <c r="HYX10" s="2234"/>
      <c r="HYY10" s="2234"/>
      <c r="HYZ10" s="2234"/>
      <c r="HZA10" s="2234"/>
      <c r="HZB10" s="2234"/>
      <c r="HZC10" s="2234"/>
      <c r="HZD10" s="2234"/>
      <c r="HZE10" s="2234"/>
      <c r="HZF10" s="2234"/>
      <c r="HZG10" s="2234"/>
      <c r="HZH10" s="2234"/>
      <c r="HZI10" s="2234"/>
      <c r="HZJ10" s="2234"/>
      <c r="HZK10" s="2234"/>
      <c r="HZL10" s="2234"/>
      <c r="HZM10" s="2234"/>
      <c r="HZN10" s="2234"/>
      <c r="HZO10" s="2234"/>
      <c r="HZP10" s="2234"/>
      <c r="HZQ10" s="2234"/>
      <c r="HZR10" s="2234"/>
      <c r="HZS10" s="2234"/>
      <c r="HZT10" s="2234"/>
      <c r="HZU10" s="2234"/>
      <c r="HZV10" s="2234"/>
      <c r="HZW10" s="2234"/>
      <c r="HZX10" s="2234"/>
      <c r="HZY10" s="2234"/>
      <c r="HZZ10" s="2234"/>
      <c r="IAA10" s="2234"/>
      <c r="IAB10" s="2234"/>
      <c r="IAC10" s="2234"/>
      <c r="IAD10" s="2234"/>
      <c r="IAE10" s="2234"/>
      <c r="IAF10" s="2234"/>
      <c r="IAG10" s="2234"/>
      <c r="IAH10" s="2234"/>
      <c r="IAI10" s="2234"/>
      <c r="IAJ10" s="2234"/>
      <c r="IAK10" s="2234"/>
      <c r="IAL10" s="2234"/>
      <c r="IAM10" s="2234"/>
      <c r="IAN10" s="2234"/>
      <c r="IAO10" s="2234"/>
      <c r="IAP10" s="2234"/>
      <c r="IAQ10" s="2234"/>
      <c r="IAR10" s="2234"/>
      <c r="IAS10" s="2234"/>
      <c r="IAT10" s="2234"/>
      <c r="IAU10" s="2234"/>
      <c r="IAV10" s="2234"/>
      <c r="IAW10" s="2234"/>
      <c r="IAX10" s="2234"/>
      <c r="IAY10" s="2234"/>
      <c r="IAZ10" s="2234"/>
      <c r="IBA10" s="2234"/>
      <c r="IBB10" s="2234"/>
      <c r="IBC10" s="2234"/>
      <c r="IBD10" s="2234"/>
      <c r="IBE10" s="2234"/>
      <c r="IBF10" s="2234"/>
      <c r="IBG10" s="2234"/>
      <c r="IBH10" s="2234"/>
      <c r="IBI10" s="2234"/>
      <c r="IBJ10" s="2234"/>
      <c r="IBK10" s="2234"/>
      <c r="IBL10" s="2234"/>
      <c r="IBM10" s="2234"/>
      <c r="IBN10" s="2234"/>
      <c r="IBO10" s="2234"/>
      <c r="IBP10" s="2234"/>
      <c r="IBQ10" s="2234"/>
      <c r="IBR10" s="2234"/>
      <c r="IBS10" s="2234"/>
      <c r="IBT10" s="2234"/>
      <c r="IBU10" s="2234"/>
      <c r="IBV10" s="2234"/>
      <c r="IBW10" s="2234"/>
      <c r="IBX10" s="2234"/>
      <c r="IBY10" s="2234"/>
      <c r="IBZ10" s="2234"/>
      <c r="ICA10" s="2234"/>
      <c r="ICB10" s="2234"/>
      <c r="ICC10" s="2234"/>
      <c r="ICD10" s="2234"/>
      <c r="ICE10" s="2234"/>
      <c r="ICF10" s="2234"/>
      <c r="ICG10" s="2234"/>
      <c r="ICH10" s="2234"/>
      <c r="ICI10" s="2234"/>
      <c r="ICJ10" s="2234"/>
      <c r="ICK10" s="2234"/>
      <c r="ICL10" s="2234"/>
      <c r="ICM10" s="2234"/>
      <c r="ICN10" s="2234"/>
      <c r="ICO10" s="2234"/>
      <c r="ICP10" s="2234"/>
      <c r="ICQ10" s="2234"/>
      <c r="ICR10" s="2234"/>
      <c r="ICS10" s="2234"/>
      <c r="ICT10" s="2234"/>
      <c r="ICU10" s="2234"/>
      <c r="ICV10" s="2234"/>
      <c r="ICW10" s="2234"/>
      <c r="ICX10" s="2234"/>
      <c r="ICY10" s="2234"/>
      <c r="ICZ10" s="2234"/>
      <c r="IDA10" s="2234"/>
      <c r="IDB10" s="2234"/>
      <c r="IDC10" s="2234"/>
      <c r="IDD10" s="2234"/>
      <c r="IDE10" s="2234"/>
      <c r="IDF10" s="2234"/>
      <c r="IDG10" s="2234"/>
      <c r="IDH10" s="2234"/>
      <c r="IDI10" s="2234"/>
      <c r="IDJ10" s="2234"/>
      <c r="IDK10" s="2234"/>
      <c r="IDL10" s="2234"/>
      <c r="IDM10" s="2234"/>
      <c r="IDN10" s="2234"/>
      <c r="IDO10" s="2234"/>
      <c r="IDP10" s="2234"/>
      <c r="IDQ10" s="2234"/>
      <c r="IDR10" s="2234"/>
      <c r="IDS10" s="2234"/>
      <c r="IDT10" s="2234"/>
      <c r="IDU10" s="2234"/>
      <c r="IDV10" s="2234"/>
      <c r="IDW10" s="2234"/>
      <c r="IDX10" s="2234"/>
      <c r="IDY10" s="2234"/>
      <c r="IDZ10" s="2234"/>
      <c r="IEA10" s="2234"/>
      <c r="IEB10" s="2234"/>
      <c r="IEC10" s="2234"/>
      <c r="IED10" s="2234"/>
      <c r="IEE10" s="2234"/>
      <c r="IEF10" s="2234"/>
      <c r="IEG10" s="2234"/>
      <c r="IEH10" s="2234"/>
      <c r="IEI10" s="2234"/>
      <c r="IEJ10" s="2234"/>
      <c r="IEK10" s="2234"/>
      <c r="IEL10" s="2234"/>
      <c r="IEM10" s="2234"/>
      <c r="IEN10" s="2234"/>
      <c r="IEO10" s="2234"/>
      <c r="IEP10" s="2234"/>
      <c r="IEQ10" s="2234"/>
      <c r="IER10" s="2234"/>
      <c r="IES10" s="2234"/>
      <c r="IET10" s="2234"/>
      <c r="IEU10" s="2234"/>
      <c r="IEV10" s="2234"/>
      <c r="IEW10" s="2234"/>
      <c r="IEX10" s="2234"/>
      <c r="IEY10" s="2234"/>
      <c r="IEZ10" s="2234"/>
      <c r="IFA10" s="2234"/>
      <c r="IFB10" s="2234"/>
      <c r="IFC10" s="2234"/>
      <c r="IFD10" s="2234"/>
      <c r="IFE10" s="2234"/>
      <c r="IFF10" s="2234"/>
      <c r="IFG10" s="2234"/>
      <c r="IFH10" s="2234"/>
      <c r="IFI10" s="2234"/>
      <c r="IFJ10" s="2234"/>
      <c r="IFK10" s="2234"/>
      <c r="IFL10" s="2234"/>
      <c r="IFM10" s="2234"/>
      <c r="IFN10" s="2234"/>
      <c r="IFO10" s="2234"/>
      <c r="IFP10" s="2234"/>
      <c r="IFQ10" s="2234"/>
      <c r="IFR10" s="2234"/>
      <c r="IFS10" s="2234"/>
      <c r="IFT10" s="2234"/>
      <c r="IFU10" s="2234"/>
      <c r="IFV10" s="2234"/>
      <c r="IFW10" s="2234"/>
      <c r="IFX10" s="2234"/>
      <c r="IFY10" s="2234"/>
      <c r="IFZ10" s="2234"/>
      <c r="IGA10" s="2234"/>
      <c r="IGB10" s="2234"/>
      <c r="IGC10" s="2234"/>
      <c r="IGD10" s="2234"/>
      <c r="IGE10" s="2234"/>
      <c r="IGF10" s="2234"/>
      <c r="IGG10" s="2234"/>
      <c r="IGH10" s="2234"/>
      <c r="IGI10" s="2234"/>
      <c r="IGJ10" s="2234"/>
      <c r="IGK10" s="2234"/>
      <c r="IGL10" s="2234"/>
      <c r="IGM10" s="2234"/>
      <c r="IGN10" s="2234"/>
      <c r="IGO10" s="2234"/>
      <c r="IGP10" s="2234"/>
      <c r="IGQ10" s="2234"/>
      <c r="IGR10" s="2234"/>
      <c r="IGS10" s="2234"/>
      <c r="IGT10" s="2234"/>
      <c r="IGU10" s="2234"/>
      <c r="IGV10" s="2234"/>
      <c r="IGW10" s="2234"/>
      <c r="IGX10" s="2234"/>
      <c r="IGY10" s="2234"/>
      <c r="IGZ10" s="2234"/>
      <c r="IHA10" s="2234"/>
      <c r="IHB10" s="2234"/>
      <c r="IHC10" s="2234"/>
      <c r="IHD10" s="2234"/>
      <c r="IHE10" s="2234"/>
      <c r="IHF10" s="2234"/>
      <c r="IHG10" s="2234"/>
      <c r="IHH10" s="2234"/>
      <c r="IHI10" s="2234"/>
      <c r="IHJ10" s="2234"/>
      <c r="IHK10" s="2234"/>
      <c r="IHL10" s="2234"/>
      <c r="IHM10" s="2234"/>
      <c r="IHN10" s="2234"/>
      <c r="IHO10" s="2234"/>
      <c r="IHP10" s="2234"/>
      <c r="IHQ10" s="2234"/>
      <c r="IHR10" s="2234"/>
      <c r="IHS10" s="2234"/>
      <c r="IHT10" s="2234"/>
      <c r="IHU10" s="2234"/>
      <c r="IHV10" s="2234"/>
      <c r="IHW10" s="2234"/>
      <c r="IHX10" s="2234"/>
      <c r="IHY10" s="2234"/>
      <c r="IHZ10" s="2234"/>
      <c r="IIA10" s="2234"/>
      <c r="IIB10" s="2234"/>
      <c r="IIC10" s="2234"/>
      <c r="IID10" s="2234"/>
      <c r="IIE10" s="2234"/>
      <c r="IIF10" s="2234"/>
      <c r="IIG10" s="2234"/>
      <c r="IIH10" s="2234"/>
      <c r="III10" s="2234"/>
      <c r="IIJ10" s="2234"/>
      <c r="IIK10" s="2234"/>
      <c r="IIL10" s="2234"/>
      <c r="IIM10" s="2234"/>
      <c r="IIN10" s="2234"/>
      <c r="IIO10" s="2234"/>
      <c r="IIP10" s="2234"/>
      <c r="IIQ10" s="2234"/>
      <c r="IIR10" s="2234"/>
      <c r="IIS10" s="2234"/>
      <c r="IIT10" s="2234"/>
      <c r="IIU10" s="2234"/>
      <c r="IIV10" s="2234"/>
      <c r="IIW10" s="2234"/>
      <c r="IIX10" s="2234"/>
      <c r="IIY10" s="2234"/>
      <c r="IIZ10" s="2234"/>
      <c r="IJA10" s="2234"/>
      <c r="IJB10" s="2234"/>
      <c r="IJC10" s="2234"/>
      <c r="IJD10" s="2234"/>
      <c r="IJE10" s="2234"/>
      <c r="IJF10" s="2234"/>
      <c r="IJG10" s="2234"/>
      <c r="IJH10" s="2234"/>
      <c r="IJI10" s="2234"/>
      <c r="IJJ10" s="2234"/>
      <c r="IJK10" s="2234"/>
      <c r="IJL10" s="2234"/>
      <c r="IJM10" s="2234"/>
      <c r="IJN10" s="2234"/>
      <c r="IJO10" s="2234"/>
      <c r="IJP10" s="2234"/>
      <c r="IJQ10" s="2234"/>
      <c r="IJR10" s="2234"/>
      <c r="IJS10" s="2234"/>
      <c r="IJT10" s="2234"/>
      <c r="IJU10" s="2234"/>
      <c r="IJV10" s="2234"/>
      <c r="IJW10" s="2234"/>
      <c r="IJX10" s="2234"/>
      <c r="IJY10" s="2234"/>
      <c r="IJZ10" s="2234"/>
      <c r="IKA10" s="2234"/>
      <c r="IKB10" s="2234"/>
      <c r="IKC10" s="2234"/>
      <c r="IKD10" s="2234"/>
      <c r="IKE10" s="2234"/>
      <c r="IKF10" s="2234"/>
      <c r="IKG10" s="2234"/>
      <c r="IKH10" s="2234"/>
      <c r="IKI10" s="2234"/>
      <c r="IKJ10" s="2234"/>
      <c r="IKK10" s="2234"/>
      <c r="IKL10" s="2234"/>
      <c r="IKM10" s="2234"/>
      <c r="IKN10" s="2234"/>
      <c r="IKO10" s="2234"/>
      <c r="IKP10" s="2234"/>
      <c r="IKQ10" s="2234"/>
      <c r="IKR10" s="2234"/>
      <c r="IKS10" s="2234"/>
      <c r="IKT10" s="2234"/>
      <c r="IKU10" s="2234"/>
      <c r="IKV10" s="2234"/>
      <c r="IKW10" s="2234"/>
      <c r="IKX10" s="2234"/>
      <c r="IKY10" s="2234"/>
      <c r="IKZ10" s="2234"/>
      <c r="ILA10" s="2234"/>
      <c r="ILB10" s="2234"/>
      <c r="ILC10" s="2234"/>
      <c r="ILD10" s="2234"/>
      <c r="ILE10" s="2234"/>
      <c r="ILF10" s="2234"/>
      <c r="ILG10" s="2234"/>
      <c r="ILH10" s="2234"/>
      <c r="ILI10" s="2234"/>
      <c r="ILJ10" s="2234"/>
      <c r="ILK10" s="2234"/>
      <c r="ILL10" s="2234"/>
      <c r="ILM10" s="2234"/>
      <c r="ILN10" s="2234"/>
      <c r="ILO10" s="2234"/>
      <c r="ILP10" s="2234"/>
      <c r="ILQ10" s="2234"/>
      <c r="ILR10" s="2234"/>
      <c r="ILS10" s="2234"/>
      <c r="ILT10" s="2234"/>
      <c r="ILU10" s="2234"/>
      <c r="ILV10" s="2234"/>
      <c r="ILW10" s="2234"/>
      <c r="ILX10" s="2234"/>
      <c r="ILY10" s="2234"/>
      <c r="ILZ10" s="2234"/>
      <c r="IMA10" s="2234"/>
      <c r="IMB10" s="2234"/>
      <c r="IMC10" s="2234"/>
      <c r="IMD10" s="2234"/>
      <c r="IME10" s="2234"/>
      <c r="IMF10" s="2234"/>
      <c r="IMG10" s="2234"/>
      <c r="IMH10" s="2234"/>
      <c r="IMI10" s="2234"/>
      <c r="IMJ10" s="2234"/>
      <c r="IMK10" s="2234"/>
      <c r="IML10" s="2234"/>
      <c r="IMM10" s="2234"/>
      <c r="IMN10" s="2234"/>
      <c r="IMO10" s="2234"/>
      <c r="IMP10" s="2234"/>
      <c r="IMQ10" s="2234"/>
      <c r="IMR10" s="2234"/>
      <c r="IMS10" s="2234"/>
      <c r="IMT10" s="2234"/>
      <c r="IMU10" s="2234"/>
      <c r="IMV10" s="2234"/>
      <c r="IMW10" s="2234"/>
      <c r="IMX10" s="2234"/>
      <c r="IMY10" s="2234"/>
      <c r="IMZ10" s="2234"/>
      <c r="INA10" s="2234"/>
      <c r="INB10" s="2234"/>
      <c r="INC10" s="2234"/>
      <c r="IND10" s="2234"/>
      <c r="INE10" s="2234"/>
      <c r="INF10" s="2234"/>
      <c r="ING10" s="2234"/>
      <c r="INH10" s="2234"/>
      <c r="INI10" s="2234"/>
      <c r="INJ10" s="2234"/>
      <c r="INK10" s="2234"/>
      <c r="INL10" s="2234"/>
      <c r="INM10" s="2234"/>
      <c r="INN10" s="2234"/>
      <c r="INO10" s="2234"/>
      <c r="INP10" s="2234"/>
      <c r="INQ10" s="2234"/>
      <c r="INR10" s="2234"/>
      <c r="INS10" s="2234"/>
      <c r="INT10" s="2234"/>
      <c r="INU10" s="2234"/>
      <c r="INV10" s="2234"/>
      <c r="INW10" s="2234"/>
      <c r="INX10" s="2234"/>
      <c r="INY10" s="2234"/>
      <c r="INZ10" s="2234"/>
      <c r="IOA10" s="2234"/>
      <c r="IOB10" s="2234"/>
      <c r="IOC10" s="2234"/>
      <c r="IOD10" s="2234"/>
      <c r="IOE10" s="2234"/>
      <c r="IOF10" s="2234"/>
      <c r="IOG10" s="2234"/>
      <c r="IOH10" s="2234"/>
      <c r="IOI10" s="2234"/>
      <c r="IOJ10" s="2234"/>
      <c r="IOK10" s="2234"/>
      <c r="IOL10" s="2234"/>
      <c r="IOM10" s="2234"/>
      <c r="ION10" s="2234"/>
      <c r="IOO10" s="2234"/>
      <c r="IOP10" s="2234"/>
      <c r="IOQ10" s="2234"/>
      <c r="IOR10" s="2234"/>
      <c r="IOS10" s="2234"/>
      <c r="IOT10" s="2234"/>
      <c r="IOU10" s="2234"/>
      <c r="IOV10" s="2234"/>
      <c r="IOW10" s="2234"/>
      <c r="IOX10" s="2234"/>
      <c r="IOY10" s="2234"/>
      <c r="IOZ10" s="2234"/>
      <c r="IPA10" s="2234"/>
      <c r="IPB10" s="2234"/>
      <c r="IPC10" s="2234"/>
      <c r="IPD10" s="2234"/>
      <c r="IPE10" s="2234"/>
      <c r="IPF10" s="2234"/>
      <c r="IPG10" s="2234"/>
      <c r="IPH10" s="2234"/>
      <c r="IPI10" s="2234"/>
      <c r="IPJ10" s="2234"/>
      <c r="IPK10" s="2234"/>
      <c r="IPL10" s="2234"/>
      <c r="IPM10" s="2234"/>
      <c r="IPN10" s="2234"/>
      <c r="IPO10" s="2234"/>
      <c r="IPP10" s="2234"/>
      <c r="IPQ10" s="2234"/>
      <c r="IPR10" s="2234"/>
      <c r="IPS10" s="2234"/>
      <c r="IPT10" s="2234"/>
      <c r="IPU10" s="2234"/>
      <c r="IPV10" s="2234"/>
      <c r="IPW10" s="2234"/>
      <c r="IPX10" s="2234"/>
      <c r="IPY10" s="2234"/>
      <c r="IPZ10" s="2234"/>
      <c r="IQA10" s="2234"/>
      <c r="IQB10" s="2234"/>
      <c r="IQC10" s="2234"/>
      <c r="IQD10" s="2234"/>
      <c r="IQE10" s="2234"/>
      <c r="IQF10" s="2234"/>
      <c r="IQG10" s="2234"/>
      <c r="IQH10" s="2234"/>
      <c r="IQI10" s="2234"/>
      <c r="IQJ10" s="2234"/>
      <c r="IQK10" s="2234"/>
      <c r="IQL10" s="2234"/>
      <c r="IQM10" s="2234"/>
      <c r="IQN10" s="2234"/>
      <c r="IQO10" s="2234"/>
      <c r="IQP10" s="2234"/>
      <c r="IQQ10" s="2234"/>
      <c r="IQR10" s="2234"/>
      <c r="IQS10" s="2234"/>
      <c r="IQT10" s="2234"/>
      <c r="IQU10" s="2234"/>
      <c r="IQV10" s="2234"/>
      <c r="IQW10" s="2234"/>
      <c r="IQX10" s="2234"/>
      <c r="IQY10" s="2234"/>
      <c r="IQZ10" s="2234"/>
      <c r="IRA10" s="2234"/>
      <c r="IRB10" s="2234"/>
      <c r="IRC10" s="2234"/>
      <c r="IRD10" s="2234"/>
      <c r="IRE10" s="2234"/>
      <c r="IRF10" s="2234"/>
      <c r="IRG10" s="2234"/>
      <c r="IRH10" s="2234"/>
      <c r="IRI10" s="2234"/>
      <c r="IRJ10" s="2234"/>
      <c r="IRK10" s="2234"/>
      <c r="IRL10" s="2234"/>
      <c r="IRM10" s="2234"/>
      <c r="IRN10" s="2234"/>
      <c r="IRO10" s="2234"/>
      <c r="IRP10" s="2234"/>
      <c r="IRQ10" s="2234"/>
      <c r="IRR10" s="2234"/>
      <c r="IRS10" s="2234"/>
      <c r="IRT10" s="2234"/>
      <c r="IRU10" s="2234"/>
      <c r="IRV10" s="2234"/>
      <c r="IRW10" s="2234"/>
      <c r="IRX10" s="2234"/>
      <c r="IRY10" s="2234"/>
      <c r="IRZ10" s="2234"/>
      <c r="ISA10" s="2234"/>
      <c r="ISB10" s="2234"/>
      <c r="ISC10" s="2234"/>
      <c r="ISD10" s="2234"/>
      <c r="ISE10" s="2234"/>
      <c r="ISF10" s="2234"/>
      <c r="ISG10" s="2234"/>
      <c r="ISH10" s="2234"/>
      <c r="ISI10" s="2234"/>
      <c r="ISJ10" s="2234"/>
      <c r="ISK10" s="2234"/>
      <c r="ISL10" s="2234"/>
      <c r="ISM10" s="2234"/>
      <c r="ISN10" s="2234"/>
      <c r="ISO10" s="2234"/>
      <c r="ISP10" s="2234"/>
      <c r="ISQ10" s="2234"/>
      <c r="ISR10" s="2234"/>
      <c r="ISS10" s="2234"/>
      <c r="IST10" s="2234"/>
      <c r="ISU10" s="2234"/>
      <c r="ISV10" s="2234"/>
      <c r="ISW10" s="2234"/>
      <c r="ISX10" s="2234"/>
      <c r="ISY10" s="2234"/>
      <c r="ISZ10" s="2234"/>
      <c r="ITA10" s="2234"/>
      <c r="ITB10" s="2234"/>
      <c r="ITC10" s="2234"/>
      <c r="ITD10" s="2234"/>
      <c r="ITE10" s="2234"/>
      <c r="ITF10" s="2234"/>
      <c r="ITG10" s="2234"/>
      <c r="ITH10" s="2234"/>
      <c r="ITI10" s="2234"/>
      <c r="ITJ10" s="2234"/>
      <c r="ITK10" s="2234"/>
      <c r="ITL10" s="2234"/>
      <c r="ITM10" s="2234"/>
      <c r="ITN10" s="2234"/>
      <c r="ITO10" s="2234"/>
      <c r="ITP10" s="2234"/>
      <c r="ITQ10" s="2234"/>
      <c r="ITR10" s="2234"/>
      <c r="ITS10" s="2234"/>
      <c r="ITT10" s="2234"/>
      <c r="ITU10" s="2234"/>
      <c r="ITV10" s="2234"/>
      <c r="ITW10" s="2234"/>
      <c r="ITX10" s="2234"/>
      <c r="ITY10" s="2234"/>
      <c r="ITZ10" s="2234"/>
      <c r="IUA10" s="2234"/>
      <c r="IUB10" s="2234"/>
      <c r="IUC10" s="2234"/>
      <c r="IUD10" s="2234"/>
      <c r="IUE10" s="2234"/>
      <c r="IUF10" s="2234"/>
      <c r="IUG10" s="2234"/>
      <c r="IUH10" s="2234"/>
      <c r="IUI10" s="2234"/>
      <c r="IUJ10" s="2234"/>
      <c r="IUK10" s="2234"/>
      <c r="IUL10" s="2234"/>
      <c r="IUM10" s="2234"/>
      <c r="IUN10" s="2234"/>
      <c r="IUO10" s="2234"/>
      <c r="IUP10" s="2234"/>
      <c r="IUQ10" s="2234"/>
      <c r="IUR10" s="2234"/>
      <c r="IUS10" s="2234"/>
      <c r="IUT10" s="2234"/>
      <c r="IUU10" s="2234"/>
      <c r="IUV10" s="2234"/>
      <c r="IUW10" s="2234"/>
      <c r="IUX10" s="2234"/>
      <c r="IUY10" s="2234"/>
      <c r="IUZ10" s="2234"/>
      <c r="IVA10" s="2234"/>
      <c r="IVB10" s="2234"/>
      <c r="IVC10" s="2234"/>
      <c r="IVD10" s="2234"/>
      <c r="IVE10" s="2234"/>
      <c r="IVF10" s="2234"/>
      <c r="IVG10" s="2234"/>
      <c r="IVH10" s="2234"/>
      <c r="IVI10" s="2234"/>
      <c r="IVJ10" s="2234"/>
      <c r="IVK10" s="2234"/>
      <c r="IVL10" s="2234"/>
      <c r="IVM10" s="2234"/>
      <c r="IVN10" s="2234"/>
      <c r="IVO10" s="2234"/>
      <c r="IVP10" s="2234"/>
      <c r="IVQ10" s="2234"/>
      <c r="IVR10" s="2234"/>
      <c r="IVS10" s="2234"/>
      <c r="IVT10" s="2234"/>
      <c r="IVU10" s="2234"/>
      <c r="IVV10" s="2234"/>
      <c r="IVW10" s="2234"/>
      <c r="IVX10" s="2234"/>
      <c r="IVY10" s="2234"/>
      <c r="IVZ10" s="2234"/>
      <c r="IWA10" s="2234"/>
      <c r="IWB10" s="2234"/>
      <c r="IWC10" s="2234"/>
      <c r="IWD10" s="2234"/>
      <c r="IWE10" s="2234"/>
      <c r="IWF10" s="2234"/>
      <c r="IWG10" s="2234"/>
      <c r="IWH10" s="2234"/>
      <c r="IWI10" s="2234"/>
      <c r="IWJ10" s="2234"/>
      <c r="IWK10" s="2234"/>
      <c r="IWL10" s="2234"/>
      <c r="IWM10" s="2234"/>
      <c r="IWN10" s="2234"/>
      <c r="IWO10" s="2234"/>
      <c r="IWP10" s="2234"/>
      <c r="IWQ10" s="2234"/>
      <c r="IWR10" s="2234"/>
      <c r="IWS10" s="2234"/>
      <c r="IWT10" s="2234"/>
      <c r="IWU10" s="2234"/>
      <c r="IWV10" s="2234"/>
      <c r="IWW10" s="2234"/>
      <c r="IWX10" s="2234"/>
      <c r="IWY10" s="2234"/>
      <c r="IWZ10" s="2234"/>
      <c r="IXA10" s="2234"/>
      <c r="IXB10" s="2234"/>
      <c r="IXC10" s="2234"/>
      <c r="IXD10" s="2234"/>
      <c r="IXE10" s="2234"/>
      <c r="IXF10" s="2234"/>
      <c r="IXG10" s="2234"/>
      <c r="IXH10" s="2234"/>
      <c r="IXI10" s="2234"/>
      <c r="IXJ10" s="2234"/>
      <c r="IXK10" s="2234"/>
      <c r="IXL10" s="2234"/>
      <c r="IXM10" s="2234"/>
      <c r="IXN10" s="2234"/>
      <c r="IXO10" s="2234"/>
      <c r="IXP10" s="2234"/>
      <c r="IXQ10" s="2234"/>
      <c r="IXR10" s="2234"/>
      <c r="IXS10" s="2234"/>
      <c r="IXT10" s="2234"/>
      <c r="IXU10" s="2234"/>
      <c r="IXV10" s="2234"/>
      <c r="IXW10" s="2234"/>
      <c r="IXX10" s="2234"/>
      <c r="IXY10" s="2234"/>
      <c r="IXZ10" s="2234"/>
      <c r="IYA10" s="2234"/>
      <c r="IYB10" s="2234"/>
      <c r="IYC10" s="2234"/>
      <c r="IYD10" s="2234"/>
      <c r="IYE10" s="2234"/>
      <c r="IYF10" s="2234"/>
      <c r="IYG10" s="2234"/>
      <c r="IYH10" s="2234"/>
      <c r="IYI10" s="2234"/>
      <c r="IYJ10" s="2234"/>
      <c r="IYK10" s="2234"/>
      <c r="IYL10" s="2234"/>
      <c r="IYM10" s="2234"/>
      <c r="IYN10" s="2234"/>
      <c r="IYO10" s="2234"/>
      <c r="IYP10" s="2234"/>
      <c r="IYQ10" s="2234"/>
      <c r="IYR10" s="2234"/>
      <c r="IYS10" s="2234"/>
      <c r="IYT10" s="2234"/>
      <c r="IYU10" s="2234"/>
      <c r="IYV10" s="2234"/>
      <c r="IYW10" s="2234"/>
      <c r="IYX10" s="2234"/>
      <c r="IYY10" s="2234"/>
      <c r="IYZ10" s="2234"/>
      <c r="IZA10" s="2234"/>
      <c r="IZB10" s="2234"/>
      <c r="IZC10" s="2234"/>
      <c r="IZD10" s="2234"/>
      <c r="IZE10" s="2234"/>
      <c r="IZF10" s="2234"/>
      <c r="IZG10" s="2234"/>
      <c r="IZH10" s="2234"/>
      <c r="IZI10" s="2234"/>
      <c r="IZJ10" s="2234"/>
      <c r="IZK10" s="2234"/>
      <c r="IZL10" s="2234"/>
      <c r="IZM10" s="2234"/>
      <c r="IZN10" s="2234"/>
      <c r="IZO10" s="2234"/>
      <c r="IZP10" s="2234"/>
      <c r="IZQ10" s="2234"/>
      <c r="IZR10" s="2234"/>
      <c r="IZS10" s="2234"/>
      <c r="IZT10" s="2234"/>
      <c r="IZU10" s="2234"/>
      <c r="IZV10" s="2234"/>
      <c r="IZW10" s="2234"/>
      <c r="IZX10" s="2234"/>
      <c r="IZY10" s="2234"/>
      <c r="IZZ10" s="2234"/>
      <c r="JAA10" s="2234"/>
      <c r="JAB10" s="2234"/>
      <c r="JAC10" s="2234"/>
      <c r="JAD10" s="2234"/>
      <c r="JAE10" s="2234"/>
      <c r="JAF10" s="2234"/>
      <c r="JAG10" s="2234"/>
      <c r="JAH10" s="2234"/>
      <c r="JAI10" s="2234"/>
      <c r="JAJ10" s="2234"/>
      <c r="JAK10" s="2234"/>
      <c r="JAL10" s="2234"/>
      <c r="JAM10" s="2234"/>
      <c r="JAN10" s="2234"/>
      <c r="JAO10" s="2234"/>
      <c r="JAP10" s="2234"/>
      <c r="JAQ10" s="2234"/>
      <c r="JAR10" s="2234"/>
      <c r="JAS10" s="2234"/>
      <c r="JAT10" s="2234"/>
      <c r="JAU10" s="2234"/>
      <c r="JAV10" s="2234"/>
      <c r="JAW10" s="2234"/>
      <c r="JAX10" s="2234"/>
      <c r="JAY10" s="2234"/>
      <c r="JAZ10" s="2234"/>
      <c r="JBA10" s="2234"/>
      <c r="JBB10" s="2234"/>
      <c r="JBC10" s="2234"/>
      <c r="JBD10" s="2234"/>
      <c r="JBE10" s="2234"/>
      <c r="JBF10" s="2234"/>
      <c r="JBG10" s="2234"/>
      <c r="JBH10" s="2234"/>
      <c r="JBI10" s="2234"/>
      <c r="JBJ10" s="2234"/>
      <c r="JBK10" s="2234"/>
      <c r="JBL10" s="2234"/>
      <c r="JBM10" s="2234"/>
      <c r="JBN10" s="2234"/>
      <c r="JBO10" s="2234"/>
      <c r="JBP10" s="2234"/>
      <c r="JBQ10" s="2234"/>
      <c r="JBR10" s="2234"/>
      <c r="JBS10" s="2234"/>
      <c r="JBT10" s="2234"/>
      <c r="JBU10" s="2234"/>
      <c r="JBV10" s="2234"/>
      <c r="JBW10" s="2234"/>
      <c r="JBX10" s="2234"/>
      <c r="JBY10" s="2234"/>
      <c r="JBZ10" s="2234"/>
      <c r="JCA10" s="2234"/>
      <c r="JCB10" s="2234"/>
      <c r="JCC10" s="2234"/>
      <c r="JCD10" s="2234"/>
      <c r="JCE10" s="2234"/>
      <c r="JCF10" s="2234"/>
      <c r="JCG10" s="2234"/>
      <c r="JCH10" s="2234"/>
      <c r="JCI10" s="2234"/>
      <c r="JCJ10" s="2234"/>
      <c r="JCK10" s="2234"/>
      <c r="JCL10" s="2234"/>
      <c r="JCM10" s="2234"/>
      <c r="JCN10" s="2234"/>
      <c r="JCO10" s="2234"/>
      <c r="JCP10" s="2234"/>
      <c r="JCQ10" s="2234"/>
      <c r="JCR10" s="2234"/>
      <c r="JCS10" s="2234"/>
      <c r="JCT10" s="2234"/>
      <c r="JCU10" s="2234"/>
      <c r="JCV10" s="2234"/>
      <c r="JCW10" s="2234"/>
      <c r="JCX10" s="2234"/>
      <c r="JCY10" s="2234"/>
      <c r="JCZ10" s="2234"/>
      <c r="JDA10" s="2234"/>
      <c r="JDB10" s="2234"/>
      <c r="JDC10" s="2234"/>
      <c r="JDD10" s="2234"/>
      <c r="JDE10" s="2234"/>
      <c r="JDF10" s="2234"/>
      <c r="JDG10" s="2234"/>
      <c r="JDH10" s="2234"/>
      <c r="JDI10" s="2234"/>
      <c r="JDJ10" s="2234"/>
      <c r="JDK10" s="2234"/>
      <c r="JDL10" s="2234"/>
      <c r="JDM10" s="2234"/>
      <c r="JDN10" s="2234"/>
      <c r="JDO10" s="2234"/>
      <c r="JDP10" s="2234"/>
      <c r="JDQ10" s="2234"/>
      <c r="JDR10" s="2234"/>
      <c r="JDS10" s="2234"/>
      <c r="JDT10" s="2234"/>
      <c r="JDU10" s="2234"/>
      <c r="JDV10" s="2234"/>
      <c r="JDW10" s="2234"/>
      <c r="JDX10" s="2234"/>
      <c r="JDY10" s="2234"/>
      <c r="JDZ10" s="2234"/>
      <c r="JEA10" s="2234"/>
      <c r="JEB10" s="2234"/>
      <c r="JEC10" s="2234"/>
      <c r="JED10" s="2234"/>
      <c r="JEE10" s="2234"/>
      <c r="JEF10" s="2234"/>
      <c r="JEG10" s="2234"/>
      <c r="JEH10" s="2234"/>
      <c r="JEI10" s="2234"/>
      <c r="JEJ10" s="2234"/>
      <c r="JEK10" s="2234"/>
      <c r="JEL10" s="2234"/>
      <c r="JEM10" s="2234"/>
      <c r="JEN10" s="2234"/>
      <c r="JEO10" s="2234"/>
      <c r="JEP10" s="2234"/>
      <c r="JEQ10" s="2234"/>
      <c r="JER10" s="2234"/>
      <c r="JES10" s="2234"/>
      <c r="JET10" s="2234"/>
      <c r="JEU10" s="2234"/>
      <c r="JEV10" s="2234"/>
      <c r="JEW10" s="2234"/>
      <c r="JEX10" s="2234"/>
      <c r="JEY10" s="2234"/>
      <c r="JEZ10" s="2234"/>
      <c r="JFA10" s="2234"/>
      <c r="JFB10" s="2234"/>
      <c r="JFC10" s="2234"/>
      <c r="JFD10" s="2234"/>
      <c r="JFE10" s="2234"/>
      <c r="JFF10" s="2234"/>
      <c r="JFG10" s="2234"/>
      <c r="JFH10" s="2234"/>
      <c r="JFI10" s="2234"/>
      <c r="JFJ10" s="2234"/>
      <c r="JFK10" s="2234"/>
      <c r="JFL10" s="2234"/>
      <c r="JFM10" s="2234"/>
      <c r="JFN10" s="2234"/>
      <c r="JFO10" s="2234"/>
      <c r="JFP10" s="2234"/>
      <c r="JFQ10" s="2234"/>
      <c r="JFR10" s="2234"/>
      <c r="JFS10" s="2234"/>
      <c r="JFT10" s="2234"/>
      <c r="JFU10" s="2234"/>
      <c r="JFV10" s="2234"/>
      <c r="JFW10" s="2234"/>
      <c r="JFX10" s="2234"/>
      <c r="JFY10" s="2234"/>
      <c r="JFZ10" s="2234"/>
      <c r="JGA10" s="2234"/>
      <c r="JGB10" s="2234"/>
      <c r="JGC10" s="2234"/>
      <c r="JGD10" s="2234"/>
      <c r="JGE10" s="2234"/>
      <c r="JGF10" s="2234"/>
      <c r="JGG10" s="2234"/>
      <c r="JGH10" s="2234"/>
      <c r="JGI10" s="2234"/>
      <c r="JGJ10" s="2234"/>
      <c r="JGK10" s="2234"/>
      <c r="JGL10" s="2234"/>
      <c r="JGM10" s="2234"/>
      <c r="JGN10" s="2234"/>
      <c r="JGO10" s="2234"/>
      <c r="JGP10" s="2234"/>
      <c r="JGQ10" s="2234"/>
      <c r="JGR10" s="2234"/>
      <c r="JGS10" s="2234"/>
      <c r="JGT10" s="2234"/>
      <c r="JGU10" s="2234"/>
      <c r="JGV10" s="2234"/>
      <c r="JGW10" s="2234"/>
      <c r="JGX10" s="2234"/>
      <c r="JGY10" s="2234"/>
      <c r="JGZ10" s="2234"/>
      <c r="JHA10" s="2234"/>
      <c r="JHB10" s="2234"/>
      <c r="JHC10" s="2234"/>
      <c r="JHD10" s="2234"/>
      <c r="JHE10" s="2234"/>
      <c r="JHF10" s="2234"/>
      <c r="JHG10" s="2234"/>
      <c r="JHH10" s="2234"/>
      <c r="JHI10" s="2234"/>
      <c r="JHJ10" s="2234"/>
      <c r="JHK10" s="2234"/>
      <c r="JHL10" s="2234"/>
      <c r="JHM10" s="2234"/>
      <c r="JHN10" s="2234"/>
      <c r="JHO10" s="2234"/>
      <c r="JHP10" s="2234"/>
      <c r="JHQ10" s="2234"/>
      <c r="JHR10" s="2234"/>
      <c r="JHS10" s="2234"/>
      <c r="JHT10" s="2234"/>
      <c r="JHU10" s="2234"/>
      <c r="JHV10" s="2234"/>
      <c r="JHW10" s="2234"/>
      <c r="JHX10" s="2234"/>
      <c r="JHY10" s="2234"/>
      <c r="JHZ10" s="2234"/>
      <c r="JIA10" s="2234"/>
      <c r="JIB10" s="2234"/>
      <c r="JIC10" s="2234"/>
      <c r="JID10" s="2234"/>
      <c r="JIE10" s="2234"/>
      <c r="JIF10" s="2234"/>
      <c r="JIG10" s="2234"/>
      <c r="JIH10" s="2234"/>
      <c r="JII10" s="2234"/>
      <c r="JIJ10" s="2234"/>
      <c r="JIK10" s="2234"/>
      <c r="JIL10" s="2234"/>
      <c r="JIM10" s="2234"/>
      <c r="JIN10" s="2234"/>
      <c r="JIO10" s="2234"/>
      <c r="JIP10" s="2234"/>
      <c r="JIQ10" s="2234"/>
      <c r="JIR10" s="2234"/>
      <c r="JIS10" s="2234"/>
      <c r="JIT10" s="2234"/>
      <c r="JIU10" s="2234"/>
      <c r="JIV10" s="2234"/>
      <c r="JIW10" s="2234"/>
      <c r="JIX10" s="2234"/>
      <c r="JIY10" s="2234"/>
      <c r="JIZ10" s="2234"/>
      <c r="JJA10" s="2234"/>
      <c r="JJB10" s="2234"/>
      <c r="JJC10" s="2234"/>
      <c r="JJD10" s="2234"/>
      <c r="JJE10" s="2234"/>
      <c r="JJF10" s="2234"/>
      <c r="JJG10" s="2234"/>
      <c r="JJH10" s="2234"/>
      <c r="JJI10" s="2234"/>
      <c r="JJJ10" s="2234"/>
      <c r="JJK10" s="2234"/>
      <c r="JJL10" s="2234"/>
      <c r="JJM10" s="2234"/>
      <c r="JJN10" s="2234"/>
      <c r="JJO10" s="2234"/>
      <c r="JJP10" s="2234"/>
      <c r="JJQ10" s="2234"/>
      <c r="JJR10" s="2234"/>
      <c r="JJS10" s="2234"/>
      <c r="JJT10" s="2234"/>
      <c r="JJU10" s="2234"/>
      <c r="JJV10" s="2234"/>
      <c r="JJW10" s="2234"/>
      <c r="JJX10" s="2234"/>
      <c r="JJY10" s="2234"/>
      <c r="JJZ10" s="2234"/>
      <c r="JKA10" s="2234"/>
      <c r="JKB10" s="2234"/>
      <c r="JKC10" s="2234"/>
      <c r="JKD10" s="2234"/>
      <c r="JKE10" s="2234"/>
      <c r="JKF10" s="2234"/>
      <c r="JKG10" s="2234"/>
      <c r="JKH10" s="2234"/>
      <c r="JKI10" s="2234"/>
      <c r="JKJ10" s="2234"/>
      <c r="JKK10" s="2234"/>
      <c r="JKL10" s="2234"/>
      <c r="JKM10" s="2234"/>
      <c r="JKN10" s="2234"/>
      <c r="JKO10" s="2234"/>
      <c r="JKP10" s="2234"/>
      <c r="JKQ10" s="2234"/>
      <c r="JKR10" s="2234"/>
      <c r="JKS10" s="2234"/>
      <c r="JKT10" s="2234"/>
      <c r="JKU10" s="2234"/>
      <c r="JKV10" s="2234"/>
      <c r="JKW10" s="2234"/>
      <c r="JKX10" s="2234"/>
      <c r="JKY10" s="2234"/>
      <c r="JKZ10" s="2234"/>
      <c r="JLA10" s="2234"/>
      <c r="JLB10" s="2234"/>
      <c r="JLC10" s="2234"/>
      <c r="JLD10" s="2234"/>
      <c r="JLE10" s="2234"/>
      <c r="JLF10" s="2234"/>
      <c r="JLG10" s="2234"/>
      <c r="JLH10" s="2234"/>
      <c r="JLI10" s="2234"/>
      <c r="JLJ10" s="2234"/>
      <c r="JLK10" s="2234"/>
      <c r="JLL10" s="2234"/>
      <c r="JLM10" s="2234"/>
      <c r="JLN10" s="2234"/>
      <c r="JLO10" s="2234"/>
      <c r="JLP10" s="2234"/>
      <c r="JLQ10" s="2234"/>
      <c r="JLR10" s="2234"/>
      <c r="JLS10" s="2234"/>
      <c r="JLT10" s="2234"/>
      <c r="JLU10" s="2234"/>
      <c r="JLV10" s="2234"/>
      <c r="JLW10" s="2234"/>
      <c r="JLX10" s="2234"/>
      <c r="JLY10" s="2234"/>
      <c r="JLZ10" s="2234"/>
      <c r="JMA10" s="2234"/>
      <c r="JMB10" s="2234"/>
      <c r="JMC10" s="2234"/>
      <c r="JMD10" s="2234"/>
      <c r="JME10" s="2234"/>
      <c r="JMF10" s="2234"/>
      <c r="JMG10" s="2234"/>
      <c r="JMH10" s="2234"/>
      <c r="JMI10" s="2234"/>
      <c r="JMJ10" s="2234"/>
      <c r="JMK10" s="2234"/>
      <c r="JML10" s="2234"/>
      <c r="JMM10" s="2234"/>
      <c r="JMN10" s="2234"/>
      <c r="JMO10" s="2234"/>
      <c r="JMP10" s="2234"/>
      <c r="JMQ10" s="2234"/>
      <c r="JMR10" s="2234"/>
      <c r="JMS10" s="2234"/>
      <c r="JMT10" s="2234"/>
      <c r="JMU10" s="2234"/>
      <c r="JMV10" s="2234"/>
      <c r="JMW10" s="2234"/>
      <c r="JMX10" s="2234"/>
      <c r="JMY10" s="2234"/>
      <c r="JMZ10" s="2234"/>
      <c r="JNA10" s="2234"/>
      <c r="JNB10" s="2234"/>
      <c r="JNC10" s="2234"/>
      <c r="JND10" s="2234"/>
      <c r="JNE10" s="2234"/>
      <c r="JNF10" s="2234"/>
      <c r="JNG10" s="2234"/>
      <c r="JNH10" s="2234"/>
      <c r="JNI10" s="2234"/>
      <c r="JNJ10" s="2234"/>
      <c r="JNK10" s="2234"/>
      <c r="JNL10" s="2234"/>
      <c r="JNM10" s="2234"/>
      <c r="JNN10" s="2234"/>
      <c r="JNO10" s="2234"/>
      <c r="JNP10" s="2234"/>
      <c r="JNQ10" s="2234"/>
      <c r="JNR10" s="2234"/>
      <c r="JNS10" s="2234"/>
      <c r="JNT10" s="2234"/>
      <c r="JNU10" s="2234"/>
      <c r="JNV10" s="2234"/>
      <c r="JNW10" s="2234"/>
      <c r="JNX10" s="2234"/>
      <c r="JNY10" s="2234"/>
      <c r="JNZ10" s="2234"/>
      <c r="JOA10" s="2234"/>
      <c r="JOB10" s="2234"/>
      <c r="JOC10" s="2234"/>
      <c r="JOD10" s="2234"/>
      <c r="JOE10" s="2234"/>
      <c r="JOF10" s="2234"/>
      <c r="JOG10" s="2234"/>
      <c r="JOH10" s="2234"/>
      <c r="JOI10" s="2234"/>
      <c r="JOJ10" s="2234"/>
      <c r="JOK10" s="2234"/>
      <c r="JOL10" s="2234"/>
      <c r="JOM10" s="2234"/>
      <c r="JON10" s="2234"/>
      <c r="JOO10" s="2234"/>
      <c r="JOP10" s="2234"/>
      <c r="JOQ10" s="2234"/>
      <c r="JOR10" s="2234"/>
      <c r="JOS10" s="2234"/>
      <c r="JOT10" s="2234"/>
      <c r="JOU10" s="2234"/>
      <c r="JOV10" s="2234"/>
      <c r="JOW10" s="2234"/>
      <c r="JOX10" s="2234"/>
      <c r="JOY10" s="2234"/>
      <c r="JOZ10" s="2234"/>
      <c r="JPA10" s="2234"/>
      <c r="JPB10" s="2234"/>
      <c r="JPC10" s="2234"/>
      <c r="JPD10" s="2234"/>
      <c r="JPE10" s="2234"/>
      <c r="JPF10" s="2234"/>
      <c r="JPG10" s="2234"/>
      <c r="JPH10" s="2234"/>
      <c r="JPI10" s="2234"/>
      <c r="JPJ10" s="2234"/>
      <c r="JPK10" s="2234"/>
      <c r="JPL10" s="2234"/>
      <c r="JPM10" s="2234"/>
      <c r="JPN10" s="2234"/>
      <c r="JPO10" s="2234"/>
      <c r="JPP10" s="2234"/>
      <c r="JPQ10" s="2234"/>
      <c r="JPR10" s="2234"/>
      <c r="JPS10" s="2234"/>
      <c r="JPT10" s="2234"/>
      <c r="JPU10" s="2234"/>
      <c r="JPV10" s="2234"/>
      <c r="JPW10" s="2234"/>
      <c r="JPX10" s="2234"/>
      <c r="JPY10" s="2234"/>
      <c r="JPZ10" s="2234"/>
      <c r="JQA10" s="2234"/>
      <c r="JQB10" s="2234"/>
      <c r="JQC10" s="2234"/>
      <c r="JQD10" s="2234"/>
      <c r="JQE10" s="2234"/>
      <c r="JQF10" s="2234"/>
      <c r="JQG10" s="2234"/>
      <c r="JQH10" s="2234"/>
      <c r="JQI10" s="2234"/>
      <c r="JQJ10" s="2234"/>
      <c r="JQK10" s="2234"/>
      <c r="JQL10" s="2234"/>
      <c r="JQM10" s="2234"/>
      <c r="JQN10" s="2234"/>
      <c r="JQO10" s="2234"/>
      <c r="JQP10" s="2234"/>
      <c r="JQQ10" s="2234"/>
      <c r="JQR10" s="2234"/>
      <c r="JQS10" s="2234"/>
      <c r="JQT10" s="2234"/>
      <c r="JQU10" s="2234"/>
      <c r="JQV10" s="2234"/>
      <c r="JQW10" s="2234"/>
      <c r="JQX10" s="2234"/>
      <c r="JQY10" s="2234"/>
      <c r="JQZ10" s="2234"/>
      <c r="JRA10" s="2234"/>
      <c r="JRB10" s="2234"/>
      <c r="JRC10" s="2234"/>
      <c r="JRD10" s="2234"/>
      <c r="JRE10" s="2234"/>
      <c r="JRF10" s="2234"/>
      <c r="JRG10" s="2234"/>
      <c r="JRH10" s="2234"/>
      <c r="JRI10" s="2234"/>
      <c r="JRJ10" s="2234"/>
      <c r="JRK10" s="2234"/>
      <c r="JRL10" s="2234"/>
      <c r="JRM10" s="2234"/>
      <c r="JRN10" s="2234"/>
      <c r="JRO10" s="2234"/>
      <c r="JRP10" s="2234"/>
      <c r="JRQ10" s="2234"/>
      <c r="JRR10" s="2234"/>
      <c r="JRS10" s="2234"/>
      <c r="JRT10" s="2234"/>
      <c r="JRU10" s="2234"/>
      <c r="JRV10" s="2234"/>
      <c r="JRW10" s="2234"/>
      <c r="JRX10" s="2234"/>
      <c r="JRY10" s="2234"/>
      <c r="JRZ10" s="2234"/>
      <c r="JSA10" s="2234"/>
      <c r="JSB10" s="2234"/>
      <c r="JSC10" s="2234"/>
      <c r="JSD10" s="2234"/>
      <c r="JSE10" s="2234"/>
      <c r="JSF10" s="2234"/>
      <c r="JSG10" s="2234"/>
      <c r="JSH10" s="2234"/>
      <c r="JSI10" s="2234"/>
      <c r="JSJ10" s="2234"/>
      <c r="JSK10" s="2234"/>
      <c r="JSL10" s="2234"/>
      <c r="JSM10" s="2234"/>
      <c r="JSN10" s="2234"/>
      <c r="JSO10" s="2234"/>
      <c r="JSP10" s="2234"/>
      <c r="JSQ10" s="2234"/>
      <c r="JSR10" s="2234"/>
      <c r="JSS10" s="2234"/>
      <c r="JST10" s="2234"/>
      <c r="JSU10" s="2234"/>
      <c r="JSV10" s="2234"/>
      <c r="JSW10" s="2234"/>
      <c r="JSX10" s="2234"/>
      <c r="JSY10" s="2234"/>
      <c r="JSZ10" s="2234"/>
      <c r="JTA10" s="2234"/>
      <c r="JTB10" s="2234"/>
      <c r="JTC10" s="2234"/>
      <c r="JTD10" s="2234"/>
      <c r="JTE10" s="2234"/>
      <c r="JTF10" s="2234"/>
      <c r="JTG10" s="2234"/>
      <c r="JTH10" s="2234"/>
      <c r="JTI10" s="2234"/>
      <c r="JTJ10" s="2234"/>
      <c r="JTK10" s="2234"/>
      <c r="JTL10" s="2234"/>
      <c r="JTM10" s="2234"/>
      <c r="JTN10" s="2234"/>
      <c r="JTO10" s="2234"/>
      <c r="JTP10" s="2234"/>
      <c r="JTQ10" s="2234"/>
      <c r="JTR10" s="2234"/>
      <c r="JTS10" s="2234"/>
      <c r="JTT10" s="2234"/>
      <c r="JTU10" s="2234"/>
      <c r="JTV10" s="2234"/>
      <c r="JTW10" s="2234"/>
      <c r="JTX10" s="2234"/>
      <c r="JTY10" s="2234"/>
      <c r="JTZ10" s="2234"/>
      <c r="JUA10" s="2234"/>
      <c r="JUB10" s="2234"/>
      <c r="JUC10" s="2234"/>
      <c r="JUD10" s="2234"/>
      <c r="JUE10" s="2234"/>
      <c r="JUF10" s="2234"/>
      <c r="JUG10" s="2234"/>
      <c r="JUH10" s="2234"/>
      <c r="JUI10" s="2234"/>
      <c r="JUJ10" s="2234"/>
      <c r="JUK10" s="2234"/>
      <c r="JUL10" s="2234"/>
      <c r="JUM10" s="2234"/>
      <c r="JUN10" s="2234"/>
      <c r="JUO10" s="2234"/>
      <c r="JUP10" s="2234"/>
      <c r="JUQ10" s="2234"/>
      <c r="JUR10" s="2234"/>
      <c r="JUS10" s="2234"/>
      <c r="JUT10" s="2234"/>
      <c r="JUU10" s="2234"/>
      <c r="JUV10" s="2234"/>
      <c r="JUW10" s="2234"/>
      <c r="JUX10" s="2234"/>
      <c r="JUY10" s="2234"/>
      <c r="JUZ10" s="2234"/>
      <c r="JVA10" s="2234"/>
      <c r="JVB10" s="2234"/>
      <c r="JVC10" s="2234"/>
      <c r="JVD10" s="2234"/>
      <c r="JVE10" s="2234"/>
      <c r="JVF10" s="2234"/>
      <c r="JVG10" s="2234"/>
      <c r="JVH10" s="2234"/>
      <c r="JVI10" s="2234"/>
      <c r="JVJ10" s="2234"/>
      <c r="JVK10" s="2234"/>
      <c r="JVL10" s="2234"/>
      <c r="JVM10" s="2234"/>
      <c r="JVN10" s="2234"/>
      <c r="JVO10" s="2234"/>
      <c r="JVP10" s="2234"/>
      <c r="JVQ10" s="2234"/>
      <c r="JVR10" s="2234"/>
      <c r="JVS10" s="2234"/>
      <c r="JVT10" s="2234"/>
      <c r="JVU10" s="2234"/>
      <c r="JVV10" s="2234"/>
      <c r="JVW10" s="2234"/>
      <c r="JVX10" s="2234"/>
      <c r="JVY10" s="2234"/>
      <c r="JVZ10" s="2234"/>
      <c r="JWA10" s="2234"/>
      <c r="JWB10" s="2234"/>
      <c r="JWC10" s="2234"/>
      <c r="JWD10" s="2234"/>
      <c r="JWE10" s="2234"/>
      <c r="JWF10" s="2234"/>
      <c r="JWG10" s="2234"/>
      <c r="JWH10" s="2234"/>
      <c r="JWI10" s="2234"/>
      <c r="JWJ10" s="2234"/>
      <c r="JWK10" s="2234"/>
      <c r="JWL10" s="2234"/>
      <c r="JWM10" s="2234"/>
      <c r="JWN10" s="2234"/>
      <c r="JWO10" s="2234"/>
      <c r="JWP10" s="2234"/>
      <c r="JWQ10" s="2234"/>
      <c r="JWR10" s="2234"/>
      <c r="JWS10" s="2234"/>
      <c r="JWT10" s="2234"/>
      <c r="JWU10" s="2234"/>
      <c r="JWV10" s="2234"/>
      <c r="JWW10" s="2234"/>
      <c r="JWX10" s="2234"/>
      <c r="JWY10" s="2234"/>
      <c r="JWZ10" s="2234"/>
      <c r="JXA10" s="2234"/>
      <c r="JXB10" s="2234"/>
      <c r="JXC10" s="2234"/>
      <c r="JXD10" s="2234"/>
      <c r="JXE10" s="2234"/>
      <c r="JXF10" s="2234"/>
      <c r="JXG10" s="2234"/>
      <c r="JXH10" s="2234"/>
      <c r="JXI10" s="2234"/>
      <c r="JXJ10" s="2234"/>
      <c r="JXK10" s="2234"/>
      <c r="JXL10" s="2234"/>
      <c r="JXM10" s="2234"/>
      <c r="JXN10" s="2234"/>
      <c r="JXO10" s="2234"/>
      <c r="JXP10" s="2234"/>
      <c r="JXQ10" s="2234"/>
      <c r="JXR10" s="2234"/>
      <c r="JXS10" s="2234"/>
      <c r="JXT10" s="2234"/>
      <c r="JXU10" s="2234"/>
      <c r="JXV10" s="2234"/>
      <c r="JXW10" s="2234"/>
      <c r="JXX10" s="2234"/>
      <c r="JXY10" s="2234"/>
      <c r="JXZ10" s="2234"/>
      <c r="JYA10" s="2234"/>
      <c r="JYB10" s="2234"/>
      <c r="JYC10" s="2234"/>
      <c r="JYD10" s="2234"/>
      <c r="JYE10" s="2234"/>
      <c r="JYF10" s="2234"/>
      <c r="JYG10" s="2234"/>
      <c r="JYH10" s="2234"/>
      <c r="JYI10" s="2234"/>
      <c r="JYJ10" s="2234"/>
      <c r="JYK10" s="2234"/>
      <c r="JYL10" s="2234"/>
      <c r="JYM10" s="2234"/>
      <c r="JYN10" s="2234"/>
      <c r="JYO10" s="2234"/>
      <c r="JYP10" s="2234"/>
      <c r="JYQ10" s="2234"/>
      <c r="JYR10" s="2234"/>
      <c r="JYS10" s="2234"/>
      <c r="JYT10" s="2234"/>
      <c r="JYU10" s="2234"/>
      <c r="JYV10" s="2234"/>
      <c r="JYW10" s="2234"/>
      <c r="JYX10" s="2234"/>
      <c r="JYY10" s="2234"/>
      <c r="JYZ10" s="2234"/>
      <c r="JZA10" s="2234"/>
      <c r="JZB10" s="2234"/>
      <c r="JZC10" s="2234"/>
      <c r="JZD10" s="2234"/>
      <c r="JZE10" s="2234"/>
      <c r="JZF10" s="2234"/>
      <c r="JZG10" s="2234"/>
      <c r="JZH10" s="2234"/>
      <c r="JZI10" s="2234"/>
      <c r="JZJ10" s="2234"/>
      <c r="JZK10" s="2234"/>
      <c r="JZL10" s="2234"/>
      <c r="JZM10" s="2234"/>
      <c r="JZN10" s="2234"/>
      <c r="JZO10" s="2234"/>
      <c r="JZP10" s="2234"/>
      <c r="JZQ10" s="2234"/>
      <c r="JZR10" s="2234"/>
      <c r="JZS10" s="2234"/>
      <c r="JZT10" s="2234"/>
      <c r="JZU10" s="2234"/>
      <c r="JZV10" s="2234"/>
      <c r="JZW10" s="2234"/>
      <c r="JZX10" s="2234"/>
      <c r="JZY10" s="2234"/>
      <c r="JZZ10" s="2234"/>
      <c r="KAA10" s="2234"/>
      <c r="KAB10" s="2234"/>
      <c r="KAC10" s="2234"/>
      <c r="KAD10" s="2234"/>
      <c r="KAE10" s="2234"/>
      <c r="KAF10" s="2234"/>
      <c r="KAG10" s="2234"/>
      <c r="KAH10" s="2234"/>
      <c r="KAI10" s="2234"/>
      <c r="KAJ10" s="2234"/>
      <c r="KAK10" s="2234"/>
      <c r="KAL10" s="2234"/>
      <c r="KAM10" s="2234"/>
      <c r="KAN10" s="2234"/>
      <c r="KAO10" s="2234"/>
      <c r="KAP10" s="2234"/>
      <c r="KAQ10" s="2234"/>
      <c r="KAR10" s="2234"/>
      <c r="KAS10" s="2234"/>
      <c r="KAT10" s="2234"/>
      <c r="KAU10" s="2234"/>
      <c r="KAV10" s="2234"/>
      <c r="KAW10" s="2234"/>
      <c r="KAX10" s="2234"/>
      <c r="KAY10" s="2234"/>
      <c r="KAZ10" s="2234"/>
      <c r="KBA10" s="2234"/>
      <c r="KBB10" s="2234"/>
      <c r="KBC10" s="2234"/>
      <c r="KBD10" s="2234"/>
      <c r="KBE10" s="2234"/>
      <c r="KBF10" s="2234"/>
      <c r="KBG10" s="2234"/>
      <c r="KBH10" s="2234"/>
      <c r="KBI10" s="2234"/>
      <c r="KBJ10" s="2234"/>
      <c r="KBK10" s="2234"/>
      <c r="KBL10" s="2234"/>
      <c r="KBM10" s="2234"/>
      <c r="KBN10" s="2234"/>
      <c r="KBO10" s="2234"/>
      <c r="KBP10" s="2234"/>
      <c r="KBQ10" s="2234"/>
      <c r="KBR10" s="2234"/>
      <c r="KBS10" s="2234"/>
      <c r="KBT10" s="2234"/>
      <c r="KBU10" s="2234"/>
      <c r="KBV10" s="2234"/>
      <c r="KBW10" s="2234"/>
      <c r="KBX10" s="2234"/>
      <c r="KBY10" s="2234"/>
      <c r="KBZ10" s="2234"/>
      <c r="KCA10" s="2234"/>
      <c r="KCB10" s="2234"/>
      <c r="KCC10" s="2234"/>
      <c r="KCD10" s="2234"/>
      <c r="KCE10" s="2234"/>
      <c r="KCF10" s="2234"/>
      <c r="KCG10" s="2234"/>
      <c r="KCH10" s="2234"/>
      <c r="KCI10" s="2234"/>
      <c r="KCJ10" s="2234"/>
      <c r="KCK10" s="2234"/>
      <c r="KCL10" s="2234"/>
      <c r="KCM10" s="2234"/>
      <c r="KCN10" s="2234"/>
      <c r="KCO10" s="2234"/>
      <c r="KCP10" s="2234"/>
      <c r="KCQ10" s="2234"/>
      <c r="KCR10" s="2234"/>
      <c r="KCS10" s="2234"/>
      <c r="KCT10" s="2234"/>
      <c r="KCU10" s="2234"/>
      <c r="KCV10" s="2234"/>
      <c r="KCW10" s="2234"/>
      <c r="KCX10" s="2234"/>
      <c r="KCY10" s="2234"/>
      <c r="KCZ10" s="2234"/>
      <c r="KDA10" s="2234"/>
      <c r="KDB10" s="2234"/>
      <c r="KDC10" s="2234"/>
      <c r="KDD10" s="2234"/>
      <c r="KDE10" s="2234"/>
      <c r="KDF10" s="2234"/>
      <c r="KDG10" s="2234"/>
      <c r="KDH10" s="2234"/>
      <c r="KDI10" s="2234"/>
      <c r="KDJ10" s="2234"/>
      <c r="KDK10" s="2234"/>
      <c r="KDL10" s="2234"/>
      <c r="KDM10" s="2234"/>
      <c r="KDN10" s="2234"/>
      <c r="KDO10" s="2234"/>
      <c r="KDP10" s="2234"/>
      <c r="KDQ10" s="2234"/>
      <c r="KDR10" s="2234"/>
      <c r="KDS10" s="2234"/>
      <c r="KDT10" s="2234"/>
      <c r="KDU10" s="2234"/>
      <c r="KDV10" s="2234"/>
      <c r="KDW10" s="2234"/>
      <c r="KDX10" s="2234"/>
      <c r="KDY10" s="2234"/>
      <c r="KDZ10" s="2234"/>
      <c r="KEA10" s="2234"/>
      <c r="KEB10" s="2234"/>
      <c r="KEC10" s="2234"/>
      <c r="KED10" s="2234"/>
      <c r="KEE10" s="2234"/>
      <c r="KEF10" s="2234"/>
      <c r="KEG10" s="2234"/>
      <c r="KEH10" s="2234"/>
      <c r="KEI10" s="2234"/>
      <c r="KEJ10" s="2234"/>
      <c r="KEK10" s="2234"/>
      <c r="KEL10" s="2234"/>
      <c r="KEM10" s="2234"/>
      <c r="KEN10" s="2234"/>
      <c r="KEO10" s="2234"/>
      <c r="KEP10" s="2234"/>
      <c r="KEQ10" s="2234"/>
      <c r="KER10" s="2234"/>
      <c r="KES10" s="2234"/>
      <c r="KET10" s="2234"/>
      <c r="KEU10" s="2234"/>
      <c r="KEV10" s="2234"/>
      <c r="KEW10" s="2234"/>
      <c r="KEX10" s="2234"/>
      <c r="KEY10" s="2234"/>
      <c r="KEZ10" s="2234"/>
      <c r="KFA10" s="2234"/>
      <c r="KFB10" s="2234"/>
      <c r="KFC10" s="2234"/>
      <c r="KFD10" s="2234"/>
      <c r="KFE10" s="2234"/>
      <c r="KFF10" s="2234"/>
      <c r="KFG10" s="2234"/>
      <c r="KFH10" s="2234"/>
      <c r="KFI10" s="2234"/>
      <c r="KFJ10" s="2234"/>
      <c r="KFK10" s="2234"/>
      <c r="KFL10" s="2234"/>
      <c r="KFM10" s="2234"/>
      <c r="KFN10" s="2234"/>
      <c r="KFO10" s="2234"/>
      <c r="KFP10" s="2234"/>
      <c r="KFQ10" s="2234"/>
      <c r="KFR10" s="2234"/>
      <c r="KFS10" s="2234"/>
      <c r="KFT10" s="2234"/>
      <c r="KFU10" s="2234"/>
      <c r="KFV10" s="2234"/>
      <c r="KFW10" s="2234"/>
      <c r="KFX10" s="2234"/>
      <c r="KFY10" s="2234"/>
      <c r="KFZ10" s="2234"/>
      <c r="KGA10" s="2234"/>
      <c r="KGB10" s="2234"/>
      <c r="KGC10" s="2234"/>
      <c r="KGD10" s="2234"/>
      <c r="KGE10" s="2234"/>
      <c r="KGF10" s="2234"/>
      <c r="KGG10" s="2234"/>
      <c r="KGH10" s="2234"/>
      <c r="KGI10" s="2234"/>
      <c r="KGJ10" s="2234"/>
      <c r="KGK10" s="2234"/>
      <c r="KGL10" s="2234"/>
      <c r="KGM10" s="2234"/>
      <c r="KGN10" s="2234"/>
      <c r="KGO10" s="2234"/>
      <c r="KGP10" s="2234"/>
      <c r="KGQ10" s="2234"/>
      <c r="KGR10" s="2234"/>
      <c r="KGS10" s="2234"/>
      <c r="KGT10" s="2234"/>
      <c r="KGU10" s="2234"/>
      <c r="KGV10" s="2234"/>
      <c r="KGW10" s="2234"/>
      <c r="KGX10" s="2234"/>
      <c r="KGY10" s="2234"/>
      <c r="KGZ10" s="2234"/>
      <c r="KHA10" s="2234"/>
      <c r="KHB10" s="2234"/>
      <c r="KHC10" s="2234"/>
      <c r="KHD10" s="2234"/>
      <c r="KHE10" s="2234"/>
      <c r="KHF10" s="2234"/>
      <c r="KHG10" s="2234"/>
      <c r="KHH10" s="2234"/>
      <c r="KHI10" s="2234"/>
      <c r="KHJ10" s="2234"/>
      <c r="KHK10" s="2234"/>
      <c r="KHL10" s="2234"/>
      <c r="KHM10" s="2234"/>
      <c r="KHN10" s="2234"/>
      <c r="KHO10" s="2234"/>
      <c r="KHP10" s="2234"/>
      <c r="KHQ10" s="2234"/>
      <c r="KHR10" s="2234"/>
      <c r="KHS10" s="2234"/>
      <c r="KHT10" s="2234"/>
      <c r="KHU10" s="2234"/>
      <c r="KHV10" s="2234"/>
      <c r="KHW10" s="2234"/>
      <c r="KHX10" s="2234"/>
      <c r="KHY10" s="2234"/>
      <c r="KHZ10" s="2234"/>
      <c r="KIA10" s="2234"/>
      <c r="KIB10" s="2234"/>
      <c r="KIC10" s="2234"/>
      <c r="KID10" s="2234"/>
      <c r="KIE10" s="2234"/>
      <c r="KIF10" s="2234"/>
      <c r="KIG10" s="2234"/>
      <c r="KIH10" s="2234"/>
      <c r="KII10" s="2234"/>
      <c r="KIJ10" s="2234"/>
      <c r="KIK10" s="2234"/>
      <c r="KIL10" s="2234"/>
      <c r="KIM10" s="2234"/>
      <c r="KIN10" s="2234"/>
      <c r="KIO10" s="2234"/>
      <c r="KIP10" s="2234"/>
      <c r="KIQ10" s="2234"/>
      <c r="KIR10" s="2234"/>
      <c r="KIS10" s="2234"/>
      <c r="KIT10" s="2234"/>
      <c r="KIU10" s="2234"/>
      <c r="KIV10" s="2234"/>
      <c r="KIW10" s="2234"/>
      <c r="KIX10" s="2234"/>
      <c r="KIY10" s="2234"/>
      <c r="KIZ10" s="2234"/>
      <c r="KJA10" s="2234"/>
      <c r="KJB10" s="2234"/>
      <c r="KJC10" s="2234"/>
      <c r="KJD10" s="2234"/>
      <c r="KJE10" s="2234"/>
      <c r="KJF10" s="2234"/>
      <c r="KJG10" s="2234"/>
      <c r="KJH10" s="2234"/>
      <c r="KJI10" s="2234"/>
      <c r="KJJ10" s="2234"/>
      <c r="KJK10" s="2234"/>
      <c r="KJL10" s="2234"/>
      <c r="KJM10" s="2234"/>
      <c r="KJN10" s="2234"/>
      <c r="KJO10" s="2234"/>
      <c r="KJP10" s="2234"/>
      <c r="KJQ10" s="2234"/>
      <c r="KJR10" s="2234"/>
      <c r="KJS10" s="2234"/>
      <c r="KJT10" s="2234"/>
      <c r="KJU10" s="2234"/>
      <c r="KJV10" s="2234"/>
      <c r="KJW10" s="2234"/>
      <c r="KJX10" s="2234"/>
      <c r="KJY10" s="2234"/>
      <c r="KJZ10" s="2234"/>
      <c r="KKA10" s="2234"/>
      <c r="KKB10" s="2234"/>
      <c r="KKC10" s="2234"/>
      <c r="KKD10" s="2234"/>
      <c r="KKE10" s="2234"/>
      <c r="KKF10" s="2234"/>
      <c r="KKG10" s="2234"/>
      <c r="KKH10" s="2234"/>
      <c r="KKI10" s="2234"/>
      <c r="KKJ10" s="2234"/>
      <c r="KKK10" s="2234"/>
      <c r="KKL10" s="2234"/>
      <c r="KKM10" s="2234"/>
      <c r="KKN10" s="2234"/>
      <c r="KKO10" s="2234"/>
      <c r="KKP10" s="2234"/>
      <c r="KKQ10" s="2234"/>
      <c r="KKR10" s="2234"/>
      <c r="KKS10" s="2234"/>
      <c r="KKT10" s="2234"/>
      <c r="KKU10" s="2234"/>
      <c r="KKV10" s="2234"/>
      <c r="KKW10" s="2234"/>
      <c r="KKX10" s="2234"/>
      <c r="KKY10" s="2234"/>
      <c r="KKZ10" s="2234"/>
      <c r="KLA10" s="2234"/>
      <c r="KLB10" s="2234"/>
      <c r="KLC10" s="2234"/>
      <c r="KLD10" s="2234"/>
      <c r="KLE10" s="2234"/>
      <c r="KLF10" s="2234"/>
      <c r="KLG10" s="2234"/>
      <c r="KLH10" s="2234"/>
      <c r="KLI10" s="2234"/>
      <c r="KLJ10" s="2234"/>
      <c r="KLK10" s="2234"/>
      <c r="KLL10" s="2234"/>
      <c r="KLM10" s="2234"/>
      <c r="KLN10" s="2234"/>
      <c r="KLO10" s="2234"/>
      <c r="KLP10" s="2234"/>
      <c r="KLQ10" s="2234"/>
      <c r="KLR10" s="2234"/>
      <c r="KLS10" s="2234"/>
      <c r="KLT10" s="2234"/>
      <c r="KLU10" s="2234"/>
      <c r="KLV10" s="2234"/>
      <c r="KLW10" s="2234"/>
      <c r="KLX10" s="2234"/>
      <c r="KLY10" s="2234"/>
      <c r="KLZ10" s="2234"/>
      <c r="KMA10" s="2234"/>
      <c r="KMB10" s="2234"/>
      <c r="KMC10" s="2234"/>
      <c r="KMD10" s="2234"/>
      <c r="KME10" s="2234"/>
      <c r="KMF10" s="2234"/>
      <c r="KMG10" s="2234"/>
      <c r="KMH10" s="2234"/>
      <c r="KMI10" s="2234"/>
      <c r="KMJ10" s="2234"/>
      <c r="KMK10" s="2234"/>
      <c r="KML10" s="2234"/>
      <c r="KMM10" s="2234"/>
      <c r="KMN10" s="2234"/>
      <c r="KMO10" s="2234"/>
      <c r="KMP10" s="2234"/>
      <c r="KMQ10" s="2234"/>
      <c r="KMR10" s="2234"/>
      <c r="KMS10" s="2234"/>
      <c r="KMT10" s="2234"/>
      <c r="KMU10" s="2234"/>
      <c r="KMV10" s="2234"/>
      <c r="KMW10" s="2234"/>
      <c r="KMX10" s="2234"/>
      <c r="KMY10" s="2234"/>
      <c r="KMZ10" s="2234"/>
      <c r="KNA10" s="2234"/>
      <c r="KNB10" s="2234"/>
      <c r="KNC10" s="2234"/>
      <c r="KND10" s="2234"/>
      <c r="KNE10" s="2234"/>
      <c r="KNF10" s="2234"/>
      <c r="KNG10" s="2234"/>
      <c r="KNH10" s="2234"/>
      <c r="KNI10" s="2234"/>
      <c r="KNJ10" s="2234"/>
      <c r="KNK10" s="2234"/>
      <c r="KNL10" s="2234"/>
      <c r="KNM10" s="2234"/>
      <c r="KNN10" s="2234"/>
      <c r="KNO10" s="2234"/>
      <c r="KNP10" s="2234"/>
      <c r="KNQ10" s="2234"/>
      <c r="KNR10" s="2234"/>
      <c r="KNS10" s="2234"/>
      <c r="KNT10" s="2234"/>
      <c r="KNU10" s="2234"/>
      <c r="KNV10" s="2234"/>
      <c r="KNW10" s="2234"/>
      <c r="KNX10" s="2234"/>
      <c r="KNY10" s="2234"/>
      <c r="KNZ10" s="2234"/>
      <c r="KOA10" s="2234"/>
      <c r="KOB10" s="2234"/>
      <c r="KOC10" s="2234"/>
      <c r="KOD10" s="2234"/>
      <c r="KOE10" s="2234"/>
      <c r="KOF10" s="2234"/>
      <c r="KOG10" s="2234"/>
      <c r="KOH10" s="2234"/>
      <c r="KOI10" s="2234"/>
      <c r="KOJ10" s="2234"/>
      <c r="KOK10" s="2234"/>
      <c r="KOL10" s="2234"/>
      <c r="KOM10" s="2234"/>
      <c r="KON10" s="2234"/>
      <c r="KOO10" s="2234"/>
      <c r="KOP10" s="2234"/>
      <c r="KOQ10" s="2234"/>
      <c r="KOR10" s="2234"/>
      <c r="KOS10" s="2234"/>
      <c r="KOT10" s="2234"/>
      <c r="KOU10" s="2234"/>
      <c r="KOV10" s="2234"/>
      <c r="KOW10" s="2234"/>
      <c r="KOX10" s="2234"/>
      <c r="KOY10" s="2234"/>
      <c r="KOZ10" s="2234"/>
      <c r="KPA10" s="2234"/>
      <c r="KPB10" s="2234"/>
      <c r="KPC10" s="2234"/>
      <c r="KPD10" s="2234"/>
      <c r="KPE10" s="2234"/>
      <c r="KPF10" s="2234"/>
      <c r="KPG10" s="2234"/>
      <c r="KPH10" s="2234"/>
      <c r="KPI10" s="2234"/>
      <c r="KPJ10" s="2234"/>
      <c r="KPK10" s="2234"/>
      <c r="KPL10" s="2234"/>
      <c r="KPM10" s="2234"/>
      <c r="KPN10" s="2234"/>
      <c r="KPO10" s="2234"/>
      <c r="KPP10" s="2234"/>
      <c r="KPQ10" s="2234"/>
      <c r="KPR10" s="2234"/>
      <c r="KPS10" s="2234"/>
      <c r="KPT10" s="2234"/>
      <c r="KPU10" s="2234"/>
      <c r="KPV10" s="2234"/>
      <c r="KPW10" s="2234"/>
      <c r="KPX10" s="2234"/>
      <c r="KPY10" s="2234"/>
      <c r="KPZ10" s="2234"/>
      <c r="KQA10" s="2234"/>
      <c r="KQB10" s="2234"/>
      <c r="KQC10" s="2234"/>
      <c r="KQD10" s="2234"/>
      <c r="KQE10" s="2234"/>
      <c r="KQF10" s="2234"/>
      <c r="KQG10" s="2234"/>
      <c r="KQH10" s="2234"/>
      <c r="KQI10" s="2234"/>
      <c r="KQJ10" s="2234"/>
      <c r="KQK10" s="2234"/>
      <c r="KQL10" s="2234"/>
      <c r="KQM10" s="2234"/>
      <c r="KQN10" s="2234"/>
      <c r="KQO10" s="2234"/>
      <c r="KQP10" s="2234"/>
      <c r="KQQ10" s="2234"/>
      <c r="KQR10" s="2234"/>
      <c r="KQS10" s="2234"/>
      <c r="KQT10" s="2234"/>
      <c r="KQU10" s="2234"/>
      <c r="KQV10" s="2234"/>
      <c r="KQW10" s="2234"/>
      <c r="KQX10" s="2234"/>
      <c r="KQY10" s="2234"/>
      <c r="KQZ10" s="2234"/>
      <c r="KRA10" s="2234"/>
      <c r="KRB10" s="2234"/>
      <c r="KRC10" s="2234"/>
      <c r="KRD10" s="2234"/>
      <c r="KRE10" s="2234"/>
      <c r="KRF10" s="2234"/>
      <c r="KRG10" s="2234"/>
      <c r="KRH10" s="2234"/>
      <c r="KRI10" s="2234"/>
      <c r="KRJ10" s="2234"/>
      <c r="KRK10" s="2234"/>
      <c r="KRL10" s="2234"/>
      <c r="KRM10" s="2234"/>
      <c r="KRN10" s="2234"/>
      <c r="KRO10" s="2234"/>
      <c r="KRP10" s="2234"/>
      <c r="KRQ10" s="2234"/>
      <c r="KRR10" s="2234"/>
      <c r="KRS10" s="2234"/>
      <c r="KRT10" s="2234"/>
      <c r="KRU10" s="2234"/>
      <c r="KRV10" s="2234"/>
      <c r="KRW10" s="2234"/>
      <c r="KRX10" s="2234"/>
      <c r="KRY10" s="2234"/>
      <c r="KRZ10" s="2234"/>
      <c r="KSA10" s="2234"/>
      <c r="KSB10" s="2234"/>
      <c r="KSC10" s="2234"/>
      <c r="KSD10" s="2234"/>
      <c r="KSE10" s="2234"/>
      <c r="KSF10" s="2234"/>
      <c r="KSG10" s="2234"/>
      <c r="KSH10" s="2234"/>
      <c r="KSI10" s="2234"/>
      <c r="KSJ10" s="2234"/>
      <c r="KSK10" s="2234"/>
      <c r="KSL10" s="2234"/>
      <c r="KSM10" s="2234"/>
      <c r="KSN10" s="2234"/>
      <c r="KSO10" s="2234"/>
      <c r="KSP10" s="2234"/>
      <c r="KSQ10" s="2234"/>
      <c r="KSR10" s="2234"/>
      <c r="KSS10" s="2234"/>
      <c r="KST10" s="2234"/>
      <c r="KSU10" s="2234"/>
      <c r="KSV10" s="2234"/>
      <c r="KSW10" s="2234"/>
      <c r="KSX10" s="2234"/>
      <c r="KSY10" s="2234"/>
      <c r="KSZ10" s="2234"/>
      <c r="KTA10" s="2234"/>
      <c r="KTB10" s="2234"/>
      <c r="KTC10" s="2234"/>
      <c r="KTD10" s="2234"/>
      <c r="KTE10" s="2234"/>
      <c r="KTF10" s="2234"/>
      <c r="KTG10" s="2234"/>
      <c r="KTH10" s="2234"/>
      <c r="KTI10" s="2234"/>
      <c r="KTJ10" s="2234"/>
      <c r="KTK10" s="2234"/>
      <c r="KTL10" s="2234"/>
      <c r="KTM10" s="2234"/>
      <c r="KTN10" s="2234"/>
      <c r="KTO10" s="2234"/>
      <c r="KTP10" s="2234"/>
      <c r="KTQ10" s="2234"/>
      <c r="KTR10" s="2234"/>
      <c r="KTS10" s="2234"/>
      <c r="KTT10" s="2234"/>
      <c r="KTU10" s="2234"/>
      <c r="KTV10" s="2234"/>
      <c r="KTW10" s="2234"/>
      <c r="KTX10" s="2234"/>
      <c r="KTY10" s="2234"/>
      <c r="KTZ10" s="2234"/>
      <c r="KUA10" s="2234"/>
      <c r="KUB10" s="2234"/>
      <c r="KUC10" s="2234"/>
      <c r="KUD10" s="2234"/>
      <c r="KUE10" s="2234"/>
      <c r="KUF10" s="2234"/>
      <c r="KUG10" s="2234"/>
      <c r="KUH10" s="2234"/>
      <c r="KUI10" s="2234"/>
      <c r="KUJ10" s="2234"/>
      <c r="KUK10" s="2234"/>
      <c r="KUL10" s="2234"/>
      <c r="KUM10" s="2234"/>
      <c r="KUN10" s="2234"/>
      <c r="KUO10" s="2234"/>
      <c r="KUP10" s="2234"/>
      <c r="KUQ10" s="2234"/>
      <c r="KUR10" s="2234"/>
      <c r="KUS10" s="2234"/>
      <c r="KUT10" s="2234"/>
      <c r="KUU10" s="2234"/>
      <c r="KUV10" s="2234"/>
      <c r="KUW10" s="2234"/>
      <c r="KUX10" s="2234"/>
      <c r="KUY10" s="2234"/>
      <c r="KUZ10" s="2234"/>
      <c r="KVA10" s="2234"/>
      <c r="KVB10" s="2234"/>
      <c r="KVC10" s="2234"/>
      <c r="KVD10" s="2234"/>
      <c r="KVE10" s="2234"/>
      <c r="KVF10" s="2234"/>
      <c r="KVG10" s="2234"/>
      <c r="KVH10" s="2234"/>
      <c r="KVI10" s="2234"/>
      <c r="KVJ10" s="2234"/>
      <c r="KVK10" s="2234"/>
      <c r="KVL10" s="2234"/>
      <c r="KVM10" s="2234"/>
      <c r="KVN10" s="2234"/>
      <c r="KVO10" s="2234"/>
      <c r="KVP10" s="2234"/>
      <c r="KVQ10" s="2234"/>
      <c r="KVR10" s="2234"/>
      <c r="KVS10" s="2234"/>
      <c r="KVT10" s="2234"/>
      <c r="KVU10" s="2234"/>
      <c r="KVV10" s="2234"/>
      <c r="KVW10" s="2234"/>
      <c r="KVX10" s="2234"/>
      <c r="KVY10" s="2234"/>
      <c r="KVZ10" s="2234"/>
      <c r="KWA10" s="2234"/>
      <c r="KWB10" s="2234"/>
      <c r="KWC10" s="2234"/>
      <c r="KWD10" s="2234"/>
      <c r="KWE10" s="2234"/>
      <c r="KWF10" s="2234"/>
      <c r="KWG10" s="2234"/>
      <c r="KWH10" s="2234"/>
      <c r="KWI10" s="2234"/>
      <c r="KWJ10" s="2234"/>
      <c r="KWK10" s="2234"/>
      <c r="KWL10" s="2234"/>
      <c r="KWM10" s="2234"/>
      <c r="KWN10" s="2234"/>
      <c r="KWO10" s="2234"/>
      <c r="KWP10" s="2234"/>
      <c r="KWQ10" s="2234"/>
      <c r="KWR10" s="2234"/>
      <c r="KWS10" s="2234"/>
      <c r="KWT10" s="2234"/>
      <c r="KWU10" s="2234"/>
      <c r="KWV10" s="2234"/>
      <c r="KWW10" s="2234"/>
      <c r="KWX10" s="2234"/>
      <c r="KWY10" s="2234"/>
      <c r="KWZ10" s="2234"/>
      <c r="KXA10" s="2234"/>
      <c r="KXB10" s="2234"/>
      <c r="KXC10" s="2234"/>
      <c r="KXD10" s="2234"/>
      <c r="KXE10" s="2234"/>
      <c r="KXF10" s="2234"/>
      <c r="KXG10" s="2234"/>
      <c r="KXH10" s="2234"/>
      <c r="KXI10" s="2234"/>
      <c r="KXJ10" s="2234"/>
      <c r="KXK10" s="2234"/>
      <c r="KXL10" s="2234"/>
      <c r="KXM10" s="2234"/>
      <c r="KXN10" s="2234"/>
      <c r="KXO10" s="2234"/>
      <c r="KXP10" s="2234"/>
      <c r="KXQ10" s="2234"/>
      <c r="KXR10" s="2234"/>
      <c r="KXS10" s="2234"/>
      <c r="KXT10" s="2234"/>
      <c r="KXU10" s="2234"/>
      <c r="KXV10" s="2234"/>
      <c r="KXW10" s="2234"/>
      <c r="KXX10" s="2234"/>
      <c r="KXY10" s="2234"/>
      <c r="KXZ10" s="2234"/>
      <c r="KYA10" s="2234"/>
      <c r="KYB10" s="2234"/>
      <c r="KYC10" s="2234"/>
      <c r="KYD10" s="2234"/>
      <c r="KYE10" s="2234"/>
      <c r="KYF10" s="2234"/>
      <c r="KYG10" s="2234"/>
      <c r="KYH10" s="2234"/>
      <c r="KYI10" s="2234"/>
      <c r="KYJ10" s="2234"/>
      <c r="KYK10" s="2234"/>
      <c r="KYL10" s="2234"/>
      <c r="KYM10" s="2234"/>
      <c r="KYN10" s="2234"/>
      <c r="KYO10" s="2234"/>
      <c r="KYP10" s="2234"/>
      <c r="KYQ10" s="2234"/>
      <c r="KYR10" s="2234"/>
      <c r="KYS10" s="2234"/>
      <c r="KYT10" s="2234"/>
      <c r="KYU10" s="2234"/>
      <c r="KYV10" s="2234"/>
      <c r="KYW10" s="2234"/>
      <c r="KYX10" s="2234"/>
      <c r="KYY10" s="2234"/>
      <c r="KYZ10" s="2234"/>
      <c r="KZA10" s="2234"/>
      <c r="KZB10" s="2234"/>
      <c r="KZC10" s="2234"/>
      <c r="KZD10" s="2234"/>
      <c r="KZE10" s="2234"/>
      <c r="KZF10" s="2234"/>
      <c r="KZG10" s="2234"/>
      <c r="KZH10" s="2234"/>
      <c r="KZI10" s="2234"/>
      <c r="KZJ10" s="2234"/>
      <c r="KZK10" s="2234"/>
      <c r="KZL10" s="2234"/>
      <c r="KZM10" s="2234"/>
      <c r="KZN10" s="2234"/>
      <c r="KZO10" s="2234"/>
      <c r="KZP10" s="2234"/>
      <c r="KZQ10" s="2234"/>
      <c r="KZR10" s="2234"/>
      <c r="KZS10" s="2234"/>
      <c r="KZT10" s="2234"/>
      <c r="KZU10" s="2234"/>
      <c r="KZV10" s="2234"/>
      <c r="KZW10" s="2234"/>
      <c r="KZX10" s="2234"/>
      <c r="KZY10" s="2234"/>
      <c r="KZZ10" s="2234"/>
      <c r="LAA10" s="2234"/>
      <c r="LAB10" s="2234"/>
      <c r="LAC10" s="2234"/>
      <c r="LAD10" s="2234"/>
      <c r="LAE10" s="2234"/>
      <c r="LAF10" s="2234"/>
      <c r="LAG10" s="2234"/>
      <c r="LAH10" s="2234"/>
      <c r="LAI10" s="2234"/>
      <c r="LAJ10" s="2234"/>
      <c r="LAK10" s="2234"/>
      <c r="LAL10" s="2234"/>
      <c r="LAM10" s="2234"/>
      <c r="LAN10" s="2234"/>
      <c r="LAO10" s="2234"/>
      <c r="LAP10" s="2234"/>
      <c r="LAQ10" s="2234"/>
      <c r="LAR10" s="2234"/>
      <c r="LAS10" s="2234"/>
      <c r="LAT10" s="2234"/>
      <c r="LAU10" s="2234"/>
      <c r="LAV10" s="2234"/>
      <c r="LAW10" s="2234"/>
      <c r="LAX10" s="2234"/>
      <c r="LAY10" s="2234"/>
      <c r="LAZ10" s="2234"/>
      <c r="LBA10" s="2234"/>
      <c r="LBB10" s="2234"/>
      <c r="LBC10" s="2234"/>
      <c r="LBD10" s="2234"/>
      <c r="LBE10" s="2234"/>
      <c r="LBF10" s="2234"/>
      <c r="LBG10" s="2234"/>
      <c r="LBH10" s="2234"/>
      <c r="LBI10" s="2234"/>
      <c r="LBJ10" s="2234"/>
      <c r="LBK10" s="2234"/>
      <c r="LBL10" s="2234"/>
      <c r="LBM10" s="2234"/>
      <c r="LBN10" s="2234"/>
      <c r="LBO10" s="2234"/>
      <c r="LBP10" s="2234"/>
      <c r="LBQ10" s="2234"/>
      <c r="LBR10" s="2234"/>
      <c r="LBS10" s="2234"/>
      <c r="LBT10" s="2234"/>
      <c r="LBU10" s="2234"/>
      <c r="LBV10" s="2234"/>
      <c r="LBW10" s="2234"/>
      <c r="LBX10" s="2234"/>
      <c r="LBY10" s="2234"/>
      <c r="LBZ10" s="2234"/>
      <c r="LCA10" s="2234"/>
      <c r="LCB10" s="2234"/>
      <c r="LCC10" s="2234"/>
      <c r="LCD10" s="2234"/>
      <c r="LCE10" s="2234"/>
      <c r="LCF10" s="2234"/>
      <c r="LCG10" s="2234"/>
      <c r="LCH10" s="2234"/>
      <c r="LCI10" s="2234"/>
      <c r="LCJ10" s="2234"/>
      <c r="LCK10" s="2234"/>
      <c r="LCL10" s="2234"/>
      <c r="LCM10" s="2234"/>
      <c r="LCN10" s="2234"/>
      <c r="LCO10" s="2234"/>
      <c r="LCP10" s="2234"/>
      <c r="LCQ10" s="2234"/>
      <c r="LCR10" s="2234"/>
      <c r="LCS10" s="2234"/>
      <c r="LCT10" s="2234"/>
      <c r="LCU10" s="2234"/>
      <c r="LCV10" s="2234"/>
      <c r="LCW10" s="2234"/>
      <c r="LCX10" s="2234"/>
      <c r="LCY10" s="2234"/>
      <c r="LCZ10" s="2234"/>
      <c r="LDA10" s="2234"/>
      <c r="LDB10" s="2234"/>
      <c r="LDC10" s="2234"/>
      <c r="LDD10" s="2234"/>
      <c r="LDE10" s="2234"/>
      <c r="LDF10" s="2234"/>
      <c r="LDG10" s="2234"/>
      <c r="LDH10" s="2234"/>
      <c r="LDI10" s="2234"/>
      <c r="LDJ10" s="2234"/>
      <c r="LDK10" s="2234"/>
      <c r="LDL10" s="2234"/>
      <c r="LDM10" s="2234"/>
      <c r="LDN10" s="2234"/>
      <c r="LDO10" s="2234"/>
      <c r="LDP10" s="2234"/>
      <c r="LDQ10" s="2234"/>
      <c r="LDR10" s="2234"/>
      <c r="LDS10" s="2234"/>
      <c r="LDT10" s="2234"/>
      <c r="LDU10" s="2234"/>
      <c r="LDV10" s="2234"/>
      <c r="LDW10" s="2234"/>
      <c r="LDX10" s="2234"/>
      <c r="LDY10" s="2234"/>
      <c r="LDZ10" s="2234"/>
      <c r="LEA10" s="2234"/>
      <c r="LEB10" s="2234"/>
      <c r="LEC10" s="2234"/>
      <c r="LED10" s="2234"/>
      <c r="LEE10" s="2234"/>
      <c r="LEF10" s="2234"/>
      <c r="LEG10" s="2234"/>
      <c r="LEH10" s="2234"/>
      <c r="LEI10" s="2234"/>
      <c r="LEJ10" s="2234"/>
      <c r="LEK10" s="2234"/>
      <c r="LEL10" s="2234"/>
      <c r="LEM10" s="2234"/>
      <c r="LEN10" s="2234"/>
      <c r="LEO10" s="2234"/>
      <c r="LEP10" s="2234"/>
      <c r="LEQ10" s="2234"/>
      <c r="LER10" s="2234"/>
      <c r="LES10" s="2234"/>
      <c r="LET10" s="2234"/>
      <c r="LEU10" s="2234"/>
      <c r="LEV10" s="2234"/>
      <c r="LEW10" s="2234"/>
      <c r="LEX10" s="2234"/>
      <c r="LEY10" s="2234"/>
      <c r="LEZ10" s="2234"/>
      <c r="LFA10" s="2234"/>
      <c r="LFB10" s="2234"/>
      <c r="LFC10" s="2234"/>
      <c r="LFD10" s="2234"/>
      <c r="LFE10" s="2234"/>
      <c r="LFF10" s="2234"/>
      <c r="LFG10" s="2234"/>
      <c r="LFH10" s="2234"/>
      <c r="LFI10" s="2234"/>
      <c r="LFJ10" s="2234"/>
      <c r="LFK10" s="2234"/>
      <c r="LFL10" s="2234"/>
      <c r="LFM10" s="2234"/>
      <c r="LFN10" s="2234"/>
      <c r="LFO10" s="2234"/>
      <c r="LFP10" s="2234"/>
      <c r="LFQ10" s="2234"/>
      <c r="LFR10" s="2234"/>
      <c r="LFS10" s="2234"/>
      <c r="LFT10" s="2234"/>
      <c r="LFU10" s="2234"/>
      <c r="LFV10" s="2234"/>
      <c r="LFW10" s="2234"/>
      <c r="LFX10" s="2234"/>
      <c r="LFY10" s="2234"/>
      <c r="LFZ10" s="2234"/>
      <c r="LGA10" s="2234"/>
      <c r="LGB10" s="2234"/>
      <c r="LGC10" s="2234"/>
      <c r="LGD10" s="2234"/>
      <c r="LGE10" s="2234"/>
      <c r="LGF10" s="2234"/>
      <c r="LGG10" s="2234"/>
      <c r="LGH10" s="2234"/>
      <c r="LGI10" s="2234"/>
      <c r="LGJ10" s="2234"/>
      <c r="LGK10" s="2234"/>
      <c r="LGL10" s="2234"/>
      <c r="LGM10" s="2234"/>
      <c r="LGN10" s="2234"/>
      <c r="LGO10" s="2234"/>
      <c r="LGP10" s="2234"/>
      <c r="LGQ10" s="2234"/>
      <c r="LGR10" s="2234"/>
      <c r="LGS10" s="2234"/>
      <c r="LGT10" s="2234"/>
      <c r="LGU10" s="2234"/>
      <c r="LGV10" s="2234"/>
      <c r="LGW10" s="2234"/>
      <c r="LGX10" s="2234"/>
      <c r="LGY10" s="2234"/>
      <c r="LGZ10" s="2234"/>
      <c r="LHA10" s="2234"/>
      <c r="LHB10" s="2234"/>
      <c r="LHC10" s="2234"/>
      <c r="LHD10" s="2234"/>
      <c r="LHE10" s="2234"/>
      <c r="LHF10" s="2234"/>
      <c r="LHG10" s="2234"/>
      <c r="LHH10" s="2234"/>
      <c r="LHI10" s="2234"/>
      <c r="LHJ10" s="2234"/>
      <c r="LHK10" s="2234"/>
      <c r="LHL10" s="2234"/>
      <c r="LHM10" s="2234"/>
      <c r="LHN10" s="2234"/>
      <c r="LHO10" s="2234"/>
      <c r="LHP10" s="2234"/>
      <c r="LHQ10" s="2234"/>
      <c r="LHR10" s="2234"/>
      <c r="LHS10" s="2234"/>
      <c r="LHT10" s="2234"/>
      <c r="LHU10" s="2234"/>
      <c r="LHV10" s="2234"/>
      <c r="LHW10" s="2234"/>
      <c r="LHX10" s="2234"/>
      <c r="LHY10" s="2234"/>
      <c r="LHZ10" s="2234"/>
      <c r="LIA10" s="2234"/>
      <c r="LIB10" s="2234"/>
      <c r="LIC10" s="2234"/>
      <c r="LID10" s="2234"/>
      <c r="LIE10" s="2234"/>
      <c r="LIF10" s="2234"/>
      <c r="LIG10" s="2234"/>
      <c r="LIH10" s="2234"/>
      <c r="LII10" s="2234"/>
      <c r="LIJ10" s="2234"/>
      <c r="LIK10" s="2234"/>
      <c r="LIL10" s="2234"/>
      <c r="LIM10" s="2234"/>
      <c r="LIN10" s="2234"/>
      <c r="LIO10" s="2234"/>
      <c r="LIP10" s="2234"/>
      <c r="LIQ10" s="2234"/>
      <c r="LIR10" s="2234"/>
      <c r="LIS10" s="2234"/>
      <c r="LIT10" s="2234"/>
      <c r="LIU10" s="2234"/>
      <c r="LIV10" s="2234"/>
      <c r="LIW10" s="2234"/>
      <c r="LIX10" s="2234"/>
      <c r="LIY10" s="2234"/>
      <c r="LIZ10" s="2234"/>
      <c r="LJA10" s="2234"/>
      <c r="LJB10" s="2234"/>
      <c r="LJC10" s="2234"/>
      <c r="LJD10" s="2234"/>
      <c r="LJE10" s="2234"/>
      <c r="LJF10" s="2234"/>
      <c r="LJG10" s="2234"/>
      <c r="LJH10" s="2234"/>
      <c r="LJI10" s="2234"/>
      <c r="LJJ10" s="2234"/>
      <c r="LJK10" s="2234"/>
      <c r="LJL10" s="2234"/>
      <c r="LJM10" s="2234"/>
      <c r="LJN10" s="2234"/>
      <c r="LJO10" s="2234"/>
      <c r="LJP10" s="2234"/>
      <c r="LJQ10" s="2234"/>
      <c r="LJR10" s="2234"/>
      <c r="LJS10" s="2234"/>
      <c r="LJT10" s="2234"/>
      <c r="LJU10" s="2234"/>
      <c r="LJV10" s="2234"/>
      <c r="LJW10" s="2234"/>
      <c r="LJX10" s="2234"/>
      <c r="LJY10" s="2234"/>
      <c r="LJZ10" s="2234"/>
      <c r="LKA10" s="2234"/>
      <c r="LKB10" s="2234"/>
      <c r="LKC10" s="2234"/>
      <c r="LKD10" s="2234"/>
      <c r="LKE10" s="2234"/>
      <c r="LKF10" s="2234"/>
      <c r="LKG10" s="2234"/>
      <c r="LKH10" s="2234"/>
      <c r="LKI10" s="2234"/>
      <c r="LKJ10" s="2234"/>
      <c r="LKK10" s="2234"/>
      <c r="LKL10" s="2234"/>
      <c r="LKM10" s="2234"/>
      <c r="LKN10" s="2234"/>
      <c r="LKO10" s="2234"/>
      <c r="LKP10" s="2234"/>
      <c r="LKQ10" s="2234"/>
      <c r="LKR10" s="2234"/>
      <c r="LKS10" s="2234"/>
      <c r="LKT10" s="2234"/>
      <c r="LKU10" s="2234"/>
      <c r="LKV10" s="2234"/>
      <c r="LKW10" s="2234"/>
      <c r="LKX10" s="2234"/>
      <c r="LKY10" s="2234"/>
      <c r="LKZ10" s="2234"/>
      <c r="LLA10" s="2234"/>
      <c r="LLB10" s="2234"/>
      <c r="LLC10" s="2234"/>
      <c r="LLD10" s="2234"/>
      <c r="LLE10" s="2234"/>
      <c r="LLF10" s="2234"/>
      <c r="LLG10" s="2234"/>
      <c r="LLH10" s="2234"/>
      <c r="LLI10" s="2234"/>
      <c r="LLJ10" s="2234"/>
      <c r="LLK10" s="2234"/>
      <c r="LLL10" s="2234"/>
      <c r="LLM10" s="2234"/>
      <c r="LLN10" s="2234"/>
      <c r="LLO10" s="2234"/>
      <c r="LLP10" s="2234"/>
      <c r="LLQ10" s="2234"/>
      <c r="LLR10" s="2234"/>
      <c r="LLS10" s="2234"/>
      <c r="LLT10" s="2234"/>
      <c r="LLU10" s="2234"/>
      <c r="LLV10" s="2234"/>
      <c r="LLW10" s="2234"/>
      <c r="LLX10" s="2234"/>
      <c r="LLY10" s="2234"/>
      <c r="LLZ10" s="2234"/>
      <c r="LMA10" s="2234"/>
      <c r="LMB10" s="2234"/>
      <c r="LMC10" s="2234"/>
      <c r="LMD10" s="2234"/>
      <c r="LME10" s="2234"/>
      <c r="LMF10" s="2234"/>
      <c r="LMG10" s="2234"/>
      <c r="LMH10" s="2234"/>
      <c r="LMI10" s="2234"/>
      <c r="LMJ10" s="2234"/>
      <c r="LMK10" s="2234"/>
      <c r="LML10" s="2234"/>
      <c r="LMM10" s="2234"/>
      <c r="LMN10" s="2234"/>
      <c r="LMO10" s="2234"/>
      <c r="LMP10" s="2234"/>
      <c r="LMQ10" s="2234"/>
      <c r="LMR10" s="2234"/>
      <c r="LMS10" s="2234"/>
      <c r="LMT10" s="2234"/>
      <c r="LMU10" s="2234"/>
      <c r="LMV10" s="2234"/>
      <c r="LMW10" s="2234"/>
      <c r="LMX10" s="2234"/>
      <c r="LMY10" s="2234"/>
      <c r="LMZ10" s="2234"/>
      <c r="LNA10" s="2234"/>
      <c r="LNB10" s="2234"/>
      <c r="LNC10" s="2234"/>
      <c r="LND10" s="2234"/>
      <c r="LNE10" s="2234"/>
      <c r="LNF10" s="2234"/>
      <c r="LNG10" s="2234"/>
      <c r="LNH10" s="2234"/>
      <c r="LNI10" s="2234"/>
      <c r="LNJ10" s="2234"/>
      <c r="LNK10" s="2234"/>
      <c r="LNL10" s="2234"/>
      <c r="LNM10" s="2234"/>
      <c r="LNN10" s="2234"/>
      <c r="LNO10" s="2234"/>
      <c r="LNP10" s="2234"/>
      <c r="LNQ10" s="2234"/>
      <c r="LNR10" s="2234"/>
      <c r="LNS10" s="2234"/>
      <c r="LNT10" s="2234"/>
      <c r="LNU10" s="2234"/>
      <c r="LNV10" s="2234"/>
      <c r="LNW10" s="2234"/>
      <c r="LNX10" s="2234"/>
      <c r="LNY10" s="2234"/>
      <c r="LNZ10" s="2234"/>
      <c r="LOA10" s="2234"/>
      <c r="LOB10" s="2234"/>
      <c r="LOC10" s="2234"/>
      <c r="LOD10" s="2234"/>
      <c r="LOE10" s="2234"/>
      <c r="LOF10" s="2234"/>
      <c r="LOG10" s="2234"/>
      <c r="LOH10" s="2234"/>
      <c r="LOI10" s="2234"/>
      <c r="LOJ10" s="2234"/>
      <c r="LOK10" s="2234"/>
      <c r="LOL10" s="2234"/>
      <c r="LOM10" s="2234"/>
      <c r="LON10" s="2234"/>
      <c r="LOO10" s="2234"/>
      <c r="LOP10" s="2234"/>
      <c r="LOQ10" s="2234"/>
      <c r="LOR10" s="2234"/>
      <c r="LOS10" s="2234"/>
      <c r="LOT10" s="2234"/>
      <c r="LOU10" s="2234"/>
      <c r="LOV10" s="2234"/>
      <c r="LOW10" s="2234"/>
      <c r="LOX10" s="2234"/>
      <c r="LOY10" s="2234"/>
      <c r="LOZ10" s="2234"/>
      <c r="LPA10" s="2234"/>
      <c r="LPB10" s="2234"/>
      <c r="LPC10" s="2234"/>
      <c r="LPD10" s="2234"/>
      <c r="LPE10" s="2234"/>
      <c r="LPF10" s="2234"/>
      <c r="LPG10" s="2234"/>
      <c r="LPH10" s="2234"/>
      <c r="LPI10" s="2234"/>
      <c r="LPJ10" s="2234"/>
      <c r="LPK10" s="2234"/>
      <c r="LPL10" s="2234"/>
      <c r="LPM10" s="2234"/>
      <c r="LPN10" s="2234"/>
      <c r="LPO10" s="2234"/>
      <c r="LPP10" s="2234"/>
      <c r="LPQ10" s="2234"/>
      <c r="LPR10" s="2234"/>
      <c r="LPS10" s="2234"/>
      <c r="LPT10" s="2234"/>
      <c r="LPU10" s="2234"/>
      <c r="LPV10" s="2234"/>
      <c r="LPW10" s="2234"/>
      <c r="LPX10" s="2234"/>
      <c r="LPY10" s="2234"/>
      <c r="LPZ10" s="2234"/>
      <c r="LQA10" s="2234"/>
      <c r="LQB10" s="2234"/>
      <c r="LQC10" s="2234"/>
      <c r="LQD10" s="2234"/>
      <c r="LQE10" s="2234"/>
      <c r="LQF10" s="2234"/>
      <c r="LQG10" s="2234"/>
      <c r="LQH10" s="2234"/>
      <c r="LQI10" s="2234"/>
      <c r="LQJ10" s="2234"/>
      <c r="LQK10" s="2234"/>
      <c r="LQL10" s="2234"/>
      <c r="LQM10" s="2234"/>
      <c r="LQN10" s="2234"/>
      <c r="LQO10" s="2234"/>
      <c r="LQP10" s="2234"/>
      <c r="LQQ10" s="2234"/>
      <c r="LQR10" s="2234"/>
      <c r="LQS10" s="2234"/>
      <c r="LQT10" s="2234"/>
      <c r="LQU10" s="2234"/>
      <c r="LQV10" s="2234"/>
      <c r="LQW10" s="2234"/>
      <c r="LQX10" s="2234"/>
      <c r="LQY10" s="2234"/>
      <c r="LQZ10" s="2234"/>
      <c r="LRA10" s="2234"/>
      <c r="LRB10" s="2234"/>
      <c r="LRC10" s="2234"/>
      <c r="LRD10" s="2234"/>
      <c r="LRE10" s="2234"/>
      <c r="LRF10" s="2234"/>
      <c r="LRG10" s="2234"/>
      <c r="LRH10" s="2234"/>
      <c r="LRI10" s="2234"/>
      <c r="LRJ10" s="2234"/>
      <c r="LRK10" s="2234"/>
      <c r="LRL10" s="2234"/>
      <c r="LRM10" s="2234"/>
      <c r="LRN10" s="2234"/>
      <c r="LRO10" s="2234"/>
      <c r="LRP10" s="2234"/>
      <c r="LRQ10" s="2234"/>
      <c r="LRR10" s="2234"/>
      <c r="LRS10" s="2234"/>
      <c r="LRT10" s="2234"/>
      <c r="LRU10" s="2234"/>
      <c r="LRV10" s="2234"/>
      <c r="LRW10" s="2234"/>
      <c r="LRX10" s="2234"/>
      <c r="LRY10" s="2234"/>
      <c r="LRZ10" s="2234"/>
      <c r="LSA10" s="2234"/>
      <c r="LSB10" s="2234"/>
      <c r="LSC10" s="2234"/>
      <c r="LSD10" s="2234"/>
      <c r="LSE10" s="2234"/>
      <c r="LSF10" s="2234"/>
      <c r="LSG10" s="2234"/>
      <c r="LSH10" s="2234"/>
      <c r="LSI10" s="2234"/>
      <c r="LSJ10" s="2234"/>
      <c r="LSK10" s="2234"/>
      <c r="LSL10" s="2234"/>
      <c r="LSM10" s="2234"/>
      <c r="LSN10" s="2234"/>
      <c r="LSO10" s="2234"/>
      <c r="LSP10" s="2234"/>
      <c r="LSQ10" s="2234"/>
      <c r="LSR10" s="2234"/>
      <c r="LSS10" s="2234"/>
      <c r="LST10" s="2234"/>
      <c r="LSU10" s="2234"/>
      <c r="LSV10" s="2234"/>
      <c r="LSW10" s="2234"/>
      <c r="LSX10" s="2234"/>
      <c r="LSY10" s="2234"/>
      <c r="LSZ10" s="2234"/>
      <c r="LTA10" s="2234"/>
      <c r="LTB10" s="2234"/>
      <c r="LTC10" s="2234"/>
      <c r="LTD10" s="2234"/>
      <c r="LTE10" s="2234"/>
      <c r="LTF10" s="2234"/>
      <c r="LTG10" s="2234"/>
      <c r="LTH10" s="2234"/>
      <c r="LTI10" s="2234"/>
      <c r="LTJ10" s="2234"/>
      <c r="LTK10" s="2234"/>
      <c r="LTL10" s="2234"/>
      <c r="LTM10" s="2234"/>
      <c r="LTN10" s="2234"/>
      <c r="LTO10" s="2234"/>
      <c r="LTP10" s="2234"/>
      <c r="LTQ10" s="2234"/>
      <c r="LTR10" s="2234"/>
      <c r="LTS10" s="2234"/>
      <c r="LTT10" s="2234"/>
      <c r="LTU10" s="2234"/>
      <c r="LTV10" s="2234"/>
      <c r="LTW10" s="2234"/>
      <c r="LTX10" s="2234"/>
      <c r="LTY10" s="2234"/>
      <c r="LTZ10" s="2234"/>
      <c r="LUA10" s="2234"/>
      <c r="LUB10" s="2234"/>
      <c r="LUC10" s="2234"/>
      <c r="LUD10" s="2234"/>
      <c r="LUE10" s="2234"/>
      <c r="LUF10" s="2234"/>
      <c r="LUG10" s="2234"/>
      <c r="LUH10" s="2234"/>
      <c r="LUI10" s="2234"/>
      <c r="LUJ10" s="2234"/>
      <c r="LUK10" s="2234"/>
      <c r="LUL10" s="2234"/>
      <c r="LUM10" s="2234"/>
      <c r="LUN10" s="2234"/>
      <c r="LUO10" s="2234"/>
      <c r="LUP10" s="2234"/>
      <c r="LUQ10" s="2234"/>
      <c r="LUR10" s="2234"/>
      <c r="LUS10" s="2234"/>
      <c r="LUT10" s="2234"/>
      <c r="LUU10" s="2234"/>
      <c r="LUV10" s="2234"/>
      <c r="LUW10" s="2234"/>
      <c r="LUX10" s="2234"/>
      <c r="LUY10" s="2234"/>
      <c r="LUZ10" s="2234"/>
      <c r="LVA10" s="2234"/>
      <c r="LVB10" s="2234"/>
      <c r="LVC10" s="2234"/>
      <c r="LVD10" s="2234"/>
      <c r="LVE10" s="2234"/>
      <c r="LVF10" s="2234"/>
      <c r="LVG10" s="2234"/>
      <c r="LVH10" s="2234"/>
      <c r="LVI10" s="2234"/>
      <c r="LVJ10" s="2234"/>
      <c r="LVK10" s="2234"/>
      <c r="LVL10" s="2234"/>
      <c r="LVM10" s="2234"/>
      <c r="LVN10" s="2234"/>
      <c r="LVO10" s="2234"/>
      <c r="LVP10" s="2234"/>
      <c r="LVQ10" s="2234"/>
      <c r="LVR10" s="2234"/>
      <c r="LVS10" s="2234"/>
      <c r="LVT10" s="2234"/>
      <c r="LVU10" s="2234"/>
      <c r="LVV10" s="2234"/>
      <c r="LVW10" s="2234"/>
      <c r="LVX10" s="2234"/>
      <c r="LVY10" s="2234"/>
      <c r="LVZ10" s="2234"/>
      <c r="LWA10" s="2234"/>
      <c r="LWB10" s="2234"/>
      <c r="LWC10" s="2234"/>
      <c r="LWD10" s="2234"/>
      <c r="LWE10" s="2234"/>
      <c r="LWF10" s="2234"/>
      <c r="LWG10" s="2234"/>
      <c r="LWH10" s="2234"/>
      <c r="LWI10" s="2234"/>
      <c r="LWJ10" s="2234"/>
      <c r="LWK10" s="2234"/>
      <c r="LWL10" s="2234"/>
      <c r="LWM10" s="2234"/>
      <c r="LWN10" s="2234"/>
      <c r="LWO10" s="2234"/>
      <c r="LWP10" s="2234"/>
      <c r="LWQ10" s="2234"/>
      <c r="LWR10" s="2234"/>
      <c r="LWS10" s="2234"/>
      <c r="LWT10" s="2234"/>
      <c r="LWU10" s="2234"/>
      <c r="LWV10" s="2234"/>
      <c r="LWW10" s="2234"/>
      <c r="LWX10" s="2234"/>
      <c r="LWY10" s="2234"/>
      <c r="LWZ10" s="2234"/>
      <c r="LXA10" s="2234"/>
      <c r="LXB10" s="2234"/>
      <c r="LXC10" s="2234"/>
      <c r="LXD10" s="2234"/>
      <c r="LXE10" s="2234"/>
      <c r="LXF10" s="2234"/>
      <c r="LXG10" s="2234"/>
      <c r="LXH10" s="2234"/>
      <c r="LXI10" s="2234"/>
      <c r="LXJ10" s="2234"/>
      <c r="LXK10" s="2234"/>
      <c r="LXL10" s="2234"/>
      <c r="LXM10" s="2234"/>
      <c r="LXN10" s="2234"/>
      <c r="LXO10" s="2234"/>
      <c r="LXP10" s="2234"/>
      <c r="LXQ10" s="2234"/>
      <c r="LXR10" s="2234"/>
      <c r="LXS10" s="2234"/>
      <c r="LXT10" s="2234"/>
      <c r="LXU10" s="2234"/>
      <c r="LXV10" s="2234"/>
      <c r="LXW10" s="2234"/>
      <c r="LXX10" s="2234"/>
      <c r="LXY10" s="2234"/>
      <c r="LXZ10" s="2234"/>
      <c r="LYA10" s="2234"/>
      <c r="LYB10" s="2234"/>
      <c r="LYC10" s="2234"/>
      <c r="LYD10" s="2234"/>
      <c r="LYE10" s="2234"/>
      <c r="LYF10" s="2234"/>
      <c r="LYG10" s="2234"/>
      <c r="LYH10" s="2234"/>
      <c r="LYI10" s="2234"/>
      <c r="LYJ10" s="2234"/>
      <c r="LYK10" s="2234"/>
      <c r="LYL10" s="2234"/>
      <c r="LYM10" s="2234"/>
      <c r="LYN10" s="2234"/>
      <c r="LYO10" s="2234"/>
      <c r="LYP10" s="2234"/>
      <c r="LYQ10" s="2234"/>
      <c r="LYR10" s="2234"/>
      <c r="LYS10" s="2234"/>
      <c r="LYT10" s="2234"/>
      <c r="LYU10" s="2234"/>
      <c r="LYV10" s="2234"/>
      <c r="LYW10" s="2234"/>
      <c r="LYX10" s="2234"/>
      <c r="LYY10" s="2234"/>
      <c r="LYZ10" s="2234"/>
      <c r="LZA10" s="2234"/>
      <c r="LZB10" s="2234"/>
      <c r="LZC10" s="2234"/>
      <c r="LZD10" s="2234"/>
      <c r="LZE10" s="2234"/>
      <c r="LZF10" s="2234"/>
      <c r="LZG10" s="2234"/>
      <c r="LZH10" s="2234"/>
      <c r="LZI10" s="2234"/>
      <c r="LZJ10" s="2234"/>
      <c r="LZK10" s="2234"/>
      <c r="LZL10" s="2234"/>
      <c r="LZM10" s="2234"/>
      <c r="LZN10" s="2234"/>
      <c r="LZO10" s="2234"/>
      <c r="LZP10" s="2234"/>
      <c r="LZQ10" s="2234"/>
      <c r="LZR10" s="2234"/>
      <c r="LZS10" s="2234"/>
      <c r="LZT10" s="2234"/>
      <c r="LZU10" s="2234"/>
      <c r="LZV10" s="2234"/>
      <c r="LZW10" s="2234"/>
      <c r="LZX10" s="2234"/>
      <c r="LZY10" s="2234"/>
      <c r="LZZ10" s="2234"/>
      <c r="MAA10" s="2234"/>
      <c r="MAB10" s="2234"/>
      <c r="MAC10" s="2234"/>
      <c r="MAD10" s="2234"/>
      <c r="MAE10" s="2234"/>
      <c r="MAF10" s="2234"/>
      <c r="MAG10" s="2234"/>
      <c r="MAH10" s="2234"/>
      <c r="MAI10" s="2234"/>
      <c r="MAJ10" s="2234"/>
      <c r="MAK10" s="2234"/>
      <c r="MAL10" s="2234"/>
      <c r="MAM10" s="2234"/>
      <c r="MAN10" s="2234"/>
      <c r="MAO10" s="2234"/>
      <c r="MAP10" s="2234"/>
      <c r="MAQ10" s="2234"/>
      <c r="MAR10" s="2234"/>
      <c r="MAS10" s="2234"/>
      <c r="MAT10" s="2234"/>
      <c r="MAU10" s="2234"/>
      <c r="MAV10" s="2234"/>
      <c r="MAW10" s="2234"/>
      <c r="MAX10" s="2234"/>
      <c r="MAY10" s="2234"/>
      <c r="MAZ10" s="2234"/>
      <c r="MBA10" s="2234"/>
      <c r="MBB10" s="2234"/>
      <c r="MBC10" s="2234"/>
      <c r="MBD10" s="2234"/>
      <c r="MBE10" s="2234"/>
      <c r="MBF10" s="2234"/>
      <c r="MBG10" s="2234"/>
      <c r="MBH10" s="2234"/>
      <c r="MBI10" s="2234"/>
      <c r="MBJ10" s="2234"/>
      <c r="MBK10" s="2234"/>
      <c r="MBL10" s="2234"/>
      <c r="MBM10" s="2234"/>
      <c r="MBN10" s="2234"/>
      <c r="MBO10" s="2234"/>
      <c r="MBP10" s="2234"/>
      <c r="MBQ10" s="2234"/>
      <c r="MBR10" s="2234"/>
      <c r="MBS10" s="2234"/>
      <c r="MBT10" s="2234"/>
      <c r="MBU10" s="2234"/>
      <c r="MBV10" s="2234"/>
      <c r="MBW10" s="2234"/>
      <c r="MBX10" s="2234"/>
      <c r="MBY10" s="2234"/>
      <c r="MBZ10" s="2234"/>
      <c r="MCA10" s="2234"/>
      <c r="MCB10" s="2234"/>
      <c r="MCC10" s="2234"/>
      <c r="MCD10" s="2234"/>
      <c r="MCE10" s="2234"/>
      <c r="MCF10" s="2234"/>
      <c r="MCG10" s="2234"/>
      <c r="MCH10" s="2234"/>
      <c r="MCI10" s="2234"/>
      <c r="MCJ10" s="2234"/>
      <c r="MCK10" s="2234"/>
      <c r="MCL10" s="2234"/>
      <c r="MCM10" s="2234"/>
      <c r="MCN10" s="2234"/>
      <c r="MCO10" s="2234"/>
      <c r="MCP10" s="2234"/>
      <c r="MCQ10" s="2234"/>
      <c r="MCR10" s="2234"/>
      <c r="MCS10" s="2234"/>
      <c r="MCT10" s="2234"/>
      <c r="MCU10" s="2234"/>
      <c r="MCV10" s="2234"/>
      <c r="MCW10" s="2234"/>
      <c r="MCX10" s="2234"/>
      <c r="MCY10" s="2234"/>
      <c r="MCZ10" s="2234"/>
      <c r="MDA10" s="2234"/>
      <c r="MDB10" s="2234"/>
      <c r="MDC10" s="2234"/>
      <c r="MDD10" s="2234"/>
      <c r="MDE10" s="2234"/>
      <c r="MDF10" s="2234"/>
      <c r="MDG10" s="2234"/>
      <c r="MDH10" s="2234"/>
      <c r="MDI10" s="2234"/>
      <c r="MDJ10" s="2234"/>
      <c r="MDK10" s="2234"/>
      <c r="MDL10" s="2234"/>
      <c r="MDM10" s="2234"/>
      <c r="MDN10" s="2234"/>
      <c r="MDO10" s="2234"/>
      <c r="MDP10" s="2234"/>
      <c r="MDQ10" s="2234"/>
      <c r="MDR10" s="2234"/>
      <c r="MDS10" s="2234"/>
      <c r="MDT10" s="2234"/>
      <c r="MDU10" s="2234"/>
      <c r="MDV10" s="2234"/>
      <c r="MDW10" s="2234"/>
      <c r="MDX10" s="2234"/>
      <c r="MDY10" s="2234"/>
      <c r="MDZ10" s="2234"/>
      <c r="MEA10" s="2234"/>
      <c r="MEB10" s="2234"/>
      <c r="MEC10" s="2234"/>
      <c r="MED10" s="2234"/>
      <c r="MEE10" s="2234"/>
      <c r="MEF10" s="2234"/>
      <c r="MEG10" s="2234"/>
      <c r="MEH10" s="2234"/>
      <c r="MEI10" s="2234"/>
      <c r="MEJ10" s="2234"/>
      <c r="MEK10" s="2234"/>
      <c r="MEL10" s="2234"/>
      <c r="MEM10" s="2234"/>
      <c r="MEN10" s="2234"/>
      <c r="MEO10" s="2234"/>
      <c r="MEP10" s="2234"/>
      <c r="MEQ10" s="2234"/>
      <c r="MER10" s="2234"/>
      <c r="MES10" s="2234"/>
      <c r="MET10" s="2234"/>
      <c r="MEU10" s="2234"/>
      <c r="MEV10" s="2234"/>
      <c r="MEW10" s="2234"/>
      <c r="MEX10" s="2234"/>
      <c r="MEY10" s="2234"/>
      <c r="MEZ10" s="2234"/>
      <c r="MFA10" s="2234"/>
      <c r="MFB10" s="2234"/>
      <c r="MFC10" s="2234"/>
      <c r="MFD10" s="2234"/>
      <c r="MFE10" s="2234"/>
      <c r="MFF10" s="2234"/>
      <c r="MFG10" s="2234"/>
      <c r="MFH10" s="2234"/>
      <c r="MFI10" s="2234"/>
      <c r="MFJ10" s="2234"/>
      <c r="MFK10" s="2234"/>
      <c r="MFL10" s="2234"/>
      <c r="MFM10" s="2234"/>
      <c r="MFN10" s="2234"/>
      <c r="MFO10" s="2234"/>
      <c r="MFP10" s="2234"/>
      <c r="MFQ10" s="2234"/>
      <c r="MFR10" s="2234"/>
      <c r="MFS10" s="2234"/>
      <c r="MFT10" s="2234"/>
      <c r="MFU10" s="2234"/>
      <c r="MFV10" s="2234"/>
      <c r="MFW10" s="2234"/>
      <c r="MFX10" s="2234"/>
      <c r="MFY10" s="2234"/>
      <c r="MFZ10" s="2234"/>
      <c r="MGA10" s="2234"/>
      <c r="MGB10" s="2234"/>
      <c r="MGC10" s="2234"/>
      <c r="MGD10" s="2234"/>
      <c r="MGE10" s="2234"/>
      <c r="MGF10" s="2234"/>
      <c r="MGG10" s="2234"/>
      <c r="MGH10" s="2234"/>
      <c r="MGI10" s="2234"/>
      <c r="MGJ10" s="2234"/>
      <c r="MGK10" s="2234"/>
      <c r="MGL10" s="2234"/>
      <c r="MGM10" s="2234"/>
      <c r="MGN10" s="2234"/>
      <c r="MGO10" s="2234"/>
      <c r="MGP10" s="2234"/>
      <c r="MGQ10" s="2234"/>
      <c r="MGR10" s="2234"/>
      <c r="MGS10" s="2234"/>
      <c r="MGT10" s="2234"/>
      <c r="MGU10" s="2234"/>
      <c r="MGV10" s="2234"/>
      <c r="MGW10" s="2234"/>
      <c r="MGX10" s="2234"/>
      <c r="MGY10" s="2234"/>
      <c r="MGZ10" s="2234"/>
      <c r="MHA10" s="2234"/>
      <c r="MHB10" s="2234"/>
      <c r="MHC10" s="2234"/>
      <c r="MHD10" s="2234"/>
      <c r="MHE10" s="2234"/>
      <c r="MHF10" s="2234"/>
      <c r="MHG10" s="2234"/>
      <c r="MHH10" s="2234"/>
      <c r="MHI10" s="2234"/>
      <c r="MHJ10" s="2234"/>
      <c r="MHK10" s="2234"/>
      <c r="MHL10" s="2234"/>
      <c r="MHM10" s="2234"/>
      <c r="MHN10" s="2234"/>
      <c r="MHO10" s="2234"/>
      <c r="MHP10" s="2234"/>
      <c r="MHQ10" s="2234"/>
      <c r="MHR10" s="2234"/>
      <c r="MHS10" s="2234"/>
      <c r="MHT10" s="2234"/>
      <c r="MHU10" s="2234"/>
      <c r="MHV10" s="2234"/>
      <c r="MHW10" s="2234"/>
      <c r="MHX10" s="2234"/>
      <c r="MHY10" s="2234"/>
      <c r="MHZ10" s="2234"/>
      <c r="MIA10" s="2234"/>
      <c r="MIB10" s="2234"/>
      <c r="MIC10" s="2234"/>
      <c r="MID10" s="2234"/>
      <c r="MIE10" s="2234"/>
      <c r="MIF10" s="2234"/>
      <c r="MIG10" s="2234"/>
      <c r="MIH10" s="2234"/>
      <c r="MII10" s="2234"/>
      <c r="MIJ10" s="2234"/>
      <c r="MIK10" s="2234"/>
      <c r="MIL10" s="2234"/>
      <c r="MIM10" s="2234"/>
      <c r="MIN10" s="2234"/>
      <c r="MIO10" s="2234"/>
      <c r="MIP10" s="2234"/>
      <c r="MIQ10" s="2234"/>
      <c r="MIR10" s="2234"/>
      <c r="MIS10" s="2234"/>
      <c r="MIT10" s="2234"/>
      <c r="MIU10" s="2234"/>
      <c r="MIV10" s="2234"/>
      <c r="MIW10" s="2234"/>
      <c r="MIX10" s="2234"/>
      <c r="MIY10" s="2234"/>
      <c r="MIZ10" s="2234"/>
      <c r="MJA10" s="2234"/>
      <c r="MJB10" s="2234"/>
      <c r="MJC10" s="2234"/>
      <c r="MJD10" s="2234"/>
      <c r="MJE10" s="2234"/>
      <c r="MJF10" s="2234"/>
      <c r="MJG10" s="2234"/>
      <c r="MJH10" s="2234"/>
      <c r="MJI10" s="2234"/>
      <c r="MJJ10" s="2234"/>
      <c r="MJK10" s="2234"/>
      <c r="MJL10" s="2234"/>
      <c r="MJM10" s="2234"/>
      <c r="MJN10" s="2234"/>
      <c r="MJO10" s="2234"/>
      <c r="MJP10" s="2234"/>
      <c r="MJQ10" s="2234"/>
      <c r="MJR10" s="2234"/>
      <c r="MJS10" s="2234"/>
      <c r="MJT10" s="2234"/>
      <c r="MJU10" s="2234"/>
      <c r="MJV10" s="2234"/>
      <c r="MJW10" s="2234"/>
      <c r="MJX10" s="2234"/>
      <c r="MJY10" s="2234"/>
      <c r="MJZ10" s="2234"/>
      <c r="MKA10" s="2234"/>
      <c r="MKB10" s="2234"/>
      <c r="MKC10" s="2234"/>
      <c r="MKD10" s="2234"/>
      <c r="MKE10" s="2234"/>
      <c r="MKF10" s="2234"/>
      <c r="MKG10" s="2234"/>
      <c r="MKH10" s="2234"/>
      <c r="MKI10" s="2234"/>
      <c r="MKJ10" s="2234"/>
      <c r="MKK10" s="2234"/>
      <c r="MKL10" s="2234"/>
      <c r="MKM10" s="2234"/>
      <c r="MKN10" s="2234"/>
      <c r="MKO10" s="2234"/>
      <c r="MKP10" s="2234"/>
      <c r="MKQ10" s="2234"/>
      <c r="MKR10" s="2234"/>
      <c r="MKS10" s="2234"/>
      <c r="MKT10" s="2234"/>
      <c r="MKU10" s="2234"/>
      <c r="MKV10" s="2234"/>
      <c r="MKW10" s="2234"/>
      <c r="MKX10" s="2234"/>
      <c r="MKY10" s="2234"/>
      <c r="MKZ10" s="2234"/>
      <c r="MLA10" s="2234"/>
      <c r="MLB10" s="2234"/>
      <c r="MLC10" s="2234"/>
      <c r="MLD10" s="2234"/>
      <c r="MLE10" s="2234"/>
      <c r="MLF10" s="2234"/>
      <c r="MLG10" s="2234"/>
      <c r="MLH10" s="2234"/>
      <c r="MLI10" s="2234"/>
      <c r="MLJ10" s="2234"/>
      <c r="MLK10" s="2234"/>
      <c r="MLL10" s="2234"/>
      <c r="MLM10" s="2234"/>
      <c r="MLN10" s="2234"/>
      <c r="MLO10" s="2234"/>
      <c r="MLP10" s="2234"/>
      <c r="MLQ10" s="2234"/>
      <c r="MLR10" s="2234"/>
      <c r="MLS10" s="2234"/>
      <c r="MLT10" s="2234"/>
      <c r="MLU10" s="2234"/>
      <c r="MLV10" s="2234"/>
      <c r="MLW10" s="2234"/>
      <c r="MLX10" s="2234"/>
      <c r="MLY10" s="2234"/>
      <c r="MLZ10" s="2234"/>
      <c r="MMA10" s="2234"/>
      <c r="MMB10" s="2234"/>
      <c r="MMC10" s="2234"/>
      <c r="MMD10" s="2234"/>
      <c r="MME10" s="2234"/>
      <c r="MMF10" s="2234"/>
      <c r="MMG10" s="2234"/>
      <c r="MMH10" s="2234"/>
      <c r="MMI10" s="2234"/>
      <c r="MMJ10" s="2234"/>
      <c r="MMK10" s="2234"/>
      <c r="MML10" s="2234"/>
      <c r="MMM10" s="2234"/>
      <c r="MMN10" s="2234"/>
      <c r="MMO10" s="2234"/>
      <c r="MMP10" s="2234"/>
      <c r="MMQ10" s="2234"/>
      <c r="MMR10" s="2234"/>
      <c r="MMS10" s="2234"/>
      <c r="MMT10" s="2234"/>
      <c r="MMU10" s="2234"/>
      <c r="MMV10" s="2234"/>
      <c r="MMW10" s="2234"/>
      <c r="MMX10" s="2234"/>
      <c r="MMY10" s="2234"/>
      <c r="MMZ10" s="2234"/>
      <c r="MNA10" s="2234"/>
      <c r="MNB10" s="2234"/>
      <c r="MNC10" s="2234"/>
      <c r="MND10" s="2234"/>
      <c r="MNE10" s="2234"/>
      <c r="MNF10" s="2234"/>
      <c r="MNG10" s="2234"/>
      <c r="MNH10" s="2234"/>
      <c r="MNI10" s="2234"/>
      <c r="MNJ10" s="2234"/>
      <c r="MNK10" s="2234"/>
      <c r="MNL10" s="2234"/>
      <c r="MNM10" s="2234"/>
      <c r="MNN10" s="2234"/>
      <c r="MNO10" s="2234"/>
      <c r="MNP10" s="2234"/>
      <c r="MNQ10" s="2234"/>
      <c r="MNR10" s="2234"/>
      <c r="MNS10" s="2234"/>
      <c r="MNT10" s="2234"/>
      <c r="MNU10" s="2234"/>
      <c r="MNV10" s="2234"/>
      <c r="MNW10" s="2234"/>
      <c r="MNX10" s="2234"/>
      <c r="MNY10" s="2234"/>
      <c r="MNZ10" s="2234"/>
      <c r="MOA10" s="2234"/>
      <c r="MOB10" s="2234"/>
      <c r="MOC10" s="2234"/>
      <c r="MOD10" s="2234"/>
      <c r="MOE10" s="2234"/>
      <c r="MOF10" s="2234"/>
      <c r="MOG10" s="2234"/>
      <c r="MOH10" s="2234"/>
      <c r="MOI10" s="2234"/>
      <c r="MOJ10" s="2234"/>
      <c r="MOK10" s="2234"/>
      <c r="MOL10" s="2234"/>
      <c r="MOM10" s="2234"/>
      <c r="MON10" s="2234"/>
      <c r="MOO10" s="2234"/>
      <c r="MOP10" s="2234"/>
      <c r="MOQ10" s="2234"/>
      <c r="MOR10" s="2234"/>
      <c r="MOS10" s="2234"/>
      <c r="MOT10" s="2234"/>
      <c r="MOU10" s="2234"/>
      <c r="MOV10" s="2234"/>
      <c r="MOW10" s="2234"/>
      <c r="MOX10" s="2234"/>
      <c r="MOY10" s="2234"/>
      <c r="MOZ10" s="2234"/>
      <c r="MPA10" s="2234"/>
      <c r="MPB10" s="2234"/>
      <c r="MPC10" s="2234"/>
      <c r="MPD10" s="2234"/>
      <c r="MPE10" s="2234"/>
      <c r="MPF10" s="2234"/>
      <c r="MPG10" s="2234"/>
      <c r="MPH10" s="2234"/>
      <c r="MPI10" s="2234"/>
      <c r="MPJ10" s="2234"/>
      <c r="MPK10" s="2234"/>
      <c r="MPL10" s="2234"/>
      <c r="MPM10" s="2234"/>
      <c r="MPN10" s="2234"/>
      <c r="MPO10" s="2234"/>
      <c r="MPP10" s="2234"/>
      <c r="MPQ10" s="2234"/>
      <c r="MPR10" s="2234"/>
      <c r="MPS10" s="2234"/>
      <c r="MPT10" s="2234"/>
      <c r="MPU10" s="2234"/>
      <c r="MPV10" s="2234"/>
      <c r="MPW10" s="2234"/>
      <c r="MPX10" s="2234"/>
      <c r="MPY10" s="2234"/>
      <c r="MPZ10" s="2234"/>
      <c r="MQA10" s="2234"/>
      <c r="MQB10" s="2234"/>
      <c r="MQC10" s="2234"/>
      <c r="MQD10" s="2234"/>
      <c r="MQE10" s="2234"/>
      <c r="MQF10" s="2234"/>
      <c r="MQG10" s="2234"/>
      <c r="MQH10" s="2234"/>
      <c r="MQI10" s="2234"/>
      <c r="MQJ10" s="2234"/>
      <c r="MQK10" s="2234"/>
      <c r="MQL10" s="2234"/>
      <c r="MQM10" s="2234"/>
      <c r="MQN10" s="2234"/>
      <c r="MQO10" s="2234"/>
      <c r="MQP10" s="2234"/>
      <c r="MQQ10" s="2234"/>
      <c r="MQR10" s="2234"/>
      <c r="MQS10" s="2234"/>
      <c r="MQT10" s="2234"/>
      <c r="MQU10" s="2234"/>
      <c r="MQV10" s="2234"/>
      <c r="MQW10" s="2234"/>
      <c r="MQX10" s="2234"/>
      <c r="MQY10" s="2234"/>
      <c r="MQZ10" s="2234"/>
      <c r="MRA10" s="2234"/>
      <c r="MRB10" s="2234"/>
      <c r="MRC10" s="2234"/>
      <c r="MRD10" s="2234"/>
      <c r="MRE10" s="2234"/>
      <c r="MRF10" s="2234"/>
      <c r="MRG10" s="2234"/>
      <c r="MRH10" s="2234"/>
      <c r="MRI10" s="2234"/>
      <c r="MRJ10" s="2234"/>
      <c r="MRK10" s="2234"/>
      <c r="MRL10" s="2234"/>
      <c r="MRM10" s="2234"/>
      <c r="MRN10" s="2234"/>
      <c r="MRO10" s="2234"/>
      <c r="MRP10" s="2234"/>
      <c r="MRQ10" s="2234"/>
      <c r="MRR10" s="2234"/>
      <c r="MRS10" s="2234"/>
      <c r="MRT10" s="2234"/>
      <c r="MRU10" s="2234"/>
      <c r="MRV10" s="2234"/>
      <c r="MRW10" s="2234"/>
      <c r="MRX10" s="2234"/>
      <c r="MRY10" s="2234"/>
      <c r="MRZ10" s="2234"/>
      <c r="MSA10" s="2234"/>
      <c r="MSB10" s="2234"/>
      <c r="MSC10" s="2234"/>
      <c r="MSD10" s="2234"/>
      <c r="MSE10" s="2234"/>
      <c r="MSF10" s="2234"/>
      <c r="MSG10" s="2234"/>
      <c r="MSH10" s="2234"/>
      <c r="MSI10" s="2234"/>
      <c r="MSJ10" s="2234"/>
      <c r="MSK10" s="2234"/>
      <c r="MSL10" s="2234"/>
      <c r="MSM10" s="2234"/>
      <c r="MSN10" s="2234"/>
      <c r="MSO10" s="2234"/>
      <c r="MSP10" s="2234"/>
      <c r="MSQ10" s="2234"/>
      <c r="MSR10" s="2234"/>
      <c r="MSS10" s="2234"/>
      <c r="MST10" s="2234"/>
      <c r="MSU10" s="2234"/>
      <c r="MSV10" s="2234"/>
      <c r="MSW10" s="2234"/>
      <c r="MSX10" s="2234"/>
      <c r="MSY10" s="2234"/>
      <c r="MSZ10" s="2234"/>
      <c r="MTA10" s="2234"/>
      <c r="MTB10" s="2234"/>
      <c r="MTC10" s="2234"/>
      <c r="MTD10" s="2234"/>
      <c r="MTE10" s="2234"/>
      <c r="MTF10" s="2234"/>
      <c r="MTG10" s="2234"/>
      <c r="MTH10" s="2234"/>
      <c r="MTI10" s="2234"/>
      <c r="MTJ10" s="2234"/>
      <c r="MTK10" s="2234"/>
      <c r="MTL10" s="2234"/>
      <c r="MTM10" s="2234"/>
      <c r="MTN10" s="2234"/>
      <c r="MTO10" s="2234"/>
      <c r="MTP10" s="2234"/>
      <c r="MTQ10" s="2234"/>
      <c r="MTR10" s="2234"/>
      <c r="MTS10" s="2234"/>
      <c r="MTT10" s="2234"/>
      <c r="MTU10" s="2234"/>
      <c r="MTV10" s="2234"/>
      <c r="MTW10" s="2234"/>
      <c r="MTX10" s="2234"/>
      <c r="MTY10" s="2234"/>
      <c r="MTZ10" s="2234"/>
      <c r="MUA10" s="2234"/>
      <c r="MUB10" s="2234"/>
      <c r="MUC10" s="2234"/>
      <c r="MUD10" s="2234"/>
      <c r="MUE10" s="2234"/>
      <c r="MUF10" s="2234"/>
      <c r="MUG10" s="2234"/>
      <c r="MUH10" s="2234"/>
      <c r="MUI10" s="2234"/>
      <c r="MUJ10" s="2234"/>
      <c r="MUK10" s="2234"/>
      <c r="MUL10" s="2234"/>
      <c r="MUM10" s="2234"/>
      <c r="MUN10" s="2234"/>
      <c r="MUO10" s="2234"/>
      <c r="MUP10" s="2234"/>
      <c r="MUQ10" s="2234"/>
      <c r="MUR10" s="2234"/>
      <c r="MUS10" s="2234"/>
      <c r="MUT10" s="2234"/>
      <c r="MUU10" s="2234"/>
      <c r="MUV10" s="2234"/>
      <c r="MUW10" s="2234"/>
      <c r="MUX10" s="2234"/>
      <c r="MUY10" s="2234"/>
      <c r="MUZ10" s="2234"/>
      <c r="MVA10" s="2234"/>
      <c r="MVB10" s="2234"/>
      <c r="MVC10" s="2234"/>
      <c r="MVD10" s="2234"/>
      <c r="MVE10" s="2234"/>
      <c r="MVF10" s="2234"/>
      <c r="MVG10" s="2234"/>
      <c r="MVH10" s="2234"/>
      <c r="MVI10" s="2234"/>
      <c r="MVJ10" s="2234"/>
      <c r="MVK10" s="2234"/>
      <c r="MVL10" s="2234"/>
      <c r="MVM10" s="2234"/>
      <c r="MVN10" s="2234"/>
      <c r="MVO10" s="2234"/>
      <c r="MVP10" s="2234"/>
      <c r="MVQ10" s="2234"/>
      <c r="MVR10" s="2234"/>
      <c r="MVS10" s="2234"/>
      <c r="MVT10" s="2234"/>
      <c r="MVU10" s="2234"/>
      <c r="MVV10" s="2234"/>
      <c r="MVW10" s="2234"/>
      <c r="MVX10" s="2234"/>
      <c r="MVY10" s="2234"/>
      <c r="MVZ10" s="2234"/>
      <c r="MWA10" s="2234"/>
      <c r="MWB10" s="2234"/>
      <c r="MWC10" s="2234"/>
      <c r="MWD10" s="2234"/>
      <c r="MWE10" s="2234"/>
      <c r="MWF10" s="2234"/>
      <c r="MWG10" s="2234"/>
      <c r="MWH10" s="2234"/>
      <c r="MWI10" s="2234"/>
      <c r="MWJ10" s="2234"/>
      <c r="MWK10" s="2234"/>
      <c r="MWL10" s="2234"/>
      <c r="MWM10" s="2234"/>
      <c r="MWN10" s="2234"/>
      <c r="MWO10" s="2234"/>
      <c r="MWP10" s="2234"/>
      <c r="MWQ10" s="2234"/>
      <c r="MWR10" s="2234"/>
      <c r="MWS10" s="2234"/>
      <c r="MWT10" s="2234"/>
      <c r="MWU10" s="2234"/>
      <c r="MWV10" s="2234"/>
      <c r="MWW10" s="2234"/>
      <c r="MWX10" s="2234"/>
      <c r="MWY10" s="2234"/>
      <c r="MWZ10" s="2234"/>
      <c r="MXA10" s="2234"/>
      <c r="MXB10" s="2234"/>
      <c r="MXC10" s="2234"/>
      <c r="MXD10" s="2234"/>
      <c r="MXE10" s="2234"/>
      <c r="MXF10" s="2234"/>
      <c r="MXG10" s="2234"/>
      <c r="MXH10" s="2234"/>
      <c r="MXI10" s="2234"/>
      <c r="MXJ10" s="2234"/>
      <c r="MXK10" s="2234"/>
      <c r="MXL10" s="2234"/>
      <c r="MXM10" s="2234"/>
      <c r="MXN10" s="2234"/>
      <c r="MXO10" s="2234"/>
      <c r="MXP10" s="2234"/>
      <c r="MXQ10" s="2234"/>
      <c r="MXR10" s="2234"/>
      <c r="MXS10" s="2234"/>
      <c r="MXT10" s="2234"/>
      <c r="MXU10" s="2234"/>
      <c r="MXV10" s="2234"/>
      <c r="MXW10" s="2234"/>
      <c r="MXX10" s="2234"/>
      <c r="MXY10" s="2234"/>
      <c r="MXZ10" s="2234"/>
      <c r="MYA10" s="2234"/>
      <c r="MYB10" s="2234"/>
      <c r="MYC10" s="2234"/>
      <c r="MYD10" s="2234"/>
      <c r="MYE10" s="2234"/>
      <c r="MYF10" s="2234"/>
      <c r="MYG10" s="2234"/>
      <c r="MYH10" s="2234"/>
      <c r="MYI10" s="2234"/>
      <c r="MYJ10" s="2234"/>
      <c r="MYK10" s="2234"/>
      <c r="MYL10" s="2234"/>
      <c r="MYM10" s="2234"/>
      <c r="MYN10" s="2234"/>
      <c r="MYO10" s="2234"/>
      <c r="MYP10" s="2234"/>
      <c r="MYQ10" s="2234"/>
      <c r="MYR10" s="2234"/>
      <c r="MYS10" s="2234"/>
      <c r="MYT10" s="2234"/>
      <c r="MYU10" s="2234"/>
      <c r="MYV10" s="2234"/>
      <c r="MYW10" s="2234"/>
      <c r="MYX10" s="2234"/>
      <c r="MYY10" s="2234"/>
      <c r="MYZ10" s="2234"/>
      <c r="MZA10" s="2234"/>
      <c r="MZB10" s="2234"/>
      <c r="MZC10" s="2234"/>
      <c r="MZD10" s="2234"/>
      <c r="MZE10" s="2234"/>
      <c r="MZF10" s="2234"/>
      <c r="MZG10" s="2234"/>
      <c r="MZH10" s="2234"/>
      <c r="MZI10" s="2234"/>
      <c r="MZJ10" s="2234"/>
      <c r="MZK10" s="2234"/>
      <c r="MZL10" s="2234"/>
      <c r="MZM10" s="2234"/>
      <c r="MZN10" s="2234"/>
      <c r="MZO10" s="2234"/>
      <c r="MZP10" s="2234"/>
      <c r="MZQ10" s="2234"/>
      <c r="MZR10" s="2234"/>
      <c r="MZS10" s="2234"/>
      <c r="MZT10" s="2234"/>
      <c r="MZU10" s="2234"/>
      <c r="MZV10" s="2234"/>
      <c r="MZW10" s="2234"/>
      <c r="MZX10" s="2234"/>
      <c r="MZY10" s="2234"/>
      <c r="MZZ10" s="2234"/>
      <c r="NAA10" s="2234"/>
      <c r="NAB10" s="2234"/>
      <c r="NAC10" s="2234"/>
      <c r="NAD10" s="2234"/>
      <c r="NAE10" s="2234"/>
      <c r="NAF10" s="2234"/>
      <c r="NAG10" s="2234"/>
      <c r="NAH10" s="2234"/>
      <c r="NAI10" s="2234"/>
      <c r="NAJ10" s="2234"/>
      <c r="NAK10" s="2234"/>
      <c r="NAL10" s="2234"/>
      <c r="NAM10" s="2234"/>
      <c r="NAN10" s="2234"/>
      <c r="NAO10" s="2234"/>
      <c r="NAP10" s="2234"/>
      <c r="NAQ10" s="2234"/>
      <c r="NAR10" s="2234"/>
      <c r="NAS10" s="2234"/>
      <c r="NAT10" s="2234"/>
      <c r="NAU10" s="2234"/>
      <c r="NAV10" s="2234"/>
      <c r="NAW10" s="2234"/>
      <c r="NAX10" s="2234"/>
      <c r="NAY10" s="2234"/>
      <c r="NAZ10" s="2234"/>
      <c r="NBA10" s="2234"/>
      <c r="NBB10" s="2234"/>
      <c r="NBC10" s="2234"/>
      <c r="NBD10" s="2234"/>
      <c r="NBE10" s="2234"/>
      <c r="NBF10" s="2234"/>
      <c r="NBG10" s="2234"/>
      <c r="NBH10" s="2234"/>
      <c r="NBI10" s="2234"/>
      <c r="NBJ10" s="2234"/>
      <c r="NBK10" s="2234"/>
      <c r="NBL10" s="2234"/>
      <c r="NBM10" s="2234"/>
      <c r="NBN10" s="2234"/>
      <c r="NBO10" s="2234"/>
      <c r="NBP10" s="2234"/>
      <c r="NBQ10" s="2234"/>
      <c r="NBR10" s="2234"/>
      <c r="NBS10" s="2234"/>
      <c r="NBT10" s="2234"/>
      <c r="NBU10" s="2234"/>
      <c r="NBV10" s="2234"/>
      <c r="NBW10" s="2234"/>
      <c r="NBX10" s="2234"/>
      <c r="NBY10" s="2234"/>
      <c r="NBZ10" s="2234"/>
      <c r="NCA10" s="2234"/>
      <c r="NCB10" s="2234"/>
      <c r="NCC10" s="2234"/>
      <c r="NCD10" s="2234"/>
      <c r="NCE10" s="2234"/>
      <c r="NCF10" s="2234"/>
      <c r="NCG10" s="2234"/>
      <c r="NCH10" s="2234"/>
      <c r="NCI10" s="2234"/>
      <c r="NCJ10" s="2234"/>
      <c r="NCK10" s="2234"/>
      <c r="NCL10" s="2234"/>
      <c r="NCM10" s="2234"/>
      <c r="NCN10" s="2234"/>
      <c r="NCO10" s="2234"/>
      <c r="NCP10" s="2234"/>
      <c r="NCQ10" s="2234"/>
      <c r="NCR10" s="2234"/>
      <c r="NCS10" s="2234"/>
      <c r="NCT10" s="2234"/>
      <c r="NCU10" s="2234"/>
      <c r="NCV10" s="2234"/>
      <c r="NCW10" s="2234"/>
      <c r="NCX10" s="2234"/>
      <c r="NCY10" s="2234"/>
      <c r="NCZ10" s="2234"/>
      <c r="NDA10" s="2234"/>
      <c r="NDB10" s="2234"/>
      <c r="NDC10" s="2234"/>
      <c r="NDD10" s="2234"/>
      <c r="NDE10" s="2234"/>
      <c r="NDF10" s="2234"/>
      <c r="NDG10" s="2234"/>
      <c r="NDH10" s="2234"/>
      <c r="NDI10" s="2234"/>
      <c r="NDJ10" s="2234"/>
      <c r="NDK10" s="2234"/>
      <c r="NDL10" s="2234"/>
      <c r="NDM10" s="2234"/>
      <c r="NDN10" s="2234"/>
      <c r="NDO10" s="2234"/>
      <c r="NDP10" s="2234"/>
      <c r="NDQ10" s="2234"/>
      <c r="NDR10" s="2234"/>
      <c r="NDS10" s="2234"/>
      <c r="NDT10" s="2234"/>
      <c r="NDU10" s="2234"/>
      <c r="NDV10" s="2234"/>
      <c r="NDW10" s="2234"/>
      <c r="NDX10" s="2234"/>
      <c r="NDY10" s="2234"/>
      <c r="NDZ10" s="2234"/>
      <c r="NEA10" s="2234"/>
      <c r="NEB10" s="2234"/>
      <c r="NEC10" s="2234"/>
      <c r="NED10" s="2234"/>
      <c r="NEE10" s="2234"/>
      <c r="NEF10" s="2234"/>
      <c r="NEG10" s="2234"/>
      <c r="NEH10" s="2234"/>
      <c r="NEI10" s="2234"/>
      <c r="NEJ10" s="2234"/>
      <c r="NEK10" s="2234"/>
      <c r="NEL10" s="2234"/>
      <c r="NEM10" s="2234"/>
      <c r="NEN10" s="2234"/>
      <c r="NEO10" s="2234"/>
      <c r="NEP10" s="2234"/>
      <c r="NEQ10" s="2234"/>
      <c r="NER10" s="2234"/>
      <c r="NES10" s="2234"/>
      <c r="NET10" s="2234"/>
      <c r="NEU10" s="2234"/>
      <c r="NEV10" s="2234"/>
      <c r="NEW10" s="2234"/>
      <c r="NEX10" s="2234"/>
      <c r="NEY10" s="2234"/>
      <c r="NEZ10" s="2234"/>
      <c r="NFA10" s="2234"/>
      <c r="NFB10" s="2234"/>
      <c r="NFC10" s="2234"/>
      <c r="NFD10" s="2234"/>
      <c r="NFE10" s="2234"/>
      <c r="NFF10" s="2234"/>
      <c r="NFG10" s="2234"/>
      <c r="NFH10" s="2234"/>
      <c r="NFI10" s="2234"/>
      <c r="NFJ10" s="2234"/>
      <c r="NFK10" s="2234"/>
      <c r="NFL10" s="2234"/>
      <c r="NFM10" s="2234"/>
      <c r="NFN10" s="2234"/>
      <c r="NFO10" s="2234"/>
      <c r="NFP10" s="2234"/>
      <c r="NFQ10" s="2234"/>
      <c r="NFR10" s="2234"/>
      <c r="NFS10" s="2234"/>
      <c r="NFT10" s="2234"/>
      <c r="NFU10" s="2234"/>
      <c r="NFV10" s="2234"/>
      <c r="NFW10" s="2234"/>
      <c r="NFX10" s="2234"/>
      <c r="NFY10" s="2234"/>
      <c r="NFZ10" s="2234"/>
      <c r="NGA10" s="2234"/>
      <c r="NGB10" s="2234"/>
      <c r="NGC10" s="2234"/>
      <c r="NGD10" s="2234"/>
      <c r="NGE10" s="2234"/>
      <c r="NGF10" s="2234"/>
      <c r="NGG10" s="2234"/>
      <c r="NGH10" s="2234"/>
      <c r="NGI10" s="2234"/>
      <c r="NGJ10" s="2234"/>
      <c r="NGK10" s="2234"/>
      <c r="NGL10" s="2234"/>
      <c r="NGM10" s="2234"/>
      <c r="NGN10" s="2234"/>
      <c r="NGO10" s="2234"/>
      <c r="NGP10" s="2234"/>
      <c r="NGQ10" s="2234"/>
      <c r="NGR10" s="2234"/>
      <c r="NGS10" s="2234"/>
      <c r="NGT10" s="2234"/>
      <c r="NGU10" s="2234"/>
      <c r="NGV10" s="2234"/>
      <c r="NGW10" s="2234"/>
      <c r="NGX10" s="2234"/>
      <c r="NGY10" s="2234"/>
      <c r="NGZ10" s="2234"/>
      <c r="NHA10" s="2234"/>
      <c r="NHB10" s="2234"/>
      <c r="NHC10" s="2234"/>
      <c r="NHD10" s="2234"/>
      <c r="NHE10" s="2234"/>
      <c r="NHF10" s="2234"/>
      <c r="NHG10" s="2234"/>
      <c r="NHH10" s="2234"/>
      <c r="NHI10" s="2234"/>
      <c r="NHJ10" s="2234"/>
      <c r="NHK10" s="2234"/>
      <c r="NHL10" s="2234"/>
      <c r="NHM10" s="2234"/>
      <c r="NHN10" s="2234"/>
      <c r="NHO10" s="2234"/>
      <c r="NHP10" s="2234"/>
      <c r="NHQ10" s="2234"/>
      <c r="NHR10" s="2234"/>
      <c r="NHS10" s="2234"/>
      <c r="NHT10" s="2234"/>
      <c r="NHU10" s="2234"/>
      <c r="NHV10" s="2234"/>
      <c r="NHW10" s="2234"/>
      <c r="NHX10" s="2234"/>
      <c r="NHY10" s="2234"/>
      <c r="NHZ10" s="2234"/>
      <c r="NIA10" s="2234"/>
      <c r="NIB10" s="2234"/>
      <c r="NIC10" s="2234"/>
      <c r="NID10" s="2234"/>
      <c r="NIE10" s="2234"/>
      <c r="NIF10" s="2234"/>
      <c r="NIG10" s="2234"/>
      <c r="NIH10" s="2234"/>
      <c r="NII10" s="2234"/>
      <c r="NIJ10" s="2234"/>
      <c r="NIK10" s="2234"/>
      <c r="NIL10" s="2234"/>
      <c r="NIM10" s="2234"/>
      <c r="NIN10" s="2234"/>
      <c r="NIO10" s="2234"/>
      <c r="NIP10" s="2234"/>
      <c r="NIQ10" s="2234"/>
      <c r="NIR10" s="2234"/>
      <c r="NIS10" s="2234"/>
      <c r="NIT10" s="2234"/>
      <c r="NIU10" s="2234"/>
      <c r="NIV10" s="2234"/>
      <c r="NIW10" s="2234"/>
      <c r="NIX10" s="2234"/>
      <c r="NIY10" s="2234"/>
      <c r="NIZ10" s="2234"/>
      <c r="NJA10" s="2234"/>
      <c r="NJB10" s="2234"/>
      <c r="NJC10" s="2234"/>
      <c r="NJD10" s="2234"/>
      <c r="NJE10" s="2234"/>
      <c r="NJF10" s="2234"/>
      <c r="NJG10" s="2234"/>
      <c r="NJH10" s="2234"/>
      <c r="NJI10" s="2234"/>
      <c r="NJJ10" s="2234"/>
      <c r="NJK10" s="2234"/>
      <c r="NJL10" s="2234"/>
      <c r="NJM10" s="2234"/>
      <c r="NJN10" s="2234"/>
      <c r="NJO10" s="2234"/>
      <c r="NJP10" s="2234"/>
      <c r="NJQ10" s="2234"/>
      <c r="NJR10" s="2234"/>
      <c r="NJS10" s="2234"/>
      <c r="NJT10" s="2234"/>
      <c r="NJU10" s="2234"/>
      <c r="NJV10" s="2234"/>
      <c r="NJW10" s="2234"/>
      <c r="NJX10" s="2234"/>
      <c r="NJY10" s="2234"/>
      <c r="NJZ10" s="2234"/>
      <c r="NKA10" s="2234"/>
      <c r="NKB10" s="2234"/>
      <c r="NKC10" s="2234"/>
      <c r="NKD10" s="2234"/>
      <c r="NKE10" s="2234"/>
      <c r="NKF10" s="2234"/>
      <c r="NKG10" s="2234"/>
      <c r="NKH10" s="2234"/>
      <c r="NKI10" s="2234"/>
      <c r="NKJ10" s="2234"/>
      <c r="NKK10" s="2234"/>
      <c r="NKL10" s="2234"/>
      <c r="NKM10" s="2234"/>
      <c r="NKN10" s="2234"/>
      <c r="NKO10" s="2234"/>
      <c r="NKP10" s="2234"/>
      <c r="NKQ10" s="2234"/>
      <c r="NKR10" s="2234"/>
      <c r="NKS10" s="2234"/>
      <c r="NKT10" s="2234"/>
      <c r="NKU10" s="2234"/>
      <c r="NKV10" s="2234"/>
      <c r="NKW10" s="2234"/>
      <c r="NKX10" s="2234"/>
      <c r="NKY10" s="2234"/>
      <c r="NKZ10" s="2234"/>
      <c r="NLA10" s="2234"/>
      <c r="NLB10" s="2234"/>
      <c r="NLC10" s="2234"/>
      <c r="NLD10" s="2234"/>
      <c r="NLE10" s="2234"/>
      <c r="NLF10" s="2234"/>
      <c r="NLG10" s="2234"/>
      <c r="NLH10" s="2234"/>
      <c r="NLI10" s="2234"/>
      <c r="NLJ10" s="2234"/>
      <c r="NLK10" s="2234"/>
      <c r="NLL10" s="2234"/>
      <c r="NLM10" s="2234"/>
      <c r="NLN10" s="2234"/>
      <c r="NLO10" s="2234"/>
      <c r="NLP10" s="2234"/>
      <c r="NLQ10" s="2234"/>
      <c r="NLR10" s="2234"/>
      <c r="NLS10" s="2234"/>
      <c r="NLT10" s="2234"/>
      <c r="NLU10" s="2234"/>
      <c r="NLV10" s="2234"/>
      <c r="NLW10" s="2234"/>
      <c r="NLX10" s="2234"/>
      <c r="NLY10" s="2234"/>
      <c r="NLZ10" s="2234"/>
      <c r="NMA10" s="2234"/>
      <c r="NMB10" s="2234"/>
      <c r="NMC10" s="2234"/>
      <c r="NMD10" s="2234"/>
      <c r="NME10" s="2234"/>
      <c r="NMF10" s="2234"/>
      <c r="NMG10" s="2234"/>
      <c r="NMH10" s="2234"/>
      <c r="NMI10" s="2234"/>
      <c r="NMJ10" s="2234"/>
      <c r="NMK10" s="2234"/>
      <c r="NML10" s="2234"/>
      <c r="NMM10" s="2234"/>
      <c r="NMN10" s="2234"/>
      <c r="NMO10" s="2234"/>
      <c r="NMP10" s="2234"/>
      <c r="NMQ10" s="2234"/>
      <c r="NMR10" s="2234"/>
      <c r="NMS10" s="2234"/>
      <c r="NMT10" s="2234"/>
      <c r="NMU10" s="2234"/>
      <c r="NMV10" s="2234"/>
      <c r="NMW10" s="2234"/>
      <c r="NMX10" s="2234"/>
      <c r="NMY10" s="2234"/>
      <c r="NMZ10" s="2234"/>
      <c r="NNA10" s="2234"/>
      <c r="NNB10" s="2234"/>
      <c r="NNC10" s="2234"/>
      <c r="NND10" s="2234"/>
      <c r="NNE10" s="2234"/>
      <c r="NNF10" s="2234"/>
      <c r="NNG10" s="2234"/>
      <c r="NNH10" s="2234"/>
      <c r="NNI10" s="2234"/>
      <c r="NNJ10" s="2234"/>
      <c r="NNK10" s="2234"/>
      <c r="NNL10" s="2234"/>
      <c r="NNM10" s="2234"/>
      <c r="NNN10" s="2234"/>
      <c r="NNO10" s="2234"/>
      <c r="NNP10" s="2234"/>
      <c r="NNQ10" s="2234"/>
      <c r="NNR10" s="2234"/>
      <c r="NNS10" s="2234"/>
      <c r="NNT10" s="2234"/>
      <c r="NNU10" s="2234"/>
      <c r="NNV10" s="2234"/>
      <c r="NNW10" s="2234"/>
      <c r="NNX10" s="2234"/>
      <c r="NNY10" s="2234"/>
      <c r="NNZ10" s="2234"/>
      <c r="NOA10" s="2234"/>
      <c r="NOB10" s="2234"/>
      <c r="NOC10" s="2234"/>
      <c r="NOD10" s="2234"/>
      <c r="NOE10" s="2234"/>
      <c r="NOF10" s="2234"/>
      <c r="NOG10" s="2234"/>
      <c r="NOH10" s="2234"/>
      <c r="NOI10" s="2234"/>
      <c r="NOJ10" s="2234"/>
      <c r="NOK10" s="2234"/>
      <c r="NOL10" s="2234"/>
      <c r="NOM10" s="2234"/>
      <c r="NON10" s="2234"/>
      <c r="NOO10" s="2234"/>
      <c r="NOP10" s="2234"/>
      <c r="NOQ10" s="2234"/>
      <c r="NOR10" s="2234"/>
      <c r="NOS10" s="2234"/>
      <c r="NOT10" s="2234"/>
      <c r="NOU10" s="2234"/>
      <c r="NOV10" s="2234"/>
      <c r="NOW10" s="2234"/>
      <c r="NOX10" s="2234"/>
      <c r="NOY10" s="2234"/>
      <c r="NOZ10" s="2234"/>
      <c r="NPA10" s="2234"/>
      <c r="NPB10" s="2234"/>
      <c r="NPC10" s="2234"/>
      <c r="NPD10" s="2234"/>
      <c r="NPE10" s="2234"/>
      <c r="NPF10" s="2234"/>
      <c r="NPG10" s="2234"/>
      <c r="NPH10" s="2234"/>
      <c r="NPI10" s="2234"/>
      <c r="NPJ10" s="2234"/>
      <c r="NPK10" s="2234"/>
      <c r="NPL10" s="2234"/>
      <c r="NPM10" s="2234"/>
      <c r="NPN10" s="2234"/>
      <c r="NPO10" s="2234"/>
      <c r="NPP10" s="2234"/>
      <c r="NPQ10" s="2234"/>
      <c r="NPR10" s="2234"/>
      <c r="NPS10" s="2234"/>
      <c r="NPT10" s="2234"/>
      <c r="NPU10" s="2234"/>
      <c r="NPV10" s="2234"/>
      <c r="NPW10" s="2234"/>
      <c r="NPX10" s="2234"/>
      <c r="NPY10" s="2234"/>
      <c r="NPZ10" s="2234"/>
      <c r="NQA10" s="2234"/>
      <c r="NQB10" s="2234"/>
      <c r="NQC10" s="2234"/>
      <c r="NQD10" s="2234"/>
      <c r="NQE10" s="2234"/>
      <c r="NQF10" s="2234"/>
      <c r="NQG10" s="2234"/>
      <c r="NQH10" s="2234"/>
      <c r="NQI10" s="2234"/>
      <c r="NQJ10" s="2234"/>
      <c r="NQK10" s="2234"/>
      <c r="NQL10" s="2234"/>
      <c r="NQM10" s="2234"/>
      <c r="NQN10" s="2234"/>
      <c r="NQO10" s="2234"/>
      <c r="NQP10" s="2234"/>
      <c r="NQQ10" s="2234"/>
      <c r="NQR10" s="2234"/>
      <c r="NQS10" s="2234"/>
      <c r="NQT10" s="2234"/>
      <c r="NQU10" s="2234"/>
      <c r="NQV10" s="2234"/>
      <c r="NQW10" s="2234"/>
      <c r="NQX10" s="2234"/>
      <c r="NQY10" s="2234"/>
      <c r="NQZ10" s="2234"/>
      <c r="NRA10" s="2234"/>
      <c r="NRB10" s="2234"/>
      <c r="NRC10" s="2234"/>
      <c r="NRD10" s="2234"/>
      <c r="NRE10" s="2234"/>
      <c r="NRF10" s="2234"/>
      <c r="NRG10" s="2234"/>
      <c r="NRH10" s="2234"/>
      <c r="NRI10" s="2234"/>
      <c r="NRJ10" s="2234"/>
      <c r="NRK10" s="2234"/>
      <c r="NRL10" s="2234"/>
      <c r="NRM10" s="2234"/>
      <c r="NRN10" s="2234"/>
      <c r="NRO10" s="2234"/>
      <c r="NRP10" s="2234"/>
      <c r="NRQ10" s="2234"/>
      <c r="NRR10" s="2234"/>
      <c r="NRS10" s="2234"/>
      <c r="NRT10" s="2234"/>
      <c r="NRU10" s="2234"/>
      <c r="NRV10" s="2234"/>
      <c r="NRW10" s="2234"/>
      <c r="NRX10" s="2234"/>
      <c r="NRY10" s="2234"/>
      <c r="NRZ10" s="2234"/>
      <c r="NSA10" s="2234"/>
      <c r="NSB10" s="2234"/>
      <c r="NSC10" s="2234"/>
      <c r="NSD10" s="2234"/>
      <c r="NSE10" s="2234"/>
      <c r="NSF10" s="2234"/>
      <c r="NSG10" s="2234"/>
      <c r="NSH10" s="2234"/>
      <c r="NSI10" s="2234"/>
      <c r="NSJ10" s="2234"/>
      <c r="NSK10" s="2234"/>
      <c r="NSL10" s="2234"/>
      <c r="NSM10" s="2234"/>
      <c r="NSN10" s="2234"/>
      <c r="NSO10" s="2234"/>
      <c r="NSP10" s="2234"/>
      <c r="NSQ10" s="2234"/>
      <c r="NSR10" s="2234"/>
      <c r="NSS10" s="2234"/>
      <c r="NST10" s="2234"/>
      <c r="NSU10" s="2234"/>
      <c r="NSV10" s="2234"/>
      <c r="NSW10" s="2234"/>
      <c r="NSX10" s="2234"/>
      <c r="NSY10" s="2234"/>
      <c r="NSZ10" s="2234"/>
      <c r="NTA10" s="2234"/>
      <c r="NTB10" s="2234"/>
      <c r="NTC10" s="2234"/>
      <c r="NTD10" s="2234"/>
      <c r="NTE10" s="2234"/>
      <c r="NTF10" s="2234"/>
      <c r="NTG10" s="2234"/>
      <c r="NTH10" s="2234"/>
      <c r="NTI10" s="2234"/>
      <c r="NTJ10" s="2234"/>
      <c r="NTK10" s="2234"/>
      <c r="NTL10" s="2234"/>
      <c r="NTM10" s="2234"/>
      <c r="NTN10" s="2234"/>
      <c r="NTO10" s="2234"/>
      <c r="NTP10" s="2234"/>
      <c r="NTQ10" s="2234"/>
      <c r="NTR10" s="2234"/>
      <c r="NTS10" s="2234"/>
      <c r="NTT10" s="2234"/>
      <c r="NTU10" s="2234"/>
      <c r="NTV10" s="2234"/>
      <c r="NTW10" s="2234"/>
      <c r="NTX10" s="2234"/>
      <c r="NTY10" s="2234"/>
      <c r="NTZ10" s="2234"/>
      <c r="NUA10" s="2234"/>
      <c r="NUB10" s="2234"/>
      <c r="NUC10" s="2234"/>
      <c r="NUD10" s="2234"/>
      <c r="NUE10" s="2234"/>
      <c r="NUF10" s="2234"/>
      <c r="NUG10" s="2234"/>
      <c r="NUH10" s="2234"/>
      <c r="NUI10" s="2234"/>
      <c r="NUJ10" s="2234"/>
      <c r="NUK10" s="2234"/>
      <c r="NUL10" s="2234"/>
      <c r="NUM10" s="2234"/>
      <c r="NUN10" s="2234"/>
      <c r="NUO10" s="2234"/>
      <c r="NUP10" s="2234"/>
      <c r="NUQ10" s="2234"/>
      <c r="NUR10" s="2234"/>
      <c r="NUS10" s="2234"/>
      <c r="NUT10" s="2234"/>
      <c r="NUU10" s="2234"/>
      <c r="NUV10" s="2234"/>
      <c r="NUW10" s="2234"/>
      <c r="NUX10" s="2234"/>
      <c r="NUY10" s="2234"/>
      <c r="NUZ10" s="2234"/>
      <c r="NVA10" s="2234"/>
      <c r="NVB10" s="2234"/>
      <c r="NVC10" s="2234"/>
      <c r="NVD10" s="2234"/>
      <c r="NVE10" s="2234"/>
      <c r="NVF10" s="2234"/>
      <c r="NVG10" s="2234"/>
      <c r="NVH10" s="2234"/>
      <c r="NVI10" s="2234"/>
      <c r="NVJ10" s="2234"/>
      <c r="NVK10" s="2234"/>
      <c r="NVL10" s="2234"/>
      <c r="NVM10" s="2234"/>
      <c r="NVN10" s="2234"/>
      <c r="NVO10" s="2234"/>
      <c r="NVP10" s="2234"/>
      <c r="NVQ10" s="2234"/>
      <c r="NVR10" s="2234"/>
      <c r="NVS10" s="2234"/>
      <c r="NVT10" s="2234"/>
      <c r="NVU10" s="2234"/>
      <c r="NVV10" s="2234"/>
      <c r="NVW10" s="2234"/>
      <c r="NVX10" s="2234"/>
      <c r="NVY10" s="2234"/>
      <c r="NVZ10" s="2234"/>
      <c r="NWA10" s="2234"/>
      <c r="NWB10" s="2234"/>
      <c r="NWC10" s="2234"/>
      <c r="NWD10" s="2234"/>
      <c r="NWE10" s="2234"/>
      <c r="NWF10" s="2234"/>
      <c r="NWG10" s="2234"/>
      <c r="NWH10" s="2234"/>
      <c r="NWI10" s="2234"/>
      <c r="NWJ10" s="2234"/>
      <c r="NWK10" s="2234"/>
      <c r="NWL10" s="2234"/>
      <c r="NWM10" s="2234"/>
      <c r="NWN10" s="2234"/>
      <c r="NWO10" s="2234"/>
      <c r="NWP10" s="2234"/>
      <c r="NWQ10" s="2234"/>
      <c r="NWR10" s="2234"/>
      <c r="NWS10" s="2234"/>
      <c r="NWT10" s="2234"/>
      <c r="NWU10" s="2234"/>
      <c r="NWV10" s="2234"/>
      <c r="NWW10" s="2234"/>
      <c r="NWX10" s="2234"/>
      <c r="NWY10" s="2234"/>
      <c r="NWZ10" s="2234"/>
      <c r="NXA10" s="2234"/>
      <c r="NXB10" s="2234"/>
      <c r="NXC10" s="2234"/>
      <c r="NXD10" s="2234"/>
      <c r="NXE10" s="2234"/>
      <c r="NXF10" s="2234"/>
      <c r="NXG10" s="2234"/>
      <c r="NXH10" s="2234"/>
      <c r="NXI10" s="2234"/>
      <c r="NXJ10" s="2234"/>
      <c r="NXK10" s="2234"/>
      <c r="NXL10" s="2234"/>
      <c r="NXM10" s="2234"/>
      <c r="NXN10" s="2234"/>
      <c r="NXO10" s="2234"/>
      <c r="NXP10" s="2234"/>
      <c r="NXQ10" s="2234"/>
      <c r="NXR10" s="2234"/>
      <c r="NXS10" s="2234"/>
      <c r="NXT10" s="2234"/>
      <c r="NXU10" s="2234"/>
      <c r="NXV10" s="2234"/>
      <c r="NXW10" s="2234"/>
      <c r="NXX10" s="2234"/>
      <c r="NXY10" s="2234"/>
      <c r="NXZ10" s="2234"/>
      <c r="NYA10" s="2234"/>
      <c r="NYB10" s="2234"/>
      <c r="NYC10" s="2234"/>
      <c r="NYD10" s="2234"/>
      <c r="NYE10" s="2234"/>
      <c r="NYF10" s="2234"/>
      <c r="NYG10" s="2234"/>
      <c r="NYH10" s="2234"/>
      <c r="NYI10" s="2234"/>
      <c r="NYJ10" s="2234"/>
      <c r="NYK10" s="2234"/>
      <c r="NYL10" s="2234"/>
      <c r="NYM10" s="2234"/>
      <c r="NYN10" s="2234"/>
      <c r="NYO10" s="2234"/>
      <c r="NYP10" s="2234"/>
      <c r="NYQ10" s="2234"/>
      <c r="NYR10" s="2234"/>
      <c r="NYS10" s="2234"/>
      <c r="NYT10" s="2234"/>
      <c r="NYU10" s="2234"/>
      <c r="NYV10" s="2234"/>
      <c r="NYW10" s="2234"/>
      <c r="NYX10" s="2234"/>
      <c r="NYY10" s="2234"/>
      <c r="NYZ10" s="2234"/>
      <c r="NZA10" s="2234"/>
      <c r="NZB10" s="2234"/>
      <c r="NZC10" s="2234"/>
      <c r="NZD10" s="2234"/>
      <c r="NZE10" s="2234"/>
      <c r="NZF10" s="2234"/>
      <c r="NZG10" s="2234"/>
      <c r="NZH10" s="2234"/>
      <c r="NZI10" s="2234"/>
      <c r="NZJ10" s="2234"/>
      <c r="NZK10" s="2234"/>
      <c r="NZL10" s="2234"/>
      <c r="NZM10" s="2234"/>
      <c r="NZN10" s="2234"/>
      <c r="NZO10" s="2234"/>
      <c r="NZP10" s="2234"/>
      <c r="NZQ10" s="2234"/>
      <c r="NZR10" s="2234"/>
      <c r="NZS10" s="2234"/>
      <c r="NZT10" s="2234"/>
      <c r="NZU10" s="2234"/>
      <c r="NZV10" s="2234"/>
      <c r="NZW10" s="2234"/>
      <c r="NZX10" s="2234"/>
      <c r="NZY10" s="2234"/>
      <c r="NZZ10" s="2234"/>
      <c r="OAA10" s="2234"/>
      <c r="OAB10" s="2234"/>
      <c r="OAC10" s="2234"/>
      <c r="OAD10" s="2234"/>
      <c r="OAE10" s="2234"/>
      <c r="OAF10" s="2234"/>
      <c r="OAG10" s="2234"/>
      <c r="OAH10" s="2234"/>
      <c r="OAI10" s="2234"/>
      <c r="OAJ10" s="2234"/>
      <c r="OAK10" s="2234"/>
      <c r="OAL10" s="2234"/>
      <c r="OAM10" s="2234"/>
      <c r="OAN10" s="2234"/>
      <c r="OAO10" s="2234"/>
      <c r="OAP10" s="2234"/>
      <c r="OAQ10" s="2234"/>
      <c r="OAR10" s="2234"/>
      <c r="OAS10" s="2234"/>
      <c r="OAT10" s="2234"/>
      <c r="OAU10" s="2234"/>
      <c r="OAV10" s="2234"/>
      <c r="OAW10" s="2234"/>
      <c r="OAX10" s="2234"/>
      <c r="OAY10" s="2234"/>
      <c r="OAZ10" s="2234"/>
      <c r="OBA10" s="2234"/>
      <c r="OBB10" s="2234"/>
      <c r="OBC10" s="2234"/>
      <c r="OBD10" s="2234"/>
      <c r="OBE10" s="2234"/>
      <c r="OBF10" s="2234"/>
      <c r="OBG10" s="2234"/>
      <c r="OBH10" s="2234"/>
      <c r="OBI10" s="2234"/>
      <c r="OBJ10" s="2234"/>
      <c r="OBK10" s="2234"/>
      <c r="OBL10" s="2234"/>
      <c r="OBM10" s="2234"/>
      <c r="OBN10" s="2234"/>
      <c r="OBO10" s="2234"/>
      <c r="OBP10" s="2234"/>
      <c r="OBQ10" s="2234"/>
      <c r="OBR10" s="2234"/>
      <c r="OBS10" s="2234"/>
      <c r="OBT10" s="2234"/>
      <c r="OBU10" s="2234"/>
      <c r="OBV10" s="2234"/>
      <c r="OBW10" s="2234"/>
      <c r="OBX10" s="2234"/>
      <c r="OBY10" s="2234"/>
      <c r="OBZ10" s="2234"/>
      <c r="OCA10" s="2234"/>
      <c r="OCB10" s="2234"/>
      <c r="OCC10" s="2234"/>
      <c r="OCD10" s="2234"/>
      <c r="OCE10" s="2234"/>
      <c r="OCF10" s="2234"/>
      <c r="OCG10" s="2234"/>
      <c r="OCH10" s="2234"/>
      <c r="OCI10" s="2234"/>
      <c r="OCJ10" s="2234"/>
      <c r="OCK10" s="2234"/>
      <c r="OCL10" s="2234"/>
      <c r="OCM10" s="2234"/>
      <c r="OCN10" s="2234"/>
      <c r="OCO10" s="2234"/>
      <c r="OCP10" s="2234"/>
      <c r="OCQ10" s="2234"/>
      <c r="OCR10" s="2234"/>
      <c r="OCS10" s="2234"/>
      <c r="OCT10" s="2234"/>
      <c r="OCU10" s="2234"/>
      <c r="OCV10" s="2234"/>
      <c r="OCW10" s="2234"/>
      <c r="OCX10" s="2234"/>
      <c r="OCY10" s="2234"/>
      <c r="OCZ10" s="2234"/>
      <c r="ODA10" s="2234"/>
      <c r="ODB10" s="2234"/>
      <c r="ODC10" s="2234"/>
      <c r="ODD10" s="2234"/>
      <c r="ODE10" s="2234"/>
      <c r="ODF10" s="2234"/>
      <c r="ODG10" s="2234"/>
      <c r="ODH10" s="2234"/>
      <c r="ODI10" s="2234"/>
      <c r="ODJ10" s="2234"/>
      <c r="ODK10" s="2234"/>
      <c r="ODL10" s="2234"/>
      <c r="ODM10" s="2234"/>
      <c r="ODN10" s="2234"/>
      <c r="ODO10" s="2234"/>
      <c r="ODP10" s="2234"/>
      <c r="ODQ10" s="2234"/>
      <c r="ODR10" s="2234"/>
      <c r="ODS10" s="2234"/>
      <c r="ODT10" s="2234"/>
      <c r="ODU10" s="2234"/>
      <c r="ODV10" s="2234"/>
      <c r="ODW10" s="2234"/>
      <c r="ODX10" s="2234"/>
      <c r="ODY10" s="2234"/>
      <c r="ODZ10" s="2234"/>
      <c r="OEA10" s="2234"/>
      <c r="OEB10" s="2234"/>
      <c r="OEC10" s="2234"/>
      <c r="OED10" s="2234"/>
      <c r="OEE10" s="2234"/>
      <c r="OEF10" s="2234"/>
      <c r="OEG10" s="2234"/>
      <c r="OEH10" s="2234"/>
      <c r="OEI10" s="2234"/>
      <c r="OEJ10" s="2234"/>
      <c r="OEK10" s="2234"/>
      <c r="OEL10" s="2234"/>
      <c r="OEM10" s="2234"/>
      <c r="OEN10" s="2234"/>
      <c r="OEO10" s="2234"/>
      <c r="OEP10" s="2234"/>
      <c r="OEQ10" s="2234"/>
      <c r="OER10" s="2234"/>
      <c r="OES10" s="2234"/>
      <c r="OET10" s="2234"/>
      <c r="OEU10" s="2234"/>
      <c r="OEV10" s="2234"/>
      <c r="OEW10" s="2234"/>
      <c r="OEX10" s="2234"/>
      <c r="OEY10" s="2234"/>
      <c r="OEZ10" s="2234"/>
      <c r="OFA10" s="2234"/>
      <c r="OFB10" s="2234"/>
      <c r="OFC10" s="2234"/>
      <c r="OFD10" s="2234"/>
      <c r="OFE10" s="2234"/>
      <c r="OFF10" s="2234"/>
      <c r="OFG10" s="2234"/>
      <c r="OFH10" s="2234"/>
      <c r="OFI10" s="2234"/>
      <c r="OFJ10" s="2234"/>
      <c r="OFK10" s="2234"/>
      <c r="OFL10" s="2234"/>
      <c r="OFM10" s="2234"/>
      <c r="OFN10" s="2234"/>
      <c r="OFO10" s="2234"/>
      <c r="OFP10" s="2234"/>
      <c r="OFQ10" s="2234"/>
      <c r="OFR10" s="2234"/>
      <c r="OFS10" s="2234"/>
      <c r="OFT10" s="2234"/>
      <c r="OFU10" s="2234"/>
      <c r="OFV10" s="2234"/>
      <c r="OFW10" s="2234"/>
      <c r="OFX10" s="2234"/>
      <c r="OFY10" s="2234"/>
      <c r="OFZ10" s="2234"/>
      <c r="OGA10" s="2234"/>
      <c r="OGB10" s="2234"/>
      <c r="OGC10" s="2234"/>
      <c r="OGD10" s="2234"/>
      <c r="OGE10" s="2234"/>
      <c r="OGF10" s="2234"/>
      <c r="OGG10" s="2234"/>
      <c r="OGH10" s="2234"/>
      <c r="OGI10" s="2234"/>
      <c r="OGJ10" s="2234"/>
      <c r="OGK10" s="2234"/>
      <c r="OGL10" s="2234"/>
      <c r="OGM10" s="2234"/>
      <c r="OGN10" s="2234"/>
      <c r="OGO10" s="2234"/>
      <c r="OGP10" s="2234"/>
      <c r="OGQ10" s="2234"/>
      <c r="OGR10" s="2234"/>
      <c r="OGS10" s="2234"/>
      <c r="OGT10" s="2234"/>
      <c r="OGU10" s="2234"/>
      <c r="OGV10" s="2234"/>
      <c r="OGW10" s="2234"/>
      <c r="OGX10" s="2234"/>
      <c r="OGY10" s="2234"/>
      <c r="OGZ10" s="2234"/>
      <c r="OHA10" s="2234"/>
      <c r="OHB10" s="2234"/>
      <c r="OHC10" s="2234"/>
      <c r="OHD10" s="2234"/>
      <c r="OHE10" s="2234"/>
      <c r="OHF10" s="2234"/>
      <c r="OHG10" s="2234"/>
      <c r="OHH10" s="2234"/>
      <c r="OHI10" s="2234"/>
      <c r="OHJ10" s="2234"/>
      <c r="OHK10" s="2234"/>
      <c r="OHL10" s="2234"/>
      <c r="OHM10" s="2234"/>
      <c r="OHN10" s="2234"/>
      <c r="OHO10" s="2234"/>
      <c r="OHP10" s="2234"/>
      <c r="OHQ10" s="2234"/>
      <c r="OHR10" s="2234"/>
      <c r="OHS10" s="2234"/>
      <c r="OHT10" s="2234"/>
      <c r="OHU10" s="2234"/>
      <c r="OHV10" s="2234"/>
      <c r="OHW10" s="2234"/>
      <c r="OHX10" s="2234"/>
      <c r="OHY10" s="2234"/>
      <c r="OHZ10" s="2234"/>
      <c r="OIA10" s="2234"/>
      <c r="OIB10" s="2234"/>
      <c r="OIC10" s="2234"/>
      <c r="OID10" s="2234"/>
      <c r="OIE10" s="2234"/>
      <c r="OIF10" s="2234"/>
      <c r="OIG10" s="2234"/>
      <c r="OIH10" s="2234"/>
      <c r="OII10" s="2234"/>
      <c r="OIJ10" s="2234"/>
      <c r="OIK10" s="2234"/>
      <c r="OIL10" s="2234"/>
      <c r="OIM10" s="2234"/>
      <c r="OIN10" s="2234"/>
      <c r="OIO10" s="2234"/>
      <c r="OIP10" s="2234"/>
      <c r="OIQ10" s="2234"/>
      <c r="OIR10" s="2234"/>
      <c r="OIS10" s="2234"/>
      <c r="OIT10" s="2234"/>
      <c r="OIU10" s="2234"/>
      <c r="OIV10" s="2234"/>
      <c r="OIW10" s="2234"/>
      <c r="OIX10" s="2234"/>
      <c r="OIY10" s="2234"/>
      <c r="OIZ10" s="2234"/>
      <c r="OJA10" s="2234"/>
      <c r="OJB10" s="2234"/>
      <c r="OJC10" s="2234"/>
      <c r="OJD10" s="2234"/>
      <c r="OJE10" s="2234"/>
      <c r="OJF10" s="2234"/>
      <c r="OJG10" s="2234"/>
      <c r="OJH10" s="2234"/>
      <c r="OJI10" s="2234"/>
      <c r="OJJ10" s="2234"/>
      <c r="OJK10" s="2234"/>
      <c r="OJL10" s="2234"/>
      <c r="OJM10" s="2234"/>
      <c r="OJN10" s="2234"/>
      <c r="OJO10" s="2234"/>
      <c r="OJP10" s="2234"/>
      <c r="OJQ10" s="2234"/>
      <c r="OJR10" s="2234"/>
      <c r="OJS10" s="2234"/>
      <c r="OJT10" s="2234"/>
      <c r="OJU10" s="2234"/>
      <c r="OJV10" s="2234"/>
      <c r="OJW10" s="2234"/>
      <c r="OJX10" s="2234"/>
      <c r="OJY10" s="2234"/>
      <c r="OJZ10" s="2234"/>
      <c r="OKA10" s="2234"/>
      <c r="OKB10" s="2234"/>
      <c r="OKC10" s="2234"/>
      <c r="OKD10" s="2234"/>
      <c r="OKE10" s="2234"/>
      <c r="OKF10" s="2234"/>
      <c r="OKG10" s="2234"/>
      <c r="OKH10" s="2234"/>
      <c r="OKI10" s="2234"/>
      <c r="OKJ10" s="2234"/>
      <c r="OKK10" s="2234"/>
      <c r="OKL10" s="2234"/>
      <c r="OKM10" s="2234"/>
      <c r="OKN10" s="2234"/>
      <c r="OKO10" s="2234"/>
      <c r="OKP10" s="2234"/>
      <c r="OKQ10" s="2234"/>
      <c r="OKR10" s="2234"/>
      <c r="OKS10" s="2234"/>
      <c r="OKT10" s="2234"/>
      <c r="OKU10" s="2234"/>
      <c r="OKV10" s="2234"/>
      <c r="OKW10" s="2234"/>
      <c r="OKX10" s="2234"/>
      <c r="OKY10" s="2234"/>
      <c r="OKZ10" s="2234"/>
      <c r="OLA10" s="2234"/>
      <c r="OLB10" s="2234"/>
      <c r="OLC10" s="2234"/>
      <c r="OLD10" s="2234"/>
      <c r="OLE10" s="2234"/>
      <c r="OLF10" s="2234"/>
      <c r="OLG10" s="2234"/>
      <c r="OLH10" s="2234"/>
      <c r="OLI10" s="2234"/>
      <c r="OLJ10" s="2234"/>
      <c r="OLK10" s="2234"/>
      <c r="OLL10" s="2234"/>
      <c r="OLM10" s="2234"/>
      <c r="OLN10" s="2234"/>
      <c r="OLO10" s="2234"/>
      <c r="OLP10" s="2234"/>
      <c r="OLQ10" s="2234"/>
      <c r="OLR10" s="2234"/>
      <c r="OLS10" s="2234"/>
      <c r="OLT10" s="2234"/>
      <c r="OLU10" s="2234"/>
      <c r="OLV10" s="2234"/>
      <c r="OLW10" s="2234"/>
      <c r="OLX10" s="2234"/>
      <c r="OLY10" s="2234"/>
      <c r="OLZ10" s="2234"/>
      <c r="OMA10" s="2234"/>
      <c r="OMB10" s="2234"/>
      <c r="OMC10" s="2234"/>
      <c r="OMD10" s="2234"/>
      <c r="OME10" s="2234"/>
      <c r="OMF10" s="2234"/>
      <c r="OMG10" s="2234"/>
      <c r="OMH10" s="2234"/>
      <c r="OMI10" s="2234"/>
      <c r="OMJ10" s="2234"/>
      <c r="OMK10" s="2234"/>
      <c r="OML10" s="2234"/>
      <c r="OMM10" s="2234"/>
      <c r="OMN10" s="2234"/>
      <c r="OMO10" s="2234"/>
      <c r="OMP10" s="2234"/>
      <c r="OMQ10" s="2234"/>
      <c r="OMR10" s="2234"/>
      <c r="OMS10" s="2234"/>
      <c r="OMT10" s="2234"/>
      <c r="OMU10" s="2234"/>
      <c r="OMV10" s="2234"/>
      <c r="OMW10" s="2234"/>
      <c r="OMX10" s="2234"/>
      <c r="OMY10" s="2234"/>
      <c r="OMZ10" s="2234"/>
      <c r="ONA10" s="2234"/>
      <c r="ONB10" s="2234"/>
      <c r="ONC10" s="2234"/>
      <c r="OND10" s="2234"/>
      <c r="ONE10" s="2234"/>
      <c r="ONF10" s="2234"/>
      <c r="ONG10" s="2234"/>
      <c r="ONH10" s="2234"/>
      <c r="ONI10" s="2234"/>
      <c r="ONJ10" s="2234"/>
      <c r="ONK10" s="2234"/>
      <c r="ONL10" s="2234"/>
      <c r="ONM10" s="2234"/>
      <c r="ONN10" s="2234"/>
      <c r="ONO10" s="2234"/>
      <c r="ONP10" s="2234"/>
      <c r="ONQ10" s="2234"/>
      <c r="ONR10" s="2234"/>
      <c r="ONS10" s="2234"/>
      <c r="ONT10" s="2234"/>
      <c r="ONU10" s="2234"/>
      <c r="ONV10" s="2234"/>
      <c r="ONW10" s="2234"/>
      <c r="ONX10" s="2234"/>
      <c r="ONY10" s="2234"/>
      <c r="ONZ10" s="2234"/>
      <c r="OOA10" s="2234"/>
      <c r="OOB10" s="2234"/>
      <c r="OOC10" s="2234"/>
      <c r="OOD10" s="2234"/>
      <c r="OOE10" s="2234"/>
      <c r="OOF10" s="2234"/>
      <c r="OOG10" s="2234"/>
      <c r="OOH10" s="2234"/>
      <c r="OOI10" s="2234"/>
      <c r="OOJ10" s="2234"/>
      <c r="OOK10" s="2234"/>
      <c r="OOL10" s="2234"/>
      <c r="OOM10" s="2234"/>
      <c r="OON10" s="2234"/>
      <c r="OOO10" s="2234"/>
      <c r="OOP10" s="2234"/>
      <c r="OOQ10" s="2234"/>
      <c r="OOR10" s="2234"/>
      <c r="OOS10" s="2234"/>
      <c r="OOT10" s="2234"/>
      <c r="OOU10" s="2234"/>
      <c r="OOV10" s="2234"/>
      <c r="OOW10" s="2234"/>
      <c r="OOX10" s="2234"/>
      <c r="OOY10" s="2234"/>
      <c r="OOZ10" s="2234"/>
      <c r="OPA10" s="2234"/>
      <c r="OPB10" s="2234"/>
      <c r="OPC10" s="2234"/>
      <c r="OPD10" s="2234"/>
      <c r="OPE10" s="2234"/>
      <c r="OPF10" s="2234"/>
      <c r="OPG10" s="2234"/>
      <c r="OPH10" s="2234"/>
      <c r="OPI10" s="2234"/>
      <c r="OPJ10" s="2234"/>
      <c r="OPK10" s="2234"/>
      <c r="OPL10" s="2234"/>
      <c r="OPM10" s="2234"/>
      <c r="OPN10" s="2234"/>
      <c r="OPO10" s="2234"/>
      <c r="OPP10" s="2234"/>
      <c r="OPQ10" s="2234"/>
      <c r="OPR10" s="2234"/>
      <c r="OPS10" s="2234"/>
      <c r="OPT10" s="2234"/>
      <c r="OPU10" s="2234"/>
      <c r="OPV10" s="2234"/>
      <c r="OPW10" s="2234"/>
      <c r="OPX10" s="2234"/>
      <c r="OPY10" s="2234"/>
      <c r="OPZ10" s="2234"/>
      <c r="OQA10" s="2234"/>
      <c r="OQB10" s="2234"/>
      <c r="OQC10" s="2234"/>
      <c r="OQD10" s="2234"/>
      <c r="OQE10" s="2234"/>
      <c r="OQF10" s="2234"/>
      <c r="OQG10" s="2234"/>
      <c r="OQH10" s="2234"/>
      <c r="OQI10" s="2234"/>
      <c r="OQJ10" s="2234"/>
      <c r="OQK10" s="2234"/>
      <c r="OQL10" s="2234"/>
      <c r="OQM10" s="2234"/>
      <c r="OQN10" s="2234"/>
      <c r="OQO10" s="2234"/>
      <c r="OQP10" s="2234"/>
      <c r="OQQ10" s="2234"/>
      <c r="OQR10" s="2234"/>
      <c r="OQS10" s="2234"/>
      <c r="OQT10" s="2234"/>
      <c r="OQU10" s="2234"/>
      <c r="OQV10" s="2234"/>
      <c r="OQW10" s="2234"/>
      <c r="OQX10" s="2234"/>
      <c r="OQY10" s="2234"/>
      <c r="OQZ10" s="2234"/>
      <c r="ORA10" s="2234"/>
      <c r="ORB10" s="2234"/>
      <c r="ORC10" s="2234"/>
      <c r="ORD10" s="2234"/>
      <c r="ORE10" s="2234"/>
      <c r="ORF10" s="2234"/>
      <c r="ORG10" s="2234"/>
      <c r="ORH10" s="2234"/>
      <c r="ORI10" s="2234"/>
      <c r="ORJ10" s="2234"/>
      <c r="ORK10" s="2234"/>
      <c r="ORL10" s="2234"/>
      <c r="ORM10" s="2234"/>
      <c r="ORN10" s="2234"/>
      <c r="ORO10" s="2234"/>
      <c r="ORP10" s="2234"/>
      <c r="ORQ10" s="2234"/>
      <c r="ORR10" s="2234"/>
      <c r="ORS10" s="2234"/>
      <c r="ORT10" s="2234"/>
      <c r="ORU10" s="2234"/>
      <c r="ORV10" s="2234"/>
      <c r="ORW10" s="2234"/>
      <c r="ORX10" s="2234"/>
      <c r="ORY10" s="2234"/>
      <c r="ORZ10" s="2234"/>
      <c r="OSA10" s="2234"/>
      <c r="OSB10" s="2234"/>
      <c r="OSC10" s="2234"/>
      <c r="OSD10" s="2234"/>
      <c r="OSE10" s="2234"/>
      <c r="OSF10" s="2234"/>
      <c r="OSG10" s="2234"/>
      <c r="OSH10" s="2234"/>
      <c r="OSI10" s="2234"/>
      <c r="OSJ10" s="2234"/>
      <c r="OSK10" s="2234"/>
      <c r="OSL10" s="2234"/>
      <c r="OSM10" s="2234"/>
      <c r="OSN10" s="2234"/>
      <c r="OSO10" s="2234"/>
      <c r="OSP10" s="2234"/>
      <c r="OSQ10" s="2234"/>
      <c r="OSR10" s="2234"/>
      <c r="OSS10" s="2234"/>
      <c r="OST10" s="2234"/>
      <c r="OSU10" s="2234"/>
      <c r="OSV10" s="2234"/>
      <c r="OSW10" s="2234"/>
      <c r="OSX10" s="2234"/>
      <c r="OSY10" s="2234"/>
      <c r="OSZ10" s="2234"/>
      <c r="OTA10" s="2234"/>
      <c r="OTB10" s="2234"/>
      <c r="OTC10" s="2234"/>
      <c r="OTD10" s="2234"/>
      <c r="OTE10" s="2234"/>
      <c r="OTF10" s="2234"/>
      <c r="OTG10" s="2234"/>
      <c r="OTH10" s="2234"/>
      <c r="OTI10" s="2234"/>
      <c r="OTJ10" s="2234"/>
      <c r="OTK10" s="2234"/>
      <c r="OTL10" s="2234"/>
      <c r="OTM10" s="2234"/>
      <c r="OTN10" s="2234"/>
      <c r="OTO10" s="2234"/>
      <c r="OTP10" s="2234"/>
      <c r="OTQ10" s="2234"/>
      <c r="OTR10" s="2234"/>
      <c r="OTS10" s="2234"/>
      <c r="OTT10" s="2234"/>
      <c r="OTU10" s="2234"/>
      <c r="OTV10" s="2234"/>
      <c r="OTW10" s="2234"/>
      <c r="OTX10" s="2234"/>
      <c r="OTY10" s="2234"/>
      <c r="OTZ10" s="2234"/>
      <c r="OUA10" s="2234"/>
      <c r="OUB10" s="2234"/>
      <c r="OUC10" s="2234"/>
      <c r="OUD10" s="2234"/>
      <c r="OUE10" s="2234"/>
      <c r="OUF10" s="2234"/>
      <c r="OUG10" s="2234"/>
      <c r="OUH10" s="2234"/>
      <c r="OUI10" s="2234"/>
      <c r="OUJ10" s="2234"/>
      <c r="OUK10" s="2234"/>
      <c r="OUL10" s="2234"/>
      <c r="OUM10" s="2234"/>
      <c r="OUN10" s="2234"/>
      <c r="OUO10" s="2234"/>
      <c r="OUP10" s="2234"/>
      <c r="OUQ10" s="2234"/>
      <c r="OUR10" s="2234"/>
      <c r="OUS10" s="2234"/>
      <c r="OUT10" s="2234"/>
      <c r="OUU10" s="2234"/>
      <c r="OUV10" s="2234"/>
      <c r="OUW10" s="2234"/>
      <c r="OUX10" s="2234"/>
      <c r="OUY10" s="2234"/>
      <c r="OUZ10" s="2234"/>
      <c r="OVA10" s="2234"/>
      <c r="OVB10" s="2234"/>
      <c r="OVC10" s="2234"/>
      <c r="OVD10" s="2234"/>
      <c r="OVE10" s="2234"/>
      <c r="OVF10" s="2234"/>
      <c r="OVG10" s="2234"/>
      <c r="OVH10" s="2234"/>
      <c r="OVI10" s="2234"/>
      <c r="OVJ10" s="2234"/>
      <c r="OVK10" s="2234"/>
      <c r="OVL10" s="2234"/>
      <c r="OVM10" s="2234"/>
      <c r="OVN10" s="2234"/>
      <c r="OVO10" s="2234"/>
      <c r="OVP10" s="2234"/>
      <c r="OVQ10" s="2234"/>
      <c r="OVR10" s="2234"/>
      <c r="OVS10" s="2234"/>
      <c r="OVT10" s="2234"/>
      <c r="OVU10" s="2234"/>
      <c r="OVV10" s="2234"/>
      <c r="OVW10" s="2234"/>
      <c r="OVX10" s="2234"/>
      <c r="OVY10" s="2234"/>
      <c r="OVZ10" s="2234"/>
      <c r="OWA10" s="2234"/>
      <c r="OWB10" s="2234"/>
      <c r="OWC10" s="2234"/>
      <c r="OWD10" s="2234"/>
      <c r="OWE10" s="2234"/>
      <c r="OWF10" s="2234"/>
      <c r="OWG10" s="2234"/>
      <c r="OWH10" s="2234"/>
      <c r="OWI10" s="2234"/>
      <c r="OWJ10" s="2234"/>
      <c r="OWK10" s="2234"/>
      <c r="OWL10" s="2234"/>
      <c r="OWM10" s="2234"/>
      <c r="OWN10" s="2234"/>
      <c r="OWO10" s="2234"/>
      <c r="OWP10" s="2234"/>
      <c r="OWQ10" s="2234"/>
      <c r="OWR10" s="2234"/>
      <c r="OWS10" s="2234"/>
      <c r="OWT10" s="2234"/>
      <c r="OWU10" s="2234"/>
      <c r="OWV10" s="2234"/>
      <c r="OWW10" s="2234"/>
      <c r="OWX10" s="2234"/>
      <c r="OWY10" s="2234"/>
      <c r="OWZ10" s="2234"/>
      <c r="OXA10" s="2234"/>
      <c r="OXB10" s="2234"/>
      <c r="OXC10" s="2234"/>
      <c r="OXD10" s="2234"/>
      <c r="OXE10" s="2234"/>
      <c r="OXF10" s="2234"/>
      <c r="OXG10" s="2234"/>
      <c r="OXH10" s="2234"/>
      <c r="OXI10" s="2234"/>
      <c r="OXJ10" s="2234"/>
      <c r="OXK10" s="2234"/>
      <c r="OXL10" s="2234"/>
      <c r="OXM10" s="2234"/>
      <c r="OXN10" s="2234"/>
      <c r="OXO10" s="2234"/>
      <c r="OXP10" s="2234"/>
      <c r="OXQ10" s="2234"/>
      <c r="OXR10" s="2234"/>
      <c r="OXS10" s="2234"/>
      <c r="OXT10" s="2234"/>
      <c r="OXU10" s="2234"/>
      <c r="OXV10" s="2234"/>
      <c r="OXW10" s="2234"/>
      <c r="OXX10" s="2234"/>
      <c r="OXY10" s="2234"/>
      <c r="OXZ10" s="2234"/>
      <c r="OYA10" s="2234"/>
      <c r="OYB10" s="2234"/>
      <c r="OYC10" s="2234"/>
      <c r="OYD10" s="2234"/>
      <c r="OYE10" s="2234"/>
      <c r="OYF10" s="2234"/>
      <c r="OYG10" s="2234"/>
      <c r="OYH10" s="2234"/>
      <c r="OYI10" s="2234"/>
      <c r="OYJ10" s="2234"/>
      <c r="OYK10" s="2234"/>
      <c r="OYL10" s="2234"/>
      <c r="OYM10" s="2234"/>
      <c r="OYN10" s="2234"/>
      <c r="OYO10" s="2234"/>
      <c r="OYP10" s="2234"/>
      <c r="OYQ10" s="2234"/>
      <c r="OYR10" s="2234"/>
      <c r="OYS10" s="2234"/>
      <c r="OYT10" s="2234"/>
      <c r="OYU10" s="2234"/>
      <c r="OYV10" s="2234"/>
      <c r="OYW10" s="2234"/>
      <c r="OYX10" s="2234"/>
      <c r="OYY10" s="2234"/>
      <c r="OYZ10" s="2234"/>
      <c r="OZA10" s="2234"/>
      <c r="OZB10" s="2234"/>
      <c r="OZC10" s="2234"/>
      <c r="OZD10" s="2234"/>
      <c r="OZE10" s="2234"/>
      <c r="OZF10" s="2234"/>
      <c r="OZG10" s="2234"/>
      <c r="OZH10" s="2234"/>
      <c r="OZI10" s="2234"/>
      <c r="OZJ10" s="2234"/>
      <c r="OZK10" s="2234"/>
      <c r="OZL10" s="2234"/>
      <c r="OZM10" s="2234"/>
      <c r="OZN10" s="2234"/>
      <c r="OZO10" s="2234"/>
      <c r="OZP10" s="2234"/>
      <c r="OZQ10" s="2234"/>
      <c r="OZR10" s="2234"/>
      <c r="OZS10" s="2234"/>
      <c r="OZT10" s="2234"/>
      <c r="OZU10" s="2234"/>
      <c r="OZV10" s="2234"/>
      <c r="OZW10" s="2234"/>
      <c r="OZX10" s="2234"/>
      <c r="OZY10" s="2234"/>
      <c r="OZZ10" s="2234"/>
      <c r="PAA10" s="2234"/>
      <c r="PAB10" s="2234"/>
      <c r="PAC10" s="2234"/>
      <c r="PAD10" s="2234"/>
      <c r="PAE10" s="2234"/>
      <c r="PAF10" s="2234"/>
      <c r="PAG10" s="2234"/>
      <c r="PAH10" s="2234"/>
      <c r="PAI10" s="2234"/>
      <c r="PAJ10" s="2234"/>
      <c r="PAK10" s="2234"/>
      <c r="PAL10" s="2234"/>
      <c r="PAM10" s="2234"/>
      <c r="PAN10" s="2234"/>
      <c r="PAO10" s="2234"/>
      <c r="PAP10" s="2234"/>
      <c r="PAQ10" s="2234"/>
      <c r="PAR10" s="2234"/>
      <c r="PAS10" s="2234"/>
      <c r="PAT10" s="2234"/>
      <c r="PAU10" s="2234"/>
      <c r="PAV10" s="2234"/>
      <c r="PAW10" s="2234"/>
      <c r="PAX10" s="2234"/>
      <c r="PAY10" s="2234"/>
      <c r="PAZ10" s="2234"/>
      <c r="PBA10" s="2234"/>
      <c r="PBB10" s="2234"/>
      <c r="PBC10" s="2234"/>
      <c r="PBD10" s="2234"/>
      <c r="PBE10" s="2234"/>
      <c r="PBF10" s="2234"/>
      <c r="PBG10" s="2234"/>
      <c r="PBH10" s="2234"/>
      <c r="PBI10" s="2234"/>
      <c r="PBJ10" s="2234"/>
      <c r="PBK10" s="2234"/>
      <c r="PBL10" s="2234"/>
      <c r="PBM10" s="2234"/>
      <c r="PBN10" s="2234"/>
      <c r="PBO10" s="2234"/>
      <c r="PBP10" s="2234"/>
      <c r="PBQ10" s="2234"/>
      <c r="PBR10" s="2234"/>
      <c r="PBS10" s="2234"/>
      <c r="PBT10" s="2234"/>
      <c r="PBU10" s="2234"/>
      <c r="PBV10" s="2234"/>
      <c r="PBW10" s="2234"/>
      <c r="PBX10" s="2234"/>
      <c r="PBY10" s="2234"/>
      <c r="PBZ10" s="2234"/>
      <c r="PCA10" s="2234"/>
      <c r="PCB10" s="2234"/>
      <c r="PCC10" s="2234"/>
      <c r="PCD10" s="2234"/>
      <c r="PCE10" s="2234"/>
      <c r="PCF10" s="2234"/>
      <c r="PCG10" s="2234"/>
      <c r="PCH10" s="2234"/>
      <c r="PCI10" s="2234"/>
      <c r="PCJ10" s="2234"/>
      <c r="PCK10" s="2234"/>
      <c r="PCL10" s="2234"/>
      <c r="PCM10" s="2234"/>
      <c r="PCN10" s="2234"/>
      <c r="PCO10" s="2234"/>
      <c r="PCP10" s="2234"/>
      <c r="PCQ10" s="2234"/>
      <c r="PCR10" s="2234"/>
      <c r="PCS10" s="2234"/>
      <c r="PCT10" s="2234"/>
      <c r="PCU10" s="2234"/>
      <c r="PCV10" s="2234"/>
      <c r="PCW10" s="2234"/>
      <c r="PCX10" s="2234"/>
      <c r="PCY10" s="2234"/>
      <c r="PCZ10" s="2234"/>
      <c r="PDA10" s="2234"/>
      <c r="PDB10" s="2234"/>
      <c r="PDC10" s="2234"/>
      <c r="PDD10" s="2234"/>
      <c r="PDE10" s="2234"/>
      <c r="PDF10" s="2234"/>
      <c r="PDG10" s="2234"/>
      <c r="PDH10" s="2234"/>
      <c r="PDI10" s="2234"/>
      <c r="PDJ10" s="2234"/>
      <c r="PDK10" s="2234"/>
      <c r="PDL10" s="2234"/>
      <c r="PDM10" s="2234"/>
      <c r="PDN10" s="2234"/>
      <c r="PDO10" s="2234"/>
      <c r="PDP10" s="2234"/>
      <c r="PDQ10" s="2234"/>
      <c r="PDR10" s="2234"/>
      <c r="PDS10" s="2234"/>
      <c r="PDT10" s="2234"/>
      <c r="PDU10" s="2234"/>
      <c r="PDV10" s="2234"/>
      <c r="PDW10" s="2234"/>
      <c r="PDX10" s="2234"/>
      <c r="PDY10" s="2234"/>
      <c r="PDZ10" s="2234"/>
      <c r="PEA10" s="2234"/>
      <c r="PEB10" s="2234"/>
      <c r="PEC10" s="2234"/>
      <c r="PED10" s="2234"/>
      <c r="PEE10" s="2234"/>
      <c r="PEF10" s="2234"/>
      <c r="PEG10" s="2234"/>
      <c r="PEH10" s="2234"/>
      <c r="PEI10" s="2234"/>
      <c r="PEJ10" s="2234"/>
      <c r="PEK10" s="2234"/>
      <c r="PEL10" s="2234"/>
      <c r="PEM10" s="2234"/>
      <c r="PEN10" s="2234"/>
      <c r="PEO10" s="2234"/>
      <c r="PEP10" s="2234"/>
      <c r="PEQ10" s="2234"/>
      <c r="PER10" s="2234"/>
      <c r="PES10" s="2234"/>
      <c r="PET10" s="2234"/>
      <c r="PEU10" s="2234"/>
      <c r="PEV10" s="2234"/>
      <c r="PEW10" s="2234"/>
      <c r="PEX10" s="2234"/>
      <c r="PEY10" s="2234"/>
      <c r="PEZ10" s="2234"/>
      <c r="PFA10" s="2234"/>
      <c r="PFB10" s="2234"/>
      <c r="PFC10" s="2234"/>
      <c r="PFD10" s="2234"/>
      <c r="PFE10" s="2234"/>
      <c r="PFF10" s="2234"/>
      <c r="PFG10" s="2234"/>
      <c r="PFH10" s="2234"/>
      <c r="PFI10" s="2234"/>
      <c r="PFJ10" s="2234"/>
      <c r="PFK10" s="2234"/>
      <c r="PFL10" s="2234"/>
      <c r="PFM10" s="2234"/>
      <c r="PFN10" s="2234"/>
      <c r="PFO10" s="2234"/>
      <c r="PFP10" s="2234"/>
      <c r="PFQ10" s="2234"/>
      <c r="PFR10" s="2234"/>
      <c r="PFS10" s="2234"/>
      <c r="PFT10" s="2234"/>
      <c r="PFU10" s="2234"/>
      <c r="PFV10" s="2234"/>
      <c r="PFW10" s="2234"/>
      <c r="PFX10" s="2234"/>
      <c r="PFY10" s="2234"/>
      <c r="PFZ10" s="2234"/>
      <c r="PGA10" s="2234"/>
      <c r="PGB10" s="2234"/>
      <c r="PGC10" s="2234"/>
      <c r="PGD10" s="2234"/>
      <c r="PGE10" s="2234"/>
      <c r="PGF10" s="2234"/>
      <c r="PGG10" s="2234"/>
      <c r="PGH10" s="2234"/>
      <c r="PGI10" s="2234"/>
      <c r="PGJ10" s="2234"/>
      <c r="PGK10" s="2234"/>
      <c r="PGL10" s="2234"/>
      <c r="PGM10" s="2234"/>
      <c r="PGN10" s="2234"/>
      <c r="PGO10" s="2234"/>
      <c r="PGP10" s="2234"/>
      <c r="PGQ10" s="2234"/>
      <c r="PGR10" s="2234"/>
      <c r="PGS10" s="2234"/>
      <c r="PGT10" s="2234"/>
      <c r="PGU10" s="2234"/>
      <c r="PGV10" s="2234"/>
      <c r="PGW10" s="2234"/>
      <c r="PGX10" s="2234"/>
      <c r="PGY10" s="2234"/>
      <c r="PGZ10" s="2234"/>
      <c r="PHA10" s="2234"/>
      <c r="PHB10" s="2234"/>
      <c r="PHC10" s="2234"/>
      <c r="PHD10" s="2234"/>
      <c r="PHE10" s="2234"/>
      <c r="PHF10" s="2234"/>
      <c r="PHG10" s="2234"/>
      <c r="PHH10" s="2234"/>
      <c r="PHI10" s="2234"/>
      <c r="PHJ10" s="2234"/>
      <c r="PHK10" s="2234"/>
      <c r="PHL10" s="2234"/>
      <c r="PHM10" s="2234"/>
      <c r="PHN10" s="2234"/>
      <c r="PHO10" s="2234"/>
      <c r="PHP10" s="2234"/>
      <c r="PHQ10" s="2234"/>
      <c r="PHR10" s="2234"/>
      <c r="PHS10" s="2234"/>
      <c r="PHT10" s="2234"/>
      <c r="PHU10" s="2234"/>
      <c r="PHV10" s="2234"/>
      <c r="PHW10" s="2234"/>
      <c r="PHX10" s="2234"/>
      <c r="PHY10" s="2234"/>
      <c r="PHZ10" s="2234"/>
      <c r="PIA10" s="2234"/>
      <c r="PIB10" s="2234"/>
      <c r="PIC10" s="2234"/>
      <c r="PID10" s="2234"/>
      <c r="PIE10" s="2234"/>
      <c r="PIF10" s="2234"/>
      <c r="PIG10" s="2234"/>
      <c r="PIH10" s="2234"/>
      <c r="PII10" s="2234"/>
      <c r="PIJ10" s="2234"/>
      <c r="PIK10" s="2234"/>
      <c r="PIL10" s="2234"/>
      <c r="PIM10" s="2234"/>
      <c r="PIN10" s="2234"/>
      <c r="PIO10" s="2234"/>
      <c r="PIP10" s="2234"/>
      <c r="PIQ10" s="2234"/>
      <c r="PIR10" s="2234"/>
      <c r="PIS10" s="2234"/>
      <c r="PIT10" s="2234"/>
      <c r="PIU10" s="2234"/>
      <c r="PIV10" s="2234"/>
      <c r="PIW10" s="2234"/>
      <c r="PIX10" s="2234"/>
      <c r="PIY10" s="2234"/>
      <c r="PIZ10" s="2234"/>
      <c r="PJA10" s="2234"/>
      <c r="PJB10" s="2234"/>
      <c r="PJC10" s="2234"/>
      <c r="PJD10" s="2234"/>
      <c r="PJE10" s="2234"/>
      <c r="PJF10" s="2234"/>
      <c r="PJG10" s="2234"/>
      <c r="PJH10" s="2234"/>
      <c r="PJI10" s="2234"/>
      <c r="PJJ10" s="2234"/>
      <c r="PJK10" s="2234"/>
      <c r="PJL10" s="2234"/>
      <c r="PJM10" s="2234"/>
      <c r="PJN10" s="2234"/>
      <c r="PJO10" s="2234"/>
      <c r="PJP10" s="2234"/>
      <c r="PJQ10" s="2234"/>
      <c r="PJR10" s="2234"/>
      <c r="PJS10" s="2234"/>
      <c r="PJT10" s="2234"/>
      <c r="PJU10" s="2234"/>
      <c r="PJV10" s="2234"/>
      <c r="PJW10" s="2234"/>
      <c r="PJX10" s="2234"/>
      <c r="PJY10" s="2234"/>
      <c r="PJZ10" s="2234"/>
      <c r="PKA10" s="2234"/>
      <c r="PKB10" s="2234"/>
      <c r="PKC10" s="2234"/>
      <c r="PKD10" s="2234"/>
      <c r="PKE10" s="2234"/>
      <c r="PKF10" s="2234"/>
      <c r="PKG10" s="2234"/>
      <c r="PKH10" s="2234"/>
      <c r="PKI10" s="2234"/>
      <c r="PKJ10" s="2234"/>
      <c r="PKK10" s="2234"/>
      <c r="PKL10" s="2234"/>
      <c r="PKM10" s="2234"/>
      <c r="PKN10" s="2234"/>
      <c r="PKO10" s="2234"/>
      <c r="PKP10" s="2234"/>
      <c r="PKQ10" s="2234"/>
      <c r="PKR10" s="2234"/>
      <c r="PKS10" s="2234"/>
      <c r="PKT10" s="2234"/>
      <c r="PKU10" s="2234"/>
      <c r="PKV10" s="2234"/>
      <c r="PKW10" s="2234"/>
      <c r="PKX10" s="2234"/>
      <c r="PKY10" s="2234"/>
      <c r="PKZ10" s="2234"/>
      <c r="PLA10" s="2234"/>
      <c r="PLB10" s="2234"/>
      <c r="PLC10" s="2234"/>
      <c r="PLD10" s="2234"/>
      <c r="PLE10" s="2234"/>
      <c r="PLF10" s="2234"/>
      <c r="PLG10" s="2234"/>
      <c r="PLH10" s="2234"/>
      <c r="PLI10" s="2234"/>
      <c r="PLJ10" s="2234"/>
      <c r="PLK10" s="2234"/>
      <c r="PLL10" s="2234"/>
      <c r="PLM10" s="2234"/>
      <c r="PLN10" s="2234"/>
      <c r="PLO10" s="2234"/>
      <c r="PLP10" s="2234"/>
      <c r="PLQ10" s="2234"/>
      <c r="PLR10" s="2234"/>
      <c r="PLS10" s="2234"/>
      <c r="PLT10" s="2234"/>
      <c r="PLU10" s="2234"/>
      <c r="PLV10" s="2234"/>
      <c r="PLW10" s="2234"/>
      <c r="PLX10" s="2234"/>
      <c r="PLY10" s="2234"/>
      <c r="PLZ10" s="2234"/>
      <c r="PMA10" s="2234"/>
      <c r="PMB10" s="2234"/>
      <c r="PMC10" s="2234"/>
      <c r="PMD10" s="2234"/>
      <c r="PME10" s="2234"/>
      <c r="PMF10" s="2234"/>
      <c r="PMG10" s="2234"/>
      <c r="PMH10" s="2234"/>
      <c r="PMI10" s="2234"/>
      <c r="PMJ10" s="2234"/>
      <c r="PMK10" s="2234"/>
      <c r="PML10" s="2234"/>
      <c r="PMM10" s="2234"/>
      <c r="PMN10" s="2234"/>
      <c r="PMO10" s="2234"/>
      <c r="PMP10" s="2234"/>
      <c r="PMQ10" s="2234"/>
      <c r="PMR10" s="2234"/>
      <c r="PMS10" s="2234"/>
      <c r="PMT10" s="2234"/>
      <c r="PMU10" s="2234"/>
      <c r="PMV10" s="2234"/>
      <c r="PMW10" s="2234"/>
      <c r="PMX10" s="2234"/>
      <c r="PMY10" s="2234"/>
      <c r="PMZ10" s="2234"/>
      <c r="PNA10" s="2234"/>
      <c r="PNB10" s="2234"/>
      <c r="PNC10" s="2234"/>
      <c r="PND10" s="2234"/>
      <c r="PNE10" s="2234"/>
      <c r="PNF10" s="2234"/>
      <c r="PNG10" s="2234"/>
      <c r="PNH10" s="2234"/>
      <c r="PNI10" s="2234"/>
      <c r="PNJ10" s="2234"/>
      <c r="PNK10" s="2234"/>
      <c r="PNL10" s="2234"/>
      <c r="PNM10" s="2234"/>
      <c r="PNN10" s="2234"/>
      <c r="PNO10" s="2234"/>
      <c r="PNP10" s="2234"/>
      <c r="PNQ10" s="2234"/>
      <c r="PNR10" s="2234"/>
      <c r="PNS10" s="2234"/>
      <c r="PNT10" s="2234"/>
      <c r="PNU10" s="2234"/>
      <c r="PNV10" s="2234"/>
      <c r="PNW10" s="2234"/>
      <c r="PNX10" s="2234"/>
      <c r="PNY10" s="2234"/>
      <c r="PNZ10" s="2234"/>
      <c r="POA10" s="2234"/>
      <c r="POB10" s="2234"/>
      <c r="POC10" s="2234"/>
      <c r="POD10" s="2234"/>
      <c r="POE10" s="2234"/>
      <c r="POF10" s="2234"/>
      <c r="POG10" s="2234"/>
      <c r="POH10" s="2234"/>
      <c r="POI10" s="2234"/>
      <c r="POJ10" s="2234"/>
      <c r="POK10" s="2234"/>
      <c r="POL10" s="2234"/>
      <c r="POM10" s="2234"/>
      <c r="PON10" s="2234"/>
      <c r="POO10" s="2234"/>
      <c r="POP10" s="2234"/>
      <c r="POQ10" s="2234"/>
      <c r="POR10" s="2234"/>
      <c r="POS10" s="2234"/>
      <c r="POT10" s="2234"/>
      <c r="POU10" s="2234"/>
      <c r="POV10" s="2234"/>
      <c r="POW10" s="2234"/>
      <c r="POX10" s="2234"/>
      <c r="POY10" s="2234"/>
      <c r="POZ10" s="2234"/>
      <c r="PPA10" s="2234"/>
      <c r="PPB10" s="2234"/>
      <c r="PPC10" s="2234"/>
      <c r="PPD10" s="2234"/>
      <c r="PPE10" s="2234"/>
      <c r="PPF10" s="2234"/>
      <c r="PPG10" s="2234"/>
      <c r="PPH10" s="2234"/>
      <c r="PPI10" s="2234"/>
      <c r="PPJ10" s="2234"/>
      <c r="PPK10" s="2234"/>
      <c r="PPL10" s="2234"/>
      <c r="PPM10" s="2234"/>
      <c r="PPN10" s="2234"/>
      <c r="PPO10" s="2234"/>
      <c r="PPP10" s="2234"/>
      <c r="PPQ10" s="2234"/>
      <c r="PPR10" s="2234"/>
      <c r="PPS10" s="2234"/>
      <c r="PPT10" s="2234"/>
      <c r="PPU10" s="2234"/>
      <c r="PPV10" s="2234"/>
      <c r="PPW10" s="2234"/>
      <c r="PPX10" s="2234"/>
      <c r="PPY10" s="2234"/>
      <c r="PPZ10" s="2234"/>
      <c r="PQA10" s="2234"/>
      <c r="PQB10" s="2234"/>
      <c r="PQC10" s="2234"/>
      <c r="PQD10" s="2234"/>
      <c r="PQE10" s="2234"/>
      <c r="PQF10" s="2234"/>
      <c r="PQG10" s="2234"/>
      <c r="PQH10" s="2234"/>
      <c r="PQI10" s="2234"/>
      <c r="PQJ10" s="2234"/>
      <c r="PQK10" s="2234"/>
      <c r="PQL10" s="2234"/>
      <c r="PQM10" s="2234"/>
      <c r="PQN10" s="2234"/>
      <c r="PQO10" s="2234"/>
      <c r="PQP10" s="2234"/>
      <c r="PQQ10" s="2234"/>
      <c r="PQR10" s="2234"/>
      <c r="PQS10" s="2234"/>
      <c r="PQT10" s="2234"/>
      <c r="PQU10" s="2234"/>
      <c r="PQV10" s="2234"/>
      <c r="PQW10" s="2234"/>
      <c r="PQX10" s="2234"/>
      <c r="PQY10" s="2234"/>
      <c r="PQZ10" s="2234"/>
      <c r="PRA10" s="2234"/>
      <c r="PRB10" s="2234"/>
      <c r="PRC10" s="2234"/>
      <c r="PRD10" s="2234"/>
      <c r="PRE10" s="2234"/>
      <c r="PRF10" s="2234"/>
      <c r="PRG10" s="2234"/>
      <c r="PRH10" s="2234"/>
      <c r="PRI10" s="2234"/>
      <c r="PRJ10" s="2234"/>
      <c r="PRK10" s="2234"/>
      <c r="PRL10" s="2234"/>
      <c r="PRM10" s="2234"/>
      <c r="PRN10" s="2234"/>
      <c r="PRO10" s="2234"/>
      <c r="PRP10" s="2234"/>
      <c r="PRQ10" s="2234"/>
      <c r="PRR10" s="2234"/>
      <c r="PRS10" s="2234"/>
      <c r="PRT10" s="2234"/>
      <c r="PRU10" s="2234"/>
      <c r="PRV10" s="2234"/>
      <c r="PRW10" s="2234"/>
      <c r="PRX10" s="2234"/>
      <c r="PRY10" s="2234"/>
      <c r="PRZ10" s="2234"/>
      <c r="PSA10" s="2234"/>
      <c r="PSB10" s="2234"/>
      <c r="PSC10" s="2234"/>
      <c r="PSD10" s="2234"/>
      <c r="PSE10" s="2234"/>
      <c r="PSF10" s="2234"/>
      <c r="PSG10" s="2234"/>
      <c r="PSH10" s="2234"/>
      <c r="PSI10" s="2234"/>
      <c r="PSJ10" s="2234"/>
      <c r="PSK10" s="2234"/>
      <c r="PSL10" s="2234"/>
      <c r="PSM10" s="2234"/>
      <c r="PSN10" s="2234"/>
      <c r="PSO10" s="2234"/>
      <c r="PSP10" s="2234"/>
      <c r="PSQ10" s="2234"/>
      <c r="PSR10" s="2234"/>
      <c r="PSS10" s="2234"/>
      <c r="PST10" s="2234"/>
      <c r="PSU10" s="2234"/>
      <c r="PSV10" s="2234"/>
      <c r="PSW10" s="2234"/>
      <c r="PSX10" s="2234"/>
      <c r="PSY10" s="2234"/>
      <c r="PSZ10" s="2234"/>
      <c r="PTA10" s="2234"/>
      <c r="PTB10" s="2234"/>
      <c r="PTC10" s="2234"/>
      <c r="PTD10" s="2234"/>
      <c r="PTE10" s="2234"/>
      <c r="PTF10" s="2234"/>
      <c r="PTG10" s="2234"/>
      <c r="PTH10" s="2234"/>
      <c r="PTI10" s="2234"/>
      <c r="PTJ10" s="2234"/>
      <c r="PTK10" s="2234"/>
      <c r="PTL10" s="2234"/>
      <c r="PTM10" s="2234"/>
      <c r="PTN10" s="2234"/>
      <c r="PTO10" s="2234"/>
      <c r="PTP10" s="2234"/>
      <c r="PTQ10" s="2234"/>
      <c r="PTR10" s="2234"/>
      <c r="PTS10" s="2234"/>
      <c r="PTT10" s="2234"/>
      <c r="PTU10" s="2234"/>
      <c r="PTV10" s="2234"/>
      <c r="PTW10" s="2234"/>
      <c r="PTX10" s="2234"/>
      <c r="PTY10" s="2234"/>
      <c r="PTZ10" s="2234"/>
      <c r="PUA10" s="2234"/>
      <c r="PUB10" s="2234"/>
      <c r="PUC10" s="2234"/>
      <c r="PUD10" s="2234"/>
      <c r="PUE10" s="2234"/>
      <c r="PUF10" s="2234"/>
      <c r="PUG10" s="2234"/>
      <c r="PUH10" s="2234"/>
      <c r="PUI10" s="2234"/>
      <c r="PUJ10" s="2234"/>
      <c r="PUK10" s="2234"/>
      <c r="PUL10" s="2234"/>
      <c r="PUM10" s="2234"/>
      <c r="PUN10" s="2234"/>
      <c r="PUO10" s="2234"/>
      <c r="PUP10" s="2234"/>
      <c r="PUQ10" s="2234"/>
      <c r="PUR10" s="2234"/>
      <c r="PUS10" s="2234"/>
      <c r="PUT10" s="2234"/>
      <c r="PUU10" s="2234"/>
      <c r="PUV10" s="2234"/>
      <c r="PUW10" s="2234"/>
      <c r="PUX10" s="2234"/>
      <c r="PUY10" s="2234"/>
      <c r="PUZ10" s="2234"/>
      <c r="PVA10" s="2234"/>
      <c r="PVB10" s="2234"/>
      <c r="PVC10" s="2234"/>
      <c r="PVD10" s="2234"/>
      <c r="PVE10" s="2234"/>
      <c r="PVF10" s="2234"/>
      <c r="PVG10" s="2234"/>
      <c r="PVH10" s="2234"/>
      <c r="PVI10" s="2234"/>
      <c r="PVJ10" s="2234"/>
      <c r="PVK10" s="2234"/>
      <c r="PVL10" s="2234"/>
      <c r="PVM10" s="2234"/>
      <c r="PVN10" s="2234"/>
      <c r="PVO10" s="2234"/>
      <c r="PVP10" s="2234"/>
      <c r="PVQ10" s="2234"/>
      <c r="PVR10" s="2234"/>
      <c r="PVS10" s="2234"/>
      <c r="PVT10" s="2234"/>
      <c r="PVU10" s="2234"/>
      <c r="PVV10" s="2234"/>
      <c r="PVW10" s="2234"/>
      <c r="PVX10" s="2234"/>
      <c r="PVY10" s="2234"/>
      <c r="PVZ10" s="2234"/>
      <c r="PWA10" s="2234"/>
      <c r="PWB10" s="2234"/>
      <c r="PWC10" s="2234"/>
      <c r="PWD10" s="2234"/>
      <c r="PWE10" s="2234"/>
      <c r="PWF10" s="2234"/>
      <c r="PWG10" s="2234"/>
      <c r="PWH10" s="2234"/>
      <c r="PWI10" s="2234"/>
      <c r="PWJ10" s="2234"/>
      <c r="PWK10" s="2234"/>
      <c r="PWL10" s="2234"/>
      <c r="PWM10" s="2234"/>
      <c r="PWN10" s="2234"/>
      <c r="PWO10" s="2234"/>
      <c r="PWP10" s="2234"/>
      <c r="PWQ10" s="2234"/>
      <c r="PWR10" s="2234"/>
      <c r="PWS10" s="2234"/>
      <c r="PWT10" s="2234"/>
      <c r="PWU10" s="2234"/>
      <c r="PWV10" s="2234"/>
      <c r="PWW10" s="2234"/>
      <c r="PWX10" s="2234"/>
      <c r="PWY10" s="2234"/>
      <c r="PWZ10" s="2234"/>
      <c r="PXA10" s="2234"/>
      <c r="PXB10" s="2234"/>
      <c r="PXC10" s="2234"/>
      <c r="PXD10" s="2234"/>
      <c r="PXE10" s="2234"/>
      <c r="PXF10" s="2234"/>
      <c r="PXG10" s="2234"/>
      <c r="PXH10" s="2234"/>
      <c r="PXI10" s="2234"/>
      <c r="PXJ10" s="2234"/>
      <c r="PXK10" s="2234"/>
      <c r="PXL10" s="2234"/>
      <c r="PXM10" s="2234"/>
      <c r="PXN10" s="2234"/>
      <c r="PXO10" s="2234"/>
      <c r="PXP10" s="2234"/>
      <c r="PXQ10" s="2234"/>
      <c r="PXR10" s="2234"/>
      <c r="PXS10" s="2234"/>
      <c r="PXT10" s="2234"/>
      <c r="PXU10" s="2234"/>
      <c r="PXV10" s="2234"/>
      <c r="PXW10" s="2234"/>
      <c r="PXX10" s="2234"/>
      <c r="PXY10" s="2234"/>
      <c r="PXZ10" s="2234"/>
      <c r="PYA10" s="2234"/>
      <c r="PYB10" s="2234"/>
      <c r="PYC10" s="2234"/>
      <c r="PYD10" s="2234"/>
      <c r="PYE10" s="2234"/>
      <c r="PYF10" s="2234"/>
      <c r="PYG10" s="2234"/>
      <c r="PYH10" s="2234"/>
      <c r="PYI10" s="2234"/>
      <c r="PYJ10" s="2234"/>
      <c r="PYK10" s="2234"/>
      <c r="PYL10" s="2234"/>
      <c r="PYM10" s="2234"/>
      <c r="PYN10" s="2234"/>
      <c r="PYO10" s="2234"/>
      <c r="PYP10" s="2234"/>
      <c r="PYQ10" s="2234"/>
      <c r="PYR10" s="2234"/>
      <c r="PYS10" s="2234"/>
      <c r="PYT10" s="2234"/>
      <c r="PYU10" s="2234"/>
      <c r="PYV10" s="2234"/>
      <c r="PYW10" s="2234"/>
      <c r="PYX10" s="2234"/>
      <c r="PYY10" s="2234"/>
      <c r="PYZ10" s="2234"/>
      <c r="PZA10" s="2234"/>
      <c r="PZB10" s="2234"/>
      <c r="PZC10" s="2234"/>
      <c r="PZD10" s="2234"/>
      <c r="PZE10" s="2234"/>
      <c r="PZF10" s="2234"/>
      <c r="PZG10" s="2234"/>
      <c r="PZH10" s="2234"/>
      <c r="PZI10" s="2234"/>
      <c r="PZJ10" s="2234"/>
      <c r="PZK10" s="2234"/>
      <c r="PZL10" s="2234"/>
      <c r="PZM10" s="2234"/>
      <c r="PZN10" s="2234"/>
      <c r="PZO10" s="2234"/>
      <c r="PZP10" s="2234"/>
      <c r="PZQ10" s="2234"/>
      <c r="PZR10" s="2234"/>
      <c r="PZS10" s="2234"/>
      <c r="PZT10" s="2234"/>
      <c r="PZU10" s="2234"/>
      <c r="PZV10" s="2234"/>
      <c r="PZW10" s="2234"/>
      <c r="PZX10" s="2234"/>
      <c r="PZY10" s="2234"/>
      <c r="PZZ10" s="2234"/>
      <c r="QAA10" s="2234"/>
      <c r="QAB10" s="2234"/>
      <c r="QAC10" s="2234"/>
      <c r="QAD10" s="2234"/>
      <c r="QAE10" s="2234"/>
      <c r="QAF10" s="2234"/>
      <c r="QAG10" s="2234"/>
      <c r="QAH10" s="2234"/>
      <c r="QAI10" s="2234"/>
      <c r="QAJ10" s="2234"/>
      <c r="QAK10" s="2234"/>
      <c r="QAL10" s="2234"/>
      <c r="QAM10" s="2234"/>
      <c r="QAN10" s="2234"/>
      <c r="QAO10" s="2234"/>
      <c r="QAP10" s="2234"/>
      <c r="QAQ10" s="2234"/>
      <c r="QAR10" s="2234"/>
      <c r="QAS10" s="2234"/>
      <c r="QAT10" s="2234"/>
      <c r="QAU10" s="2234"/>
      <c r="QAV10" s="2234"/>
      <c r="QAW10" s="2234"/>
      <c r="QAX10" s="2234"/>
      <c r="QAY10" s="2234"/>
      <c r="QAZ10" s="2234"/>
      <c r="QBA10" s="2234"/>
      <c r="QBB10" s="2234"/>
      <c r="QBC10" s="2234"/>
      <c r="QBD10" s="2234"/>
      <c r="QBE10" s="2234"/>
      <c r="QBF10" s="2234"/>
      <c r="QBG10" s="2234"/>
      <c r="QBH10" s="2234"/>
      <c r="QBI10" s="2234"/>
      <c r="QBJ10" s="2234"/>
      <c r="QBK10" s="2234"/>
      <c r="QBL10" s="2234"/>
      <c r="QBM10" s="2234"/>
      <c r="QBN10" s="2234"/>
      <c r="QBO10" s="2234"/>
      <c r="QBP10" s="2234"/>
      <c r="QBQ10" s="2234"/>
      <c r="QBR10" s="2234"/>
      <c r="QBS10" s="2234"/>
      <c r="QBT10" s="2234"/>
      <c r="QBU10" s="2234"/>
      <c r="QBV10" s="2234"/>
      <c r="QBW10" s="2234"/>
      <c r="QBX10" s="2234"/>
      <c r="QBY10" s="2234"/>
      <c r="QBZ10" s="2234"/>
      <c r="QCA10" s="2234"/>
      <c r="QCB10" s="2234"/>
      <c r="QCC10" s="2234"/>
      <c r="QCD10" s="2234"/>
      <c r="QCE10" s="2234"/>
      <c r="QCF10" s="2234"/>
      <c r="QCG10" s="2234"/>
      <c r="QCH10" s="2234"/>
      <c r="QCI10" s="2234"/>
      <c r="QCJ10" s="2234"/>
      <c r="QCK10" s="2234"/>
      <c r="QCL10" s="2234"/>
      <c r="QCM10" s="2234"/>
      <c r="QCN10" s="2234"/>
      <c r="QCO10" s="2234"/>
      <c r="QCP10" s="2234"/>
      <c r="QCQ10" s="2234"/>
      <c r="QCR10" s="2234"/>
      <c r="QCS10" s="2234"/>
      <c r="QCT10" s="2234"/>
      <c r="QCU10" s="2234"/>
      <c r="QCV10" s="2234"/>
      <c r="QCW10" s="2234"/>
      <c r="QCX10" s="2234"/>
      <c r="QCY10" s="2234"/>
      <c r="QCZ10" s="2234"/>
      <c r="QDA10" s="2234"/>
      <c r="QDB10" s="2234"/>
      <c r="QDC10" s="2234"/>
      <c r="QDD10" s="2234"/>
      <c r="QDE10" s="2234"/>
      <c r="QDF10" s="2234"/>
      <c r="QDG10" s="2234"/>
      <c r="QDH10" s="2234"/>
      <c r="QDI10" s="2234"/>
      <c r="QDJ10" s="2234"/>
      <c r="QDK10" s="2234"/>
      <c r="QDL10" s="2234"/>
      <c r="QDM10" s="2234"/>
      <c r="QDN10" s="2234"/>
      <c r="QDO10" s="2234"/>
      <c r="QDP10" s="2234"/>
      <c r="QDQ10" s="2234"/>
      <c r="QDR10" s="2234"/>
      <c r="QDS10" s="2234"/>
      <c r="QDT10" s="2234"/>
      <c r="QDU10" s="2234"/>
      <c r="QDV10" s="2234"/>
      <c r="QDW10" s="2234"/>
      <c r="QDX10" s="2234"/>
      <c r="QDY10" s="2234"/>
      <c r="QDZ10" s="2234"/>
      <c r="QEA10" s="2234"/>
      <c r="QEB10" s="2234"/>
      <c r="QEC10" s="2234"/>
      <c r="QED10" s="2234"/>
      <c r="QEE10" s="2234"/>
      <c r="QEF10" s="2234"/>
      <c r="QEG10" s="2234"/>
      <c r="QEH10" s="2234"/>
      <c r="QEI10" s="2234"/>
      <c r="QEJ10" s="2234"/>
      <c r="QEK10" s="2234"/>
      <c r="QEL10" s="2234"/>
      <c r="QEM10" s="2234"/>
      <c r="QEN10" s="2234"/>
      <c r="QEO10" s="2234"/>
      <c r="QEP10" s="2234"/>
      <c r="QEQ10" s="2234"/>
      <c r="QER10" s="2234"/>
      <c r="QES10" s="2234"/>
      <c r="QET10" s="2234"/>
      <c r="QEU10" s="2234"/>
      <c r="QEV10" s="2234"/>
      <c r="QEW10" s="2234"/>
      <c r="QEX10" s="2234"/>
      <c r="QEY10" s="2234"/>
      <c r="QEZ10" s="2234"/>
      <c r="QFA10" s="2234"/>
      <c r="QFB10" s="2234"/>
      <c r="QFC10" s="2234"/>
      <c r="QFD10" s="2234"/>
      <c r="QFE10" s="2234"/>
      <c r="QFF10" s="2234"/>
      <c r="QFG10" s="2234"/>
      <c r="QFH10" s="2234"/>
      <c r="QFI10" s="2234"/>
      <c r="QFJ10" s="2234"/>
      <c r="QFK10" s="2234"/>
      <c r="QFL10" s="2234"/>
      <c r="QFM10" s="2234"/>
      <c r="QFN10" s="2234"/>
      <c r="QFO10" s="2234"/>
      <c r="QFP10" s="2234"/>
      <c r="QFQ10" s="2234"/>
      <c r="QFR10" s="2234"/>
      <c r="QFS10" s="2234"/>
      <c r="QFT10" s="2234"/>
      <c r="QFU10" s="2234"/>
      <c r="QFV10" s="2234"/>
      <c r="QFW10" s="2234"/>
      <c r="QFX10" s="2234"/>
      <c r="QFY10" s="2234"/>
      <c r="QFZ10" s="2234"/>
      <c r="QGA10" s="2234"/>
      <c r="QGB10" s="2234"/>
      <c r="QGC10" s="2234"/>
      <c r="QGD10" s="2234"/>
      <c r="QGE10" s="2234"/>
      <c r="QGF10" s="2234"/>
      <c r="QGG10" s="2234"/>
      <c r="QGH10" s="2234"/>
      <c r="QGI10" s="2234"/>
      <c r="QGJ10" s="2234"/>
      <c r="QGK10" s="2234"/>
      <c r="QGL10" s="2234"/>
      <c r="QGM10" s="2234"/>
      <c r="QGN10" s="2234"/>
      <c r="QGO10" s="2234"/>
      <c r="QGP10" s="2234"/>
      <c r="QGQ10" s="2234"/>
      <c r="QGR10" s="2234"/>
      <c r="QGS10" s="2234"/>
      <c r="QGT10" s="2234"/>
      <c r="QGU10" s="2234"/>
      <c r="QGV10" s="2234"/>
      <c r="QGW10" s="2234"/>
      <c r="QGX10" s="2234"/>
      <c r="QGY10" s="2234"/>
      <c r="QGZ10" s="2234"/>
      <c r="QHA10" s="2234"/>
      <c r="QHB10" s="2234"/>
      <c r="QHC10" s="2234"/>
      <c r="QHD10" s="2234"/>
      <c r="QHE10" s="2234"/>
      <c r="QHF10" s="2234"/>
      <c r="QHG10" s="2234"/>
      <c r="QHH10" s="2234"/>
      <c r="QHI10" s="2234"/>
      <c r="QHJ10" s="2234"/>
      <c r="QHK10" s="2234"/>
      <c r="QHL10" s="2234"/>
      <c r="QHM10" s="2234"/>
      <c r="QHN10" s="2234"/>
      <c r="QHO10" s="2234"/>
      <c r="QHP10" s="2234"/>
      <c r="QHQ10" s="2234"/>
      <c r="QHR10" s="2234"/>
      <c r="QHS10" s="2234"/>
      <c r="QHT10" s="2234"/>
      <c r="QHU10" s="2234"/>
      <c r="QHV10" s="2234"/>
      <c r="QHW10" s="2234"/>
      <c r="QHX10" s="2234"/>
      <c r="QHY10" s="2234"/>
      <c r="QHZ10" s="2234"/>
      <c r="QIA10" s="2234"/>
      <c r="QIB10" s="2234"/>
      <c r="QIC10" s="2234"/>
      <c r="QID10" s="2234"/>
      <c r="QIE10" s="2234"/>
      <c r="QIF10" s="2234"/>
      <c r="QIG10" s="2234"/>
      <c r="QIH10" s="2234"/>
      <c r="QII10" s="2234"/>
      <c r="QIJ10" s="2234"/>
      <c r="QIK10" s="2234"/>
      <c r="QIL10" s="2234"/>
      <c r="QIM10" s="2234"/>
      <c r="QIN10" s="2234"/>
      <c r="QIO10" s="2234"/>
      <c r="QIP10" s="2234"/>
      <c r="QIQ10" s="2234"/>
      <c r="QIR10" s="2234"/>
      <c r="QIS10" s="2234"/>
      <c r="QIT10" s="2234"/>
      <c r="QIU10" s="2234"/>
      <c r="QIV10" s="2234"/>
      <c r="QIW10" s="2234"/>
      <c r="QIX10" s="2234"/>
      <c r="QIY10" s="2234"/>
      <c r="QIZ10" s="2234"/>
      <c r="QJA10" s="2234"/>
      <c r="QJB10" s="2234"/>
      <c r="QJC10" s="2234"/>
      <c r="QJD10" s="2234"/>
      <c r="QJE10" s="2234"/>
      <c r="QJF10" s="2234"/>
      <c r="QJG10" s="2234"/>
      <c r="QJH10" s="2234"/>
      <c r="QJI10" s="2234"/>
      <c r="QJJ10" s="2234"/>
      <c r="QJK10" s="2234"/>
      <c r="QJL10" s="2234"/>
      <c r="QJM10" s="2234"/>
      <c r="QJN10" s="2234"/>
      <c r="QJO10" s="2234"/>
      <c r="QJP10" s="2234"/>
      <c r="QJQ10" s="2234"/>
      <c r="QJR10" s="2234"/>
      <c r="QJS10" s="2234"/>
      <c r="QJT10" s="2234"/>
      <c r="QJU10" s="2234"/>
      <c r="QJV10" s="2234"/>
      <c r="QJW10" s="2234"/>
      <c r="QJX10" s="2234"/>
      <c r="QJY10" s="2234"/>
      <c r="QJZ10" s="2234"/>
      <c r="QKA10" s="2234"/>
      <c r="QKB10" s="2234"/>
      <c r="QKC10" s="2234"/>
      <c r="QKD10" s="2234"/>
      <c r="QKE10" s="2234"/>
      <c r="QKF10" s="2234"/>
      <c r="QKG10" s="2234"/>
      <c r="QKH10" s="2234"/>
      <c r="QKI10" s="2234"/>
      <c r="QKJ10" s="2234"/>
      <c r="QKK10" s="2234"/>
      <c r="QKL10" s="2234"/>
      <c r="QKM10" s="2234"/>
      <c r="QKN10" s="2234"/>
      <c r="QKO10" s="2234"/>
      <c r="QKP10" s="2234"/>
      <c r="QKQ10" s="2234"/>
      <c r="QKR10" s="2234"/>
      <c r="QKS10" s="2234"/>
      <c r="QKT10" s="2234"/>
      <c r="QKU10" s="2234"/>
      <c r="QKV10" s="2234"/>
      <c r="QKW10" s="2234"/>
      <c r="QKX10" s="2234"/>
      <c r="QKY10" s="2234"/>
      <c r="QKZ10" s="2234"/>
      <c r="QLA10" s="2234"/>
      <c r="QLB10" s="2234"/>
      <c r="QLC10" s="2234"/>
      <c r="QLD10" s="2234"/>
      <c r="QLE10" s="2234"/>
      <c r="QLF10" s="2234"/>
      <c r="QLG10" s="2234"/>
      <c r="QLH10" s="2234"/>
      <c r="QLI10" s="2234"/>
      <c r="QLJ10" s="2234"/>
      <c r="QLK10" s="2234"/>
      <c r="QLL10" s="2234"/>
      <c r="QLM10" s="2234"/>
      <c r="QLN10" s="2234"/>
      <c r="QLO10" s="2234"/>
      <c r="QLP10" s="2234"/>
      <c r="QLQ10" s="2234"/>
      <c r="QLR10" s="2234"/>
      <c r="QLS10" s="2234"/>
      <c r="QLT10" s="2234"/>
      <c r="QLU10" s="2234"/>
      <c r="QLV10" s="2234"/>
      <c r="QLW10" s="2234"/>
      <c r="QLX10" s="2234"/>
      <c r="QLY10" s="2234"/>
      <c r="QLZ10" s="2234"/>
      <c r="QMA10" s="2234"/>
      <c r="QMB10" s="2234"/>
      <c r="QMC10" s="2234"/>
      <c r="QMD10" s="2234"/>
      <c r="QME10" s="2234"/>
      <c r="QMF10" s="2234"/>
      <c r="QMG10" s="2234"/>
      <c r="QMH10" s="2234"/>
      <c r="QMI10" s="2234"/>
      <c r="QMJ10" s="2234"/>
      <c r="QMK10" s="2234"/>
      <c r="QML10" s="2234"/>
      <c r="QMM10" s="2234"/>
      <c r="QMN10" s="2234"/>
      <c r="QMO10" s="2234"/>
      <c r="QMP10" s="2234"/>
      <c r="QMQ10" s="2234"/>
      <c r="QMR10" s="2234"/>
      <c r="QMS10" s="2234"/>
      <c r="QMT10" s="2234"/>
      <c r="QMU10" s="2234"/>
      <c r="QMV10" s="2234"/>
      <c r="QMW10" s="2234"/>
      <c r="QMX10" s="2234"/>
      <c r="QMY10" s="2234"/>
      <c r="QMZ10" s="2234"/>
      <c r="QNA10" s="2234"/>
      <c r="QNB10" s="2234"/>
      <c r="QNC10" s="2234"/>
      <c r="QND10" s="2234"/>
      <c r="QNE10" s="2234"/>
      <c r="QNF10" s="2234"/>
      <c r="QNG10" s="2234"/>
      <c r="QNH10" s="2234"/>
      <c r="QNI10" s="2234"/>
      <c r="QNJ10" s="2234"/>
      <c r="QNK10" s="2234"/>
      <c r="QNL10" s="2234"/>
      <c r="QNM10" s="2234"/>
      <c r="QNN10" s="2234"/>
      <c r="QNO10" s="2234"/>
      <c r="QNP10" s="2234"/>
      <c r="QNQ10" s="2234"/>
      <c r="QNR10" s="2234"/>
      <c r="QNS10" s="2234"/>
      <c r="QNT10" s="2234"/>
      <c r="QNU10" s="2234"/>
      <c r="QNV10" s="2234"/>
      <c r="QNW10" s="2234"/>
      <c r="QNX10" s="2234"/>
      <c r="QNY10" s="2234"/>
      <c r="QNZ10" s="2234"/>
      <c r="QOA10" s="2234"/>
      <c r="QOB10" s="2234"/>
      <c r="QOC10" s="2234"/>
      <c r="QOD10" s="2234"/>
      <c r="QOE10" s="2234"/>
      <c r="QOF10" s="2234"/>
      <c r="QOG10" s="2234"/>
      <c r="QOH10" s="2234"/>
      <c r="QOI10" s="2234"/>
      <c r="QOJ10" s="2234"/>
      <c r="QOK10" s="2234"/>
      <c r="QOL10" s="2234"/>
      <c r="QOM10" s="2234"/>
      <c r="QON10" s="2234"/>
      <c r="QOO10" s="2234"/>
      <c r="QOP10" s="2234"/>
      <c r="QOQ10" s="2234"/>
      <c r="QOR10" s="2234"/>
      <c r="QOS10" s="2234"/>
      <c r="QOT10" s="2234"/>
      <c r="QOU10" s="2234"/>
      <c r="QOV10" s="2234"/>
      <c r="QOW10" s="2234"/>
      <c r="QOX10" s="2234"/>
      <c r="QOY10" s="2234"/>
      <c r="QOZ10" s="2234"/>
      <c r="QPA10" s="2234"/>
      <c r="QPB10" s="2234"/>
      <c r="QPC10" s="2234"/>
      <c r="QPD10" s="2234"/>
      <c r="QPE10" s="2234"/>
      <c r="QPF10" s="2234"/>
      <c r="QPG10" s="2234"/>
      <c r="QPH10" s="2234"/>
      <c r="QPI10" s="2234"/>
      <c r="QPJ10" s="2234"/>
      <c r="QPK10" s="2234"/>
      <c r="QPL10" s="2234"/>
      <c r="QPM10" s="2234"/>
      <c r="QPN10" s="2234"/>
      <c r="QPO10" s="2234"/>
      <c r="QPP10" s="2234"/>
      <c r="QPQ10" s="2234"/>
      <c r="QPR10" s="2234"/>
      <c r="QPS10" s="2234"/>
      <c r="QPT10" s="2234"/>
      <c r="QPU10" s="2234"/>
      <c r="QPV10" s="2234"/>
      <c r="QPW10" s="2234"/>
      <c r="QPX10" s="2234"/>
      <c r="QPY10" s="2234"/>
      <c r="QPZ10" s="2234"/>
      <c r="QQA10" s="2234"/>
      <c r="QQB10" s="2234"/>
      <c r="QQC10" s="2234"/>
      <c r="QQD10" s="2234"/>
      <c r="QQE10" s="2234"/>
      <c r="QQF10" s="2234"/>
      <c r="QQG10" s="2234"/>
      <c r="QQH10" s="2234"/>
      <c r="QQI10" s="2234"/>
      <c r="QQJ10" s="2234"/>
      <c r="QQK10" s="2234"/>
      <c r="QQL10" s="2234"/>
      <c r="QQM10" s="2234"/>
      <c r="QQN10" s="2234"/>
      <c r="QQO10" s="2234"/>
      <c r="QQP10" s="2234"/>
      <c r="QQQ10" s="2234"/>
      <c r="QQR10" s="2234"/>
      <c r="QQS10" s="2234"/>
      <c r="QQT10" s="2234"/>
      <c r="QQU10" s="2234"/>
      <c r="QQV10" s="2234"/>
      <c r="QQW10" s="2234"/>
      <c r="QQX10" s="2234"/>
      <c r="QQY10" s="2234"/>
      <c r="QQZ10" s="2234"/>
      <c r="QRA10" s="2234"/>
      <c r="QRB10" s="2234"/>
      <c r="QRC10" s="2234"/>
      <c r="QRD10" s="2234"/>
      <c r="QRE10" s="2234"/>
      <c r="QRF10" s="2234"/>
      <c r="QRG10" s="2234"/>
      <c r="QRH10" s="2234"/>
      <c r="QRI10" s="2234"/>
      <c r="QRJ10" s="2234"/>
      <c r="QRK10" s="2234"/>
      <c r="QRL10" s="2234"/>
      <c r="QRM10" s="2234"/>
      <c r="QRN10" s="2234"/>
      <c r="QRO10" s="2234"/>
      <c r="QRP10" s="2234"/>
      <c r="QRQ10" s="2234"/>
      <c r="QRR10" s="2234"/>
      <c r="QRS10" s="2234"/>
      <c r="QRT10" s="2234"/>
      <c r="QRU10" s="2234"/>
      <c r="QRV10" s="2234"/>
      <c r="QRW10" s="2234"/>
      <c r="QRX10" s="2234"/>
      <c r="QRY10" s="2234"/>
      <c r="QRZ10" s="2234"/>
      <c r="QSA10" s="2234"/>
      <c r="QSB10" s="2234"/>
      <c r="QSC10" s="2234"/>
      <c r="QSD10" s="2234"/>
      <c r="QSE10" s="2234"/>
      <c r="QSF10" s="2234"/>
      <c r="QSG10" s="2234"/>
      <c r="QSH10" s="2234"/>
      <c r="QSI10" s="2234"/>
      <c r="QSJ10" s="2234"/>
      <c r="QSK10" s="2234"/>
      <c r="QSL10" s="2234"/>
      <c r="QSM10" s="2234"/>
      <c r="QSN10" s="2234"/>
      <c r="QSO10" s="2234"/>
      <c r="QSP10" s="2234"/>
      <c r="QSQ10" s="2234"/>
      <c r="QSR10" s="2234"/>
      <c r="QSS10" s="2234"/>
      <c r="QST10" s="2234"/>
      <c r="QSU10" s="2234"/>
      <c r="QSV10" s="2234"/>
      <c r="QSW10" s="2234"/>
      <c r="QSX10" s="2234"/>
      <c r="QSY10" s="2234"/>
      <c r="QSZ10" s="2234"/>
      <c r="QTA10" s="2234"/>
      <c r="QTB10" s="2234"/>
      <c r="QTC10" s="2234"/>
      <c r="QTD10" s="2234"/>
      <c r="QTE10" s="2234"/>
      <c r="QTF10" s="2234"/>
      <c r="QTG10" s="2234"/>
      <c r="QTH10" s="2234"/>
      <c r="QTI10" s="2234"/>
      <c r="QTJ10" s="2234"/>
      <c r="QTK10" s="2234"/>
      <c r="QTL10" s="2234"/>
      <c r="QTM10" s="2234"/>
      <c r="QTN10" s="2234"/>
      <c r="QTO10" s="2234"/>
      <c r="QTP10" s="2234"/>
      <c r="QTQ10" s="2234"/>
      <c r="QTR10" s="2234"/>
      <c r="QTS10" s="2234"/>
      <c r="QTT10" s="2234"/>
      <c r="QTU10" s="2234"/>
      <c r="QTV10" s="2234"/>
      <c r="QTW10" s="2234"/>
      <c r="QTX10" s="2234"/>
      <c r="QTY10" s="2234"/>
      <c r="QTZ10" s="2234"/>
      <c r="QUA10" s="2234"/>
      <c r="QUB10" s="2234"/>
      <c r="QUC10" s="2234"/>
      <c r="QUD10" s="2234"/>
      <c r="QUE10" s="2234"/>
      <c r="QUF10" s="2234"/>
      <c r="QUG10" s="2234"/>
      <c r="QUH10" s="2234"/>
      <c r="QUI10" s="2234"/>
      <c r="QUJ10" s="2234"/>
      <c r="QUK10" s="2234"/>
      <c r="QUL10" s="2234"/>
      <c r="QUM10" s="2234"/>
      <c r="QUN10" s="2234"/>
      <c r="QUO10" s="2234"/>
      <c r="QUP10" s="2234"/>
      <c r="QUQ10" s="2234"/>
      <c r="QUR10" s="2234"/>
      <c r="QUS10" s="2234"/>
      <c r="QUT10" s="2234"/>
      <c r="QUU10" s="2234"/>
      <c r="QUV10" s="2234"/>
      <c r="QUW10" s="2234"/>
      <c r="QUX10" s="2234"/>
      <c r="QUY10" s="2234"/>
      <c r="QUZ10" s="2234"/>
      <c r="QVA10" s="2234"/>
      <c r="QVB10" s="2234"/>
      <c r="QVC10" s="2234"/>
      <c r="QVD10" s="2234"/>
      <c r="QVE10" s="2234"/>
      <c r="QVF10" s="2234"/>
      <c r="QVG10" s="2234"/>
      <c r="QVH10" s="2234"/>
      <c r="QVI10" s="2234"/>
      <c r="QVJ10" s="2234"/>
      <c r="QVK10" s="2234"/>
      <c r="QVL10" s="2234"/>
      <c r="QVM10" s="2234"/>
      <c r="QVN10" s="2234"/>
      <c r="QVO10" s="2234"/>
      <c r="QVP10" s="2234"/>
      <c r="QVQ10" s="2234"/>
      <c r="QVR10" s="2234"/>
      <c r="QVS10" s="2234"/>
      <c r="QVT10" s="2234"/>
      <c r="QVU10" s="2234"/>
      <c r="QVV10" s="2234"/>
      <c r="QVW10" s="2234"/>
      <c r="QVX10" s="2234"/>
      <c r="QVY10" s="2234"/>
      <c r="QVZ10" s="2234"/>
      <c r="QWA10" s="2234"/>
      <c r="QWB10" s="2234"/>
      <c r="QWC10" s="2234"/>
      <c r="QWD10" s="2234"/>
      <c r="QWE10" s="2234"/>
      <c r="QWF10" s="2234"/>
      <c r="QWG10" s="2234"/>
      <c r="QWH10" s="2234"/>
      <c r="QWI10" s="2234"/>
      <c r="QWJ10" s="2234"/>
      <c r="QWK10" s="2234"/>
      <c r="QWL10" s="2234"/>
      <c r="QWM10" s="2234"/>
      <c r="QWN10" s="2234"/>
      <c r="QWO10" s="2234"/>
      <c r="QWP10" s="2234"/>
      <c r="QWQ10" s="2234"/>
      <c r="QWR10" s="2234"/>
      <c r="QWS10" s="2234"/>
      <c r="QWT10" s="2234"/>
      <c r="QWU10" s="2234"/>
      <c r="QWV10" s="2234"/>
      <c r="QWW10" s="2234"/>
      <c r="QWX10" s="2234"/>
      <c r="QWY10" s="2234"/>
      <c r="QWZ10" s="2234"/>
      <c r="QXA10" s="2234"/>
      <c r="QXB10" s="2234"/>
      <c r="QXC10" s="2234"/>
      <c r="QXD10" s="2234"/>
      <c r="QXE10" s="2234"/>
      <c r="QXF10" s="2234"/>
      <c r="QXG10" s="2234"/>
      <c r="QXH10" s="2234"/>
      <c r="QXI10" s="2234"/>
      <c r="QXJ10" s="2234"/>
      <c r="QXK10" s="2234"/>
      <c r="QXL10" s="2234"/>
      <c r="QXM10" s="2234"/>
      <c r="QXN10" s="2234"/>
      <c r="QXO10" s="2234"/>
      <c r="QXP10" s="2234"/>
      <c r="QXQ10" s="2234"/>
      <c r="QXR10" s="2234"/>
      <c r="QXS10" s="2234"/>
      <c r="QXT10" s="2234"/>
      <c r="QXU10" s="2234"/>
      <c r="QXV10" s="2234"/>
      <c r="QXW10" s="2234"/>
      <c r="QXX10" s="2234"/>
      <c r="QXY10" s="2234"/>
      <c r="QXZ10" s="2234"/>
      <c r="QYA10" s="2234"/>
      <c r="QYB10" s="2234"/>
      <c r="QYC10" s="2234"/>
      <c r="QYD10" s="2234"/>
      <c r="QYE10" s="2234"/>
      <c r="QYF10" s="2234"/>
      <c r="QYG10" s="2234"/>
      <c r="QYH10" s="2234"/>
      <c r="QYI10" s="2234"/>
      <c r="QYJ10" s="2234"/>
      <c r="QYK10" s="2234"/>
      <c r="QYL10" s="2234"/>
      <c r="QYM10" s="2234"/>
      <c r="QYN10" s="2234"/>
      <c r="QYO10" s="2234"/>
      <c r="QYP10" s="2234"/>
      <c r="QYQ10" s="2234"/>
      <c r="QYR10" s="2234"/>
      <c r="QYS10" s="2234"/>
      <c r="QYT10" s="2234"/>
      <c r="QYU10" s="2234"/>
      <c r="QYV10" s="2234"/>
      <c r="QYW10" s="2234"/>
      <c r="QYX10" s="2234"/>
      <c r="QYY10" s="2234"/>
      <c r="QYZ10" s="2234"/>
      <c r="QZA10" s="2234"/>
      <c r="QZB10" s="2234"/>
      <c r="QZC10" s="2234"/>
      <c r="QZD10" s="2234"/>
      <c r="QZE10" s="2234"/>
      <c r="QZF10" s="2234"/>
      <c r="QZG10" s="2234"/>
      <c r="QZH10" s="2234"/>
      <c r="QZI10" s="2234"/>
      <c r="QZJ10" s="2234"/>
      <c r="QZK10" s="2234"/>
      <c r="QZL10" s="2234"/>
      <c r="QZM10" s="2234"/>
      <c r="QZN10" s="2234"/>
      <c r="QZO10" s="2234"/>
      <c r="QZP10" s="2234"/>
      <c r="QZQ10" s="2234"/>
      <c r="QZR10" s="2234"/>
      <c r="QZS10" s="2234"/>
      <c r="QZT10" s="2234"/>
      <c r="QZU10" s="2234"/>
      <c r="QZV10" s="2234"/>
      <c r="QZW10" s="2234"/>
      <c r="QZX10" s="2234"/>
      <c r="QZY10" s="2234"/>
      <c r="QZZ10" s="2234"/>
      <c r="RAA10" s="2234"/>
      <c r="RAB10" s="2234"/>
      <c r="RAC10" s="2234"/>
      <c r="RAD10" s="2234"/>
      <c r="RAE10" s="2234"/>
      <c r="RAF10" s="2234"/>
      <c r="RAG10" s="2234"/>
      <c r="RAH10" s="2234"/>
      <c r="RAI10" s="2234"/>
      <c r="RAJ10" s="2234"/>
      <c r="RAK10" s="2234"/>
      <c r="RAL10" s="2234"/>
      <c r="RAM10" s="2234"/>
      <c r="RAN10" s="2234"/>
      <c r="RAO10" s="2234"/>
      <c r="RAP10" s="2234"/>
      <c r="RAQ10" s="2234"/>
      <c r="RAR10" s="2234"/>
      <c r="RAS10" s="2234"/>
      <c r="RAT10" s="2234"/>
      <c r="RAU10" s="2234"/>
      <c r="RAV10" s="2234"/>
      <c r="RAW10" s="2234"/>
      <c r="RAX10" s="2234"/>
      <c r="RAY10" s="2234"/>
      <c r="RAZ10" s="2234"/>
      <c r="RBA10" s="2234"/>
      <c r="RBB10" s="2234"/>
      <c r="RBC10" s="2234"/>
      <c r="RBD10" s="2234"/>
      <c r="RBE10" s="2234"/>
      <c r="RBF10" s="2234"/>
      <c r="RBG10" s="2234"/>
      <c r="RBH10" s="2234"/>
      <c r="RBI10" s="2234"/>
      <c r="RBJ10" s="2234"/>
      <c r="RBK10" s="2234"/>
      <c r="RBL10" s="2234"/>
      <c r="RBM10" s="2234"/>
      <c r="RBN10" s="2234"/>
      <c r="RBO10" s="2234"/>
      <c r="RBP10" s="2234"/>
      <c r="RBQ10" s="2234"/>
      <c r="RBR10" s="2234"/>
      <c r="RBS10" s="2234"/>
      <c r="RBT10" s="2234"/>
      <c r="RBU10" s="2234"/>
      <c r="RBV10" s="2234"/>
      <c r="RBW10" s="2234"/>
      <c r="RBX10" s="2234"/>
      <c r="RBY10" s="2234"/>
      <c r="RBZ10" s="2234"/>
      <c r="RCA10" s="2234"/>
      <c r="RCB10" s="2234"/>
      <c r="RCC10" s="2234"/>
      <c r="RCD10" s="2234"/>
      <c r="RCE10" s="2234"/>
      <c r="RCF10" s="2234"/>
      <c r="RCG10" s="2234"/>
      <c r="RCH10" s="2234"/>
      <c r="RCI10" s="2234"/>
      <c r="RCJ10" s="2234"/>
      <c r="RCK10" s="2234"/>
      <c r="RCL10" s="2234"/>
      <c r="RCM10" s="2234"/>
      <c r="RCN10" s="2234"/>
      <c r="RCO10" s="2234"/>
      <c r="RCP10" s="2234"/>
      <c r="RCQ10" s="2234"/>
      <c r="RCR10" s="2234"/>
      <c r="RCS10" s="2234"/>
      <c r="RCT10" s="2234"/>
      <c r="RCU10" s="2234"/>
      <c r="RCV10" s="2234"/>
      <c r="RCW10" s="2234"/>
      <c r="RCX10" s="2234"/>
      <c r="RCY10" s="2234"/>
      <c r="RCZ10" s="2234"/>
      <c r="RDA10" s="2234"/>
      <c r="RDB10" s="2234"/>
      <c r="RDC10" s="2234"/>
      <c r="RDD10" s="2234"/>
      <c r="RDE10" s="2234"/>
      <c r="RDF10" s="2234"/>
      <c r="RDG10" s="2234"/>
      <c r="RDH10" s="2234"/>
      <c r="RDI10" s="2234"/>
      <c r="RDJ10" s="2234"/>
      <c r="RDK10" s="2234"/>
      <c r="RDL10" s="2234"/>
      <c r="RDM10" s="2234"/>
      <c r="RDN10" s="2234"/>
      <c r="RDO10" s="2234"/>
      <c r="RDP10" s="2234"/>
      <c r="RDQ10" s="2234"/>
      <c r="RDR10" s="2234"/>
      <c r="RDS10" s="2234"/>
      <c r="RDT10" s="2234"/>
      <c r="RDU10" s="2234"/>
      <c r="RDV10" s="2234"/>
      <c r="RDW10" s="2234"/>
      <c r="RDX10" s="2234"/>
      <c r="RDY10" s="2234"/>
      <c r="RDZ10" s="2234"/>
      <c r="REA10" s="2234"/>
      <c r="REB10" s="2234"/>
      <c r="REC10" s="2234"/>
      <c r="RED10" s="2234"/>
      <c r="REE10" s="2234"/>
      <c r="REF10" s="2234"/>
      <c r="REG10" s="2234"/>
      <c r="REH10" s="2234"/>
      <c r="REI10" s="2234"/>
      <c r="REJ10" s="2234"/>
      <c r="REK10" s="2234"/>
      <c r="REL10" s="2234"/>
      <c r="REM10" s="2234"/>
      <c r="REN10" s="2234"/>
      <c r="REO10" s="2234"/>
      <c r="REP10" s="2234"/>
      <c r="REQ10" s="2234"/>
      <c r="RER10" s="2234"/>
      <c r="RES10" s="2234"/>
      <c r="RET10" s="2234"/>
      <c r="REU10" s="2234"/>
      <c r="REV10" s="2234"/>
      <c r="REW10" s="2234"/>
      <c r="REX10" s="2234"/>
      <c r="REY10" s="2234"/>
      <c r="REZ10" s="2234"/>
      <c r="RFA10" s="2234"/>
      <c r="RFB10" s="2234"/>
      <c r="RFC10" s="2234"/>
      <c r="RFD10" s="2234"/>
      <c r="RFE10" s="2234"/>
      <c r="RFF10" s="2234"/>
      <c r="RFG10" s="2234"/>
      <c r="RFH10" s="2234"/>
      <c r="RFI10" s="2234"/>
      <c r="RFJ10" s="2234"/>
      <c r="RFK10" s="2234"/>
      <c r="RFL10" s="2234"/>
      <c r="RFM10" s="2234"/>
      <c r="RFN10" s="2234"/>
      <c r="RFO10" s="2234"/>
      <c r="RFP10" s="2234"/>
      <c r="RFQ10" s="2234"/>
      <c r="RFR10" s="2234"/>
      <c r="RFS10" s="2234"/>
      <c r="RFT10" s="2234"/>
      <c r="RFU10" s="2234"/>
      <c r="RFV10" s="2234"/>
      <c r="RFW10" s="2234"/>
      <c r="RFX10" s="2234"/>
      <c r="RFY10" s="2234"/>
      <c r="RFZ10" s="2234"/>
      <c r="RGA10" s="2234"/>
      <c r="RGB10" s="2234"/>
      <c r="RGC10" s="2234"/>
      <c r="RGD10" s="2234"/>
      <c r="RGE10" s="2234"/>
      <c r="RGF10" s="2234"/>
      <c r="RGG10" s="2234"/>
      <c r="RGH10" s="2234"/>
      <c r="RGI10" s="2234"/>
      <c r="RGJ10" s="2234"/>
      <c r="RGK10" s="2234"/>
      <c r="RGL10" s="2234"/>
      <c r="RGM10" s="2234"/>
      <c r="RGN10" s="2234"/>
      <c r="RGO10" s="2234"/>
      <c r="RGP10" s="2234"/>
      <c r="RGQ10" s="2234"/>
      <c r="RGR10" s="2234"/>
      <c r="RGS10" s="2234"/>
      <c r="RGT10" s="2234"/>
      <c r="RGU10" s="2234"/>
      <c r="RGV10" s="2234"/>
      <c r="RGW10" s="2234"/>
      <c r="RGX10" s="2234"/>
      <c r="RGY10" s="2234"/>
      <c r="RGZ10" s="2234"/>
      <c r="RHA10" s="2234"/>
      <c r="RHB10" s="2234"/>
      <c r="RHC10" s="2234"/>
      <c r="RHD10" s="2234"/>
      <c r="RHE10" s="2234"/>
      <c r="RHF10" s="2234"/>
      <c r="RHG10" s="2234"/>
      <c r="RHH10" s="2234"/>
      <c r="RHI10" s="2234"/>
      <c r="RHJ10" s="2234"/>
      <c r="RHK10" s="2234"/>
      <c r="RHL10" s="2234"/>
      <c r="RHM10" s="2234"/>
      <c r="RHN10" s="2234"/>
      <c r="RHO10" s="2234"/>
      <c r="RHP10" s="2234"/>
      <c r="RHQ10" s="2234"/>
      <c r="RHR10" s="2234"/>
      <c r="RHS10" s="2234"/>
      <c r="RHT10" s="2234"/>
      <c r="RHU10" s="2234"/>
      <c r="RHV10" s="2234"/>
      <c r="RHW10" s="2234"/>
      <c r="RHX10" s="2234"/>
      <c r="RHY10" s="2234"/>
      <c r="RHZ10" s="2234"/>
      <c r="RIA10" s="2234"/>
      <c r="RIB10" s="2234"/>
      <c r="RIC10" s="2234"/>
      <c r="RID10" s="2234"/>
      <c r="RIE10" s="2234"/>
      <c r="RIF10" s="2234"/>
      <c r="RIG10" s="2234"/>
      <c r="RIH10" s="2234"/>
      <c r="RII10" s="2234"/>
      <c r="RIJ10" s="2234"/>
      <c r="RIK10" s="2234"/>
      <c r="RIL10" s="2234"/>
      <c r="RIM10" s="2234"/>
      <c r="RIN10" s="2234"/>
      <c r="RIO10" s="2234"/>
      <c r="RIP10" s="2234"/>
      <c r="RIQ10" s="2234"/>
      <c r="RIR10" s="2234"/>
      <c r="RIS10" s="2234"/>
      <c r="RIT10" s="2234"/>
      <c r="RIU10" s="2234"/>
      <c r="RIV10" s="2234"/>
      <c r="RIW10" s="2234"/>
      <c r="RIX10" s="2234"/>
      <c r="RIY10" s="2234"/>
      <c r="RIZ10" s="2234"/>
      <c r="RJA10" s="2234"/>
      <c r="RJB10" s="2234"/>
      <c r="RJC10" s="2234"/>
      <c r="RJD10" s="2234"/>
      <c r="RJE10" s="2234"/>
      <c r="RJF10" s="2234"/>
      <c r="RJG10" s="2234"/>
      <c r="RJH10" s="2234"/>
      <c r="RJI10" s="2234"/>
      <c r="RJJ10" s="2234"/>
      <c r="RJK10" s="2234"/>
      <c r="RJL10" s="2234"/>
      <c r="RJM10" s="2234"/>
      <c r="RJN10" s="2234"/>
      <c r="RJO10" s="2234"/>
      <c r="RJP10" s="2234"/>
      <c r="RJQ10" s="2234"/>
      <c r="RJR10" s="2234"/>
      <c r="RJS10" s="2234"/>
      <c r="RJT10" s="2234"/>
      <c r="RJU10" s="2234"/>
      <c r="RJV10" s="2234"/>
      <c r="RJW10" s="2234"/>
      <c r="RJX10" s="2234"/>
      <c r="RJY10" s="2234"/>
      <c r="RJZ10" s="2234"/>
      <c r="RKA10" s="2234"/>
      <c r="RKB10" s="2234"/>
      <c r="RKC10" s="2234"/>
      <c r="RKD10" s="2234"/>
      <c r="RKE10" s="2234"/>
      <c r="RKF10" s="2234"/>
      <c r="RKG10" s="2234"/>
      <c r="RKH10" s="2234"/>
      <c r="RKI10" s="2234"/>
      <c r="RKJ10" s="2234"/>
      <c r="RKK10" s="2234"/>
      <c r="RKL10" s="2234"/>
      <c r="RKM10" s="2234"/>
      <c r="RKN10" s="2234"/>
      <c r="RKO10" s="2234"/>
      <c r="RKP10" s="2234"/>
      <c r="RKQ10" s="2234"/>
      <c r="RKR10" s="2234"/>
      <c r="RKS10" s="2234"/>
      <c r="RKT10" s="2234"/>
      <c r="RKU10" s="2234"/>
      <c r="RKV10" s="2234"/>
      <c r="RKW10" s="2234"/>
      <c r="RKX10" s="2234"/>
      <c r="RKY10" s="2234"/>
      <c r="RKZ10" s="2234"/>
      <c r="RLA10" s="2234"/>
      <c r="RLB10" s="2234"/>
      <c r="RLC10" s="2234"/>
      <c r="RLD10" s="2234"/>
      <c r="RLE10" s="2234"/>
      <c r="RLF10" s="2234"/>
      <c r="RLG10" s="2234"/>
      <c r="RLH10" s="2234"/>
      <c r="RLI10" s="2234"/>
      <c r="RLJ10" s="2234"/>
      <c r="RLK10" s="2234"/>
      <c r="RLL10" s="2234"/>
      <c r="RLM10" s="2234"/>
      <c r="RLN10" s="2234"/>
      <c r="RLO10" s="2234"/>
      <c r="RLP10" s="2234"/>
      <c r="RLQ10" s="2234"/>
      <c r="RLR10" s="2234"/>
      <c r="RLS10" s="2234"/>
      <c r="RLT10" s="2234"/>
      <c r="RLU10" s="2234"/>
      <c r="RLV10" s="2234"/>
      <c r="RLW10" s="2234"/>
      <c r="RLX10" s="2234"/>
      <c r="RLY10" s="2234"/>
      <c r="RLZ10" s="2234"/>
      <c r="RMA10" s="2234"/>
      <c r="RMB10" s="2234"/>
      <c r="RMC10" s="2234"/>
      <c r="RMD10" s="2234"/>
      <c r="RME10" s="2234"/>
      <c r="RMF10" s="2234"/>
      <c r="RMG10" s="2234"/>
      <c r="RMH10" s="2234"/>
      <c r="RMI10" s="2234"/>
      <c r="RMJ10" s="2234"/>
      <c r="RMK10" s="2234"/>
      <c r="RML10" s="2234"/>
      <c r="RMM10" s="2234"/>
      <c r="RMN10" s="2234"/>
      <c r="RMO10" s="2234"/>
      <c r="RMP10" s="2234"/>
      <c r="RMQ10" s="2234"/>
      <c r="RMR10" s="2234"/>
      <c r="RMS10" s="2234"/>
      <c r="RMT10" s="2234"/>
      <c r="RMU10" s="2234"/>
      <c r="RMV10" s="2234"/>
      <c r="RMW10" s="2234"/>
      <c r="RMX10" s="2234"/>
      <c r="RMY10" s="2234"/>
      <c r="RMZ10" s="2234"/>
      <c r="RNA10" s="2234"/>
      <c r="RNB10" s="2234"/>
      <c r="RNC10" s="2234"/>
      <c r="RND10" s="2234"/>
      <c r="RNE10" s="2234"/>
      <c r="RNF10" s="2234"/>
      <c r="RNG10" s="2234"/>
      <c r="RNH10" s="2234"/>
      <c r="RNI10" s="2234"/>
      <c r="RNJ10" s="2234"/>
      <c r="RNK10" s="2234"/>
      <c r="RNL10" s="2234"/>
      <c r="RNM10" s="2234"/>
      <c r="RNN10" s="2234"/>
      <c r="RNO10" s="2234"/>
      <c r="RNP10" s="2234"/>
      <c r="RNQ10" s="2234"/>
      <c r="RNR10" s="2234"/>
      <c r="RNS10" s="2234"/>
      <c r="RNT10" s="2234"/>
      <c r="RNU10" s="2234"/>
      <c r="RNV10" s="2234"/>
      <c r="RNW10" s="2234"/>
      <c r="RNX10" s="2234"/>
      <c r="RNY10" s="2234"/>
      <c r="RNZ10" s="2234"/>
      <c r="ROA10" s="2234"/>
      <c r="ROB10" s="2234"/>
      <c r="ROC10" s="2234"/>
      <c r="ROD10" s="2234"/>
      <c r="ROE10" s="2234"/>
      <c r="ROF10" s="2234"/>
      <c r="ROG10" s="2234"/>
      <c r="ROH10" s="2234"/>
      <c r="ROI10" s="2234"/>
      <c r="ROJ10" s="2234"/>
      <c r="ROK10" s="2234"/>
      <c r="ROL10" s="2234"/>
      <c r="ROM10" s="2234"/>
      <c r="RON10" s="2234"/>
      <c r="ROO10" s="2234"/>
      <c r="ROP10" s="2234"/>
      <c r="ROQ10" s="2234"/>
      <c r="ROR10" s="2234"/>
      <c r="ROS10" s="2234"/>
      <c r="ROT10" s="2234"/>
      <c r="ROU10" s="2234"/>
      <c r="ROV10" s="2234"/>
      <c r="ROW10" s="2234"/>
      <c r="ROX10" s="2234"/>
      <c r="ROY10" s="2234"/>
      <c r="ROZ10" s="2234"/>
      <c r="RPA10" s="2234"/>
      <c r="RPB10" s="2234"/>
      <c r="RPC10" s="2234"/>
      <c r="RPD10" s="2234"/>
      <c r="RPE10" s="2234"/>
      <c r="RPF10" s="2234"/>
      <c r="RPG10" s="2234"/>
      <c r="RPH10" s="2234"/>
      <c r="RPI10" s="2234"/>
      <c r="RPJ10" s="2234"/>
      <c r="RPK10" s="2234"/>
      <c r="RPL10" s="2234"/>
      <c r="RPM10" s="2234"/>
      <c r="RPN10" s="2234"/>
      <c r="RPO10" s="2234"/>
      <c r="RPP10" s="2234"/>
      <c r="RPQ10" s="2234"/>
      <c r="RPR10" s="2234"/>
      <c r="RPS10" s="2234"/>
      <c r="RPT10" s="2234"/>
      <c r="RPU10" s="2234"/>
      <c r="RPV10" s="2234"/>
      <c r="RPW10" s="2234"/>
      <c r="RPX10" s="2234"/>
      <c r="RPY10" s="2234"/>
      <c r="RPZ10" s="2234"/>
      <c r="RQA10" s="2234"/>
      <c r="RQB10" s="2234"/>
      <c r="RQC10" s="2234"/>
      <c r="RQD10" s="2234"/>
      <c r="RQE10" s="2234"/>
      <c r="RQF10" s="2234"/>
      <c r="RQG10" s="2234"/>
      <c r="RQH10" s="2234"/>
      <c r="RQI10" s="2234"/>
      <c r="RQJ10" s="2234"/>
      <c r="RQK10" s="2234"/>
      <c r="RQL10" s="2234"/>
      <c r="RQM10" s="2234"/>
      <c r="RQN10" s="2234"/>
      <c r="RQO10" s="2234"/>
      <c r="RQP10" s="2234"/>
      <c r="RQQ10" s="2234"/>
      <c r="RQR10" s="2234"/>
      <c r="RQS10" s="2234"/>
      <c r="RQT10" s="2234"/>
      <c r="RQU10" s="2234"/>
      <c r="RQV10" s="2234"/>
      <c r="RQW10" s="2234"/>
      <c r="RQX10" s="2234"/>
      <c r="RQY10" s="2234"/>
      <c r="RQZ10" s="2234"/>
      <c r="RRA10" s="2234"/>
      <c r="RRB10" s="2234"/>
      <c r="RRC10" s="2234"/>
      <c r="RRD10" s="2234"/>
      <c r="RRE10" s="2234"/>
      <c r="RRF10" s="2234"/>
      <c r="RRG10" s="2234"/>
      <c r="RRH10" s="2234"/>
      <c r="RRI10" s="2234"/>
      <c r="RRJ10" s="2234"/>
      <c r="RRK10" s="2234"/>
      <c r="RRL10" s="2234"/>
      <c r="RRM10" s="2234"/>
      <c r="RRN10" s="2234"/>
      <c r="RRO10" s="2234"/>
      <c r="RRP10" s="2234"/>
      <c r="RRQ10" s="2234"/>
      <c r="RRR10" s="2234"/>
      <c r="RRS10" s="2234"/>
      <c r="RRT10" s="2234"/>
      <c r="RRU10" s="2234"/>
      <c r="RRV10" s="2234"/>
      <c r="RRW10" s="2234"/>
      <c r="RRX10" s="2234"/>
      <c r="RRY10" s="2234"/>
      <c r="RRZ10" s="2234"/>
      <c r="RSA10" s="2234"/>
      <c r="RSB10" s="2234"/>
      <c r="RSC10" s="2234"/>
      <c r="RSD10" s="2234"/>
      <c r="RSE10" s="2234"/>
      <c r="RSF10" s="2234"/>
      <c r="RSG10" s="2234"/>
      <c r="RSH10" s="2234"/>
      <c r="RSI10" s="2234"/>
      <c r="RSJ10" s="2234"/>
      <c r="RSK10" s="2234"/>
      <c r="RSL10" s="2234"/>
      <c r="RSM10" s="2234"/>
      <c r="RSN10" s="2234"/>
      <c r="RSO10" s="2234"/>
      <c r="RSP10" s="2234"/>
      <c r="RSQ10" s="2234"/>
      <c r="RSR10" s="2234"/>
      <c r="RSS10" s="2234"/>
      <c r="RST10" s="2234"/>
      <c r="RSU10" s="2234"/>
      <c r="RSV10" s="2234"/>
      <c r="RSW10" s="2234"/>
      <c r="RSX10" s="2234"/>
      <c r="RSY10" s="2234"/>
      <c r="RSZ10" s="2234"/>
      <c r="RTA10" s="2234"/>
      <c r="RTB10" s="2234"/>
      <c r="RTC10" s="2234"/>
      <c r="RTD10" s="2234"/>
      <c r="RTE10" s="2234"/>
      <c r="RTF10" s="2234"/>
      <c r="RTG10" s="2234"/>
      <c r="RTH10" s="2234"/>
      <c r="RTI10" s="2234"/>
      <c r="RTJ10" s="2234"/>
      <c r="RTK10" s="2234"/>
      <c r="RTL10" s="2234"/>
      <c r="RTM10" s="2234"/>
      <c r="RTN10" s="2234"/>
      <c r="RTO10" s="2234"/>
      <c r="RTP10" s="2234"/>
      <c r="RTQ10" s="2234"/>
      <c r="RTR10" s="2234"/>
      <c r="RTS10" s="2234"/>
      <c r="RTT10" s="2234"/>
      <c r="RTU10" s="2234"/>
      <c r="RTV10" s="2234"/>
      <c r="RTW10" s="2234"/>
      <c r="RTX10" s="2234"/>
      <c r="RTY10" s="2234"/>
      <c r="RTZ10" s="2234"/>
      <c r="RUA10" s="2234"/>
      <c r="RUB10" s="2234"/>
      <c r="RUC10" s="2234"/>
      <c r="RUD10" s="2234"/>
      <c r="RUE10" s="2234"/>
      <c r="RUF10" s="2234"/>
      <c r="RUG10" s="2234"/>
      <c r="RUH10" s="2234"/>
      <c r="RUI10" s="2234"/>
      <c r="RUJ10" s="2234"/>
      <c r="RUK10" s="2234"/>
      <c r="RUL10" s="2234"/>
      <c r="RUM10" s="2234"/>
      <c r="RUN10" s="2234"/>
      <c r="RUO10" s="2234"/>
      <c r="RUP10" s="2234"/>
      <c r="RUQ10" s="2234"/>
      <c r="RUR10" s="2234"/>
      <c r="RUS10" s="2234"/>
      <c r="RUT10" s="2234"/>
      <c r="RUU10" s="2234"/>
      <c r="RUV10" s="2234"/>
      <c r="RUW10" s="2234"/>
      <c r="RUX10" s="2234"/>
      <c r="RUY10" s="2234"/>
      <c r="RUZ10" s="2234"/>
      <c r="RVA10" s="2234"/>
      <c r="RVB10" s="2234"/>
      <c r="RVC10" s="2234"/>
      <c r="RVD10" s="2234"/>
      <c r="RVE10" s="2234"/>
      <c r="RVF10" s="2234"/>
      <c r="RVG10" s="2234"/>
      <c r="RVH10" s="2234"/>
      <c r="RVI10" s="2234"/>
      <c r="RVJ10" s="2234"/>
      <c r="RVK10" s="2234"/>
      <c r="RVL10" s="2234"/>
      <c r="RVM10" s="2234"/>
      <c r="RVN10" s="2234"/>
      <c r="RVO10" s="2234"/>
      <c r="RVP10" s="2234"/>
      <c r="RVQ10" s="2234"/>
      <c r="RVR10" s="2234"/>
      <c r="RVS10" s="2234"/>
      <c r="RVT10" s="2234"/>
      <c r="RVU10" s="2234"/>
      <c r="RVV10" s="2234"/>
      <c r="RVW10" s="2234"/>
      <c r="RVX10" s="2234"/>
      <c r="RVY10" s="2234"/>
      <c r="RVZ10" s="2234"/>
      <c r="RWA10" s="2234"/>
      <c r="RWB10" s="2234"/>
      <c r="RWC10" s="2234"/>
      <c r="RWD10" s="2234"/>
      <c r="RWE10" s="2234"/>
      <c r="RWF10" s="2234"/>
      <c r="RWG10" s="2234"/>
      <c r="RWH10" s="2234"/>
      <c r="RWI10" s="2234"/>
      <c r="RWJ10" s="2234"/>
      <c r="RWK10" s="2234"/>
      <c r="RWL10" s="2234"/>
      <c r="RWM10" s="2234"/>
      <c r="RWN10" s="2234"/>
      <c r="RWO10" s="2234"/>
      <c r="RWP10" s="2234"/>
      <c r="RWQ10" s="2234"/>
      <c r="RWR10" s="2234"/>
      <c r="RWS10" s="2234"/>
      <c r="RWT10" s="2234"/>
      <c r="RWU10" s="2234"/>
      <c r="RWV10" s="2234"/>
      <c r="RWW10" s="2234"/>
      <c r="RWX10" s="2234"/>
      <c r="RWY10" s="2234"/>
      <c r="RWZ10" s="2234"/>
      <c r="RXA10" s="2234"/>
      <c r="RXB10" s="2234"/>
      <c r="RXC10" s="2234"/>
      <c r="RXD10" s="2234"/>
      <c r="RXE10" s="2234"/>
      <c r="RXF10" s="2234"/>
      <c r="RXG10" s="2234"/>
      <c r="RXH10" s="2234"/>
      <c r="RXI10" s="2234"/>
      <c r="RXJ10" s="2234"/>
      <c r="RXK10" s="2234"/>
      <c r="RXL10" s="2234"/>
      <c r="RXM10" s="2234"/>
      <c r="RXN10" s="2234"/>
      <c r="RXO10" s="2234"/>
      <c r="RXP10" s="2234"/>
      <c r="RXQ10" s="2234"/>
      <c r="RXR10" s="2234"/>
      <c r="RXS10" s="2234"/>
      <c r="RXT10" s="2234"/>
      <c r="RXU10" s="2234"/>
      <c r="RXV10" s="2234"/>
      <c r="RXW10" s="2234"/>
      <c r="RXX10" s="2234"/>
      <c r="RXY10" s="2234"/>
      <c r="RXZ10" s="2234"/>
      <c r="RYA10" s="2234"/>
      <c r="RYB10" s="2234"/>
      <c r="RYC10" s="2234"/>
      <c r="RYD10" s="2234"/>
      <c r="RYE10" s="2234"/>
      <c r="RYF10" s="2234"/>
      <c r="RYG10" s="2234"/>
      <c r="RYH10" s="2234"/>
      <c r="RYI10" s="2234"/>
      <c r="RYJ10" s="2234"/>
      <c r="RYK10" s="2234"/>
      <c r="RYL10" s="2234"/>
      <c r="RYM10" s="2234"/>
      <c r="RYN10" s="2234"/>
      <c r="RYO10" s="2234"/>
      <c r="RYP10" s="2234"/>
      <c r="RYQ10" s="2234"/>
      <c r="RYR10" s="2234"/>
      <c r="RYS10" s="2234"/>
      <c r="RYT10" s="2234"/>
      <c r="RYU10" s="2234"/>
      <c r="RYV10" s="2234"/>
      <c r="RYW10" s="2234"/>
      <c r="RYX10" s="2234"/>
      <c r="RYY10" s="2234"/>
      <c r="RYZ10" s="2234"/>
      <c r="RZA10" s="2234"/>
      <c r="RZB10" s="2234"/>
      <c r="RZC10" s="2234"/>
      <c r="RZD10" s="2234"/>
      <c r="RZE10" s="2234"/>
      <c r="RZF10" s="2234"/>
      <c r="RZG10" s="2234"/>
      <c r="RZH10" s="2234"/>
      <c r="RZI10" s="2234"/>
      <c r="RZJ10" s="2234"/>
      <c r="RZK10" s="2234"/>
      <c r="RZL10" s="2234"/>
      <c r="RZM10" s="2234"/>
      <c r="RZN10" s="2234"/>
      <c r="RZO10" s="2234"/>
      <c r="RZP10" s="2234"/>
      <c r="RZQ10" s="2234"/>
      <c r="RZR10" s="2234"/>
      <c r="RZS10" s="2234"/>
      <c r="RZT10" s="2234"/>
      <c r="RZU10" s="2234"/>
      <c r="RZV10" s="2234"/>
      <c r="RZW10" s="2234"/>
      <c r="RZX10" s="2234"/>
      <c r="RZY10" s="2234"/>
      <c r="RZZ10" s="2234"/>
      <c r="SAA10" s="2234"/>
      <c r="SAB10" s="2234"/>
      <c r="SAC10" s="2234"/>
      <c r="SAD10" s="2234"/>
      <c r="SAE10" s="2234"/>
      <c r="SAF10" s="2234"/>
      <c r="SAG10" s="2234"/>
      <c r="SAH10" s="2234"/>
      <c r="SAI10" s="2234"/>
      <c r="SAJ10" s="2234"/>
      <c r="SAK10" s="2234"/>
      <c r="SAL10" s="2234"/>
      <c r="SAM10" s="2234"/>
      <c r="SAN10" s="2234"/>
      <c r="SAO10" s="2234"/>
      <c r="SAP10" s="2234"/>
      <c r="SAQ10" s="2234"/>
      <c r="SAR10" s="2234"/>
      <c r="SAS10" s="2234"/>
      <c r="SAT10" s="2234"/>
      <c r="SAU10" s="2234"/>
      <c r="SAV10" s="2234"/>
      <c r="SAW10" s="2234"/>
      <c r="SAX10" s="2234"/>
      <c r="SAY10" s="2234"/>
      <c r="SAZ10" s="2234"/>
      <c r="SBA10" s="2234"/>
      <c r="SBB10" s="2234"/>
      <c r="SBC10" s="2234"/>
      <c r="SBD10" s="2234"/>
      <c r="SBE10" s="2234"/>
      <c r="SBF10" s="2234"/>
      <c r="SBG10" s="2234"/>
      <c r="SBH10" s="2234"/>
      <c r="SBI10" s="2234"/>
      <c r="SBJ10" s="2234"/>
      <c r="SBK10" s="2234"/>
      <c r="SBL10" s="2234"/>
      <c r="SBM10" s="2234"/>
      <c r="SBN10" s="2234"/>
      <c r="SBO10" s="2234"/>
      <c r="SBP10" s="2234"/>
      <c r="SBQ10" s="2234"/>
      <c r="SBR10" s="2234"/>
      <c r="SBS10" s="2234"/>
      <c r="SBT10" s="2234"/>
      <c r="SBU10" s="2234"/>
      <c r="SBV10" s="2234"/>
      <c r="SBW10" s="2234"/>
      <c r="SBX10" s="2234"/>
      <c r="SBY10" s="2234"/>
      <c r="SBZ10" s="2234"/>
      <c r="SCA10" s="2234"/>
      <c r="SCB10" s="2234"/>
      <c r="SCC10" s="2234"/>
      <c r="SCD10" s="2234"/>
      <c r="SCE10" s="2234"/>
      <c r="SCF10" s="2234"/>
      <c r="SCG10" s="2234"/>
      <c r="SCH10" s="2234"/>
      <c r="SCI10" s="2234"/>
      <c r="SCJ10" s="2234"/>
      <c r="SCK10" s="2234"/>
      <c r="SCL10" s="2234"/>
      <c r="SCM10" s="2234"/>
      <c r="SCN10" s="2234"/>
      <c r="SCO10" s="2234"/>
      <c r="SCP10" s="2234"/>
      <c r="SCQ10" s="2234"/>
      <c r="SCR10" s="2234"/>
      <c r="SCS10" s="2234"/>
      <c r="SCT10" s="2234"/>
      <c r="SCU10" s="2234"/>
      <c r="SCV10" s="2234"/>
      <c r="SCW10" s="2234"/>
      <c r="SCX10" s="2234"/>
      <c r="SCY10" s="2234"/>
      <c r="SCZ10" s="2234"/>
      <c r="SDA10" s="2234"/>
      <c r="SDB10" s="2234"/>
      <c r="SDC10" s="2234"/>
      <c r="SDD10" s="2234"/>
      <c r="SDE10" s="2234"/>
      <c r="SDF10" s="2234"/>
      <c r="SDG10" s="2234"/>
      <c r="SDH10" s="2234"/>
      <c r="SDI10" s="2234"/>
      <c r="SDJ10" s="2234"/>
      <c r="SDK10" s="2234"/>
      <c r="SDL10" s="2234"/>
      <c r="SDM10" s="2234"/>
      <c r="SDN10" s="2234"/>
      <c r="SDO10" s="2234"/>
      <c r="SDP10" s="2234"/>
      <c r="SDQ10" s="2234"/>
      <c r="SDR10" s="2234"/>
      <c r="SDS10" s="2234"/>
      <c r="SDT10" s="2234"/>
      <c r="SDU10" s="2234"/>
      <c r="SDV10" s="2234"/>
      <c r="SDW10" s="2234"/>
      <c r="SDX10" s="2234"/>
      <c r="SDY10" s="2234"/>
      <c r="SDZ10" s="2234"/>
      <c r="SEA10" s="2234"/>
      <c r="SEB10" s="2234"/>
      <c r="SEC10" s="2234"/>
      <c r="SED10" s="2234"/>
      <c r="SEE10" s="2234"/>
      <c r="SEF10" s="2234"/>
      <c r="SEG10" s="2234"/>
      <c r="SEH10" s="2234"/>
      <c r="SEI10" s="2234"/>
      <c r="SEJ10" s="2234"/>
      <c r="SEK10" s="2234"/>
      <c r="SEL10" s="2234"/>
      <c r="SEM10" s="2234"/>
      <c r="SEN10" s="2234"/>
      <c r="SEO10" s="2234"/>
      <c r="SEP10" s="2234"/>
      <c r="SEQ10" s="2234"/>
      <c r="SER10" s="2234"/>
      <c r="SES10" s="2234"/>
      <c r="SET10" s="2234"/>
      <c r="SEU10" s="2234"/>
      <c r="SEV10" s="2234"/>
      <c r="SEW10" s="2234"/>
      <c r="SEX10" s="2234"/>
      <c r="SEY10" s="2234"/>
      <c r="SEZ10" s="2234"/>
      <c r="SFA10" s="2234"/>
      <c r="SFB10" s="2234"/>
      <c r="SFC10" s="2234"/>
      <c r="SFD10" s="2234"/>
      <c r="SFE10" s="2234"/>
      <c r="SFF10" s="2234"/>
      <c r="SFG10" s="2234"/>
      <c r="SFH10" s="2234"/>
      <c r="SFI10" s="2234"/>
      <c r="SFJ10" s="2234"/>
      <c r="SFK10" s="2234"/>
      <c r="SFL10" s="2234"/>
      <c r="SFM10" s="2234"/>
      <c r="SFN10" s="2234"/>
      <c r="SFO10" s="2234"/>
      <c r="SFP10" s="2234"/>
      <c r="SFQ10" s="2234"/>
      <c r="SFR10" s="2234"/>
      <c r="SFS10" s="2234"/>
      <c r="SFT10" s="2234"/>
      <c r="SFU10" s="2234"/>
      <c r="SFV10" s="2234"/>
      <c r="SFW10" s="2234"/>
      <c r="SFX10" s="2234"/>
      <c r="SFY10" s="2234"/>
      <c r="SFZ10" s="2234"/>
      <c r="SGA10" s="2234"/>
      <c r="SGB10" s="2234"/>
      <c r="SGC10" s="2234"/>
      <c r="SGD10" s="2234"/>
      <c r="SGE10" s="2234"/>
      <c r="SGF10" s="2234"/>
      <c r="SGG10" s="2234"/>
      <c r="SGH10" s="2234"/>
      <c r="SGI10" s="2234"/>
      <c r="SGJ10" s="2234"/>
      <c r="SGK10" s="2234"/>
      <c r="SGL10" s="2234"/>
      <c r="SGM10" s="2234"/>
      <c r="SGN10" s="2234"/>
      <c r="SGO10" s="2234"/>
      <c r="SGP10" s="2234"/>
      <c r="SGQ10" s="2234"/>
      <c r="SGR10" s="2234"/>
      <c r="SGS10" s="2234"/>
      <c r="SGT10" s="2234"/>
      <c r="SGU10" s="2234"/>
      <c r="SGV10" s="2234"/>
      <c r="SGW10" s="2234"/>
      <c r="SGX10" s="2234"/>
      <c r="SGY10" s="2234"/>
      <c r="SGZ10" s="2234"/>
      <c r="SHA10" s="2234"/>
      <c r="SHB10" s="2234"/>
      <c r="SHC10" s="2234"/>
      <c r="SHD10" s="2234"/>
      <c r="SHE10" s="2234"/>
      <c r="SHF10" s="2234"/>
      <c r="SHG10" s="2234"/>
      <c r="SHH10" s="2234"/>
      <c r="SHI10" s="2234"/>
      <c r="SHJ10" s="2234"/>
      <c r="SHK10" s="2234"/>
      <c r="SHL10" s="2234"/>
      <c r="SHM10" s="2234"/>
      <c r="SHN10" s="2234"/>
      <c r="SHO10" s="2234"/>
      <c r="SHP10" s="2234"/>
      <c r="SHQ10" s="2234"/>
      <c r="SHR10" s="2234"/>
      <c r="SHS10" s="2234"/>
      <c r="SHT10" s="2234"/>
      <c r="SHU10" s="2234"/>
      <c r="SHV10" s="2234"/>
      <c r="SHW10" s="2234"/>
      <c r="SHX10" s="2234"/>
      <c r="SHY10" s="2234"/>
      <c r="SHZ10" s="2234"/>
      <c r="SIA10" s="2234"/>
      <c r="SIB10" s="2234"/>
      <c r="SIC10" s="2234"/>
      <c r="SID10" s="2234"/>
      <c r="SIE10" s="2234"/>
      <c r="SIF10" s="2234"/>
      <c r="SIG10" s="2234"/>
      <c r="SIH10" s="2234"/>
      <c r="SII10" s="2234"/>
      <c r="SIJ10" s="2234"/>
      <c r="SIK10" s="2234"/>
      <c r="SIL10" s="2234"/>
      <c r="SIM10" s="2234"/>
      <c r="SIN10" s="2234"/>
      <c r="SIO10" s="2234"/>
      <c r="SIP10" s="2234"/>
      <c r="SIQ10" s="2234"/>
      <c r="SIR10" s="2234"/>
      <c r="SIS10" s="2234"/>
      <c r="SIT10" s="2234"/>
      <c r="SIU10" s="2234"/>
      <c r="SIV10" s="2234"/>
      <c r="SIW10" s="2234"/>
      <c r="SIX10" s="2234"/>
      <c r="SIY10" s="2234"/>
      <c r="SIZ10" s="2234"/>
      <c r="SJA10" s="2234"/>
      <c r="SJB10" s="2234"/>
      <c r="SJC10" s="2234"/>
      <c r="SJD10" s="2234"/>
      <c r="SJE10" s="2234"/>
      <c r="SJF10" s="2234"/>
      <c r="SJG10" s="2234"/>
      <c r="SJH10" s="2234"/>
      <c r="SJI10" s="2234"/>
      <c r="SJJ10" s="2234"/>
      <c r="SJK10" s="2234"/>
      <c r="SJL10" s="2234"/>
      <c r="SJM10" s="2234"/>
      <c r="SJN10" s="2234"/>
      <c r="SJO10" s="2234"/>
      <c r="SJP10" s="2234"/>
      <c r="SJQ10" s="2234"/>
      <c r="SJR10" s="2234"/>
      <c r="SJS10" s="2234"/>
      <c r="SJT10" s="2234"/>
      <c r="SJU10" s="2234"/>
      <c r="SJV10" s="2234"/>
      <c r="SJW10" s="2234"/>
      <c r="SJX10" s="2234"/>
      <c r="SJY10" s="2234"/>
      <c r="SJZ10" s="2234"/>
      <c r="SKA10" s="2234"/>
      <c r="SKB10" s="2234"/>
      <c r="SKC10" s="2234"/>
      <c r="SKD10" s="2234"/>
      <c r="SKE10" s="2234"/>
      <c r="SKF10" s="2234"/>
      <c r="SKG10" s="2234"/>
      <c r="SKH10" s="2234"/>
      <c r="SKI10" s="2234"/>
      <c r="SKJ10" s="2234"/>
      <c r="SKK10" s="2234"/>
      <c r="SKL10" s="2234"/>
      <c r="SKM10" s="2234"/>
      <c r="SKN10" s="2234"/>
      <c r="SKO10" s="2234"/>
      <c r="SKP10" s="2234"/>
      <c r="SKQ10" s="2234"/>
      <c r="SKR10" s="2234"/>
      <c r="SKS10" s="2234"/>
      <c r="SKT10" s="2234"/>
      <c r="SKU10" s="2234"/>
      <c r="SKV10" s="2234"/>
      <c r="SKW10" s="2234"/>
      <c r="SKX10" s="2234"/>
      <c r="SKY10" s="2234"/>
      <c r="SKZ10" s="2234"/>
      <c r="SLA10" s="2234"/>
      <c r="SLB10" s="2234"/>
      <c r="SLC10" s="2234"/>
      <c r="SLD10" s="2234"/>
      <c r="SLE10" s="2234"/>
      <c r="SLF10" s="2234"/>
      <c r="SLG10" s="2234"/>
      <c r="SLH10" s="2234"/>
      <c r="SLI10" s="2234"/>
      <c r="SLJ10" s="2234"/>
      <c r="SLK10" s="2234"/>
      <c r="SLL10" s="2234"/>
      <c r="SLM10" s="2234"/>
      <c r="SLN10" s="2234"/>
      <c r="SLO10" s="2234"/>
      <c r="SLP10" s="2234"/>
      <c r="SLQ10" s="2234"/>
      <c r="SLR10" s="2234"/>
      <c r="SLS10" s="2234"/>
      <c r="SLT10" s="2234"/>
      <c r="SLU10" s="2234"/>
      <c r="SLV10" s="2234"/>
      <c r="SLW10" s="2234"/>
      <c r="SLX10" s="2234"/>
      <c r="SLY10" s="2234"/>
      <c r="SLZ10" s="2234"/>
      <c r="SMA10" s="2234"/>
      <c r="SMB10" s="2234"/>
      <c r="SMC10" s="2234"/>
      <c r="SMD10" s="2234"/>
      <c r="SME10" s="2234"/>
      <c r="SMF10" s="2234"/>
      <c r="SMG10" s="2234"/>
      <c r="SMH10" s="2234"/>
      <c r="SMI10" s="2234"/>
      <c r="SMJ10" s="2234"/>
      <c r="SMK10" s="2234"/>
      <c r="SML10" s="2234"/>
      <c r="SMM10" s="2234"/>
      <c r="SMN10" s="2234"/>
      <c r="SMO10" s="2234"/>
      <c r="SMP10" s="2234"/>
      <c r="SMQ10" s="2234"/>
      <c r="SMR10" s="2234"/>
      <c r="SMS10" s="2234"/>
      <c r="SMT10" s="2234"/>
      <c r="SMU10" s="2234"/>
      <c r="SMV10" s="2234"/>
      <c r="SMW10" s="2234"/>
      <c r="SMX10" s="2234"/>
      <c r="SMY10" s="2234"/>
      <c r="SMZ10" s="2234"/>
      <c r="SNA10" s="2234"/>
      <c r="SNB10" s="2234"/>
      <c r="SNC10" s="2234"/>
      <c r="SND10" s="2234"/>
      <c r="SNE10" s="2234"/>
      <c r="SNF10" s="2234"/>
      <c r="SNG10" s="2234"/>
      <c r="SNH10" s="2234"/>
      <c r="SNI10" s="2234"/>
      <c r="SNJ10" s="2234"/>
      <c r="SNK10" s="2234"/>
      <c r="SNL10" s="2234"/>
      <c r="SNM10" s="2234"/>
      <c r="SNN10" s="2234"/>
      <c r="SNO10" s="2234"/>
      <c r="SNP10" s="2234"/>
      <c r="SNQ10" s="2234"/>
      <c r="SNR10" s="2234"/>
      <c r="SNS10" s="2234"/>
      <c r="SNT10" s="2234"/>
      <c r="SNU10" s="2234"/>
      <c r="SNV10" s="2234"/>
      <c r="SNW10" s="2234"/>
      <c r="SNX10" s="2234"/>
      <c r="SNY10" s="2234"/>
      <c r="SNZ10" s="2234"/>
      <c r="SOA10" s="2234"/>
      <c r="SOB10" s="2234"/>
      <c r="SOC10" s="2234"/>
      <c r="SOD10" s="2234"/>
      <c r="SOE10" s="2234"/>
      <c r="SOF10" s="2234"/>
      <c r="SOG10" s="2234"/>
      <c r="SOH10" s="2234"/>
      <c r="SOI10" s="2234"/>
      <c r="SOJ10" s="2234"/>
      <c r="SOK10" s="2234"/>
      <c r="SOL10" s="2234"/>
      <c r="SOM10" s="2234"/>
      <c r="SON10" s="2234"/>
      <c r="SOO10" s="2234"/>
      <c r="SOP10" s="2234"/>
      <c r="SOQ10" s="2234"/>
      <c r="SOR10" s="2234"/>
      <c r="SOS10" s="2234"/>
      <c r="SOT10" s="2234"/>
      <c r="SOU10" s="2234"/>
      <c r="SOV10" s="2234"/>
      <c r="SOW10" s="2234"/>
      <c r="SOX10" s="2234"/>
      <c r="SOY10" s="2234"/>
      <c r="SOZ10" s="2234"/>
      <c r="SPA10" s="2234"/>
      <c r="SPB10" s="2234"/>
      <c r="SPC10" s="2234"/>
      <c r="SPD10" s="2234"/>
      <c r="SPE10" s="2234"/>
      <c r="SPF10" s="2234"/>
      <c r="SPG10" s="2234"/>
      <c r="SPH10" s="2234"/>
      <c r="SPI10" s="2234"/>
      <c r="SPJ10" s="2234"/>
      <c r="SPK10" s="2234"/>
      <c r="SPL10" s="2234"/>
      <c r="SPM10" s="2234"/>
      <c r="SPN10" s="2234"/>
      <c r="SPO10" s="2234"/>
      <c r="SPP10" s="2234"/>
      <c r="SPQ10" s="2234"/>
      <c r="SPR10" s="2234"/>
      <c r="SPS10" s="2234"/>
      <c r="SPT10" s="2234"/>
      <c r="SPU10" s="2234"/>
      <c r="SPV10" s="2234"/>
      <c r="SPW10" s="2234"/>
      <c r="SPX10" s="2234"/>
      <c r="SPY10" s="2234"/>
      <c r="SPZ10" s="2234"/>
      <c r="SQA10" s="2234"/>
      <c r="SQB10" s="2234"/>
      <c r="SQC10" s="2234"/>
      <c r="SQD10" s="2234"/>
      <c r="SQE10" s="2234"/>
      <c r="SQF10" s="2234"/>
      <c r="SQG10" s="2234"/>
      <c r="SQH10" s="2234"/>
      <c r="SQI10" s="2234"/>
      <c r="SQJ10" s="2234"/>
      <c r="SQK10" s="2234"/>
      <c r="SQL10" s="2234"/>
      <c r="SQM10" s="2234"/>
      <c r="SQN10" s="2234"/>
      <c r="SQO10" s="2234"/>
      <c r="SQP10" s="2234"/>
      <c r="SQQ10" s="2234"/>
      <c r="SQR10" s="2234"/>
      <c r="SQS10" s="2234"/>
      <c r="SQT10" s="2234"/>
      <c r="SQU10" s="2234"/>
      <c r="SQV10" s="2234"/>
      <c r="SQW10" s="2234"/>
      <c r="SQX10" s="2234"/>
      <c r="SQY10" s="2234"/>
      <c r="SQZ10" s="2234"/>
      <c r="SRA10" s="2234"/>
      <c r="SRB10" s="2234"/>
      <c r="SRC10" s="2234"/>
      <c r="SRD10" s="2234"/>
      <c r="SRE10" s="2234"/>
      <c r="SRF10" s="2234"/>
      <c r="SRG10" s="2234"/>
      <c r="SRH10" s="2234"/>
      <c r="SRI10" s="2234"/>
      <c r="SRJ10" s="2234"/>
      <c r="SRK10" s="2234"/>
      <c r="SRL10" s="2234"/>
      <c r="SRM10" s="2234"/>
      <c r="SRN10" s="2234"/>
      <c r="SRO10" s="2234"/>
      <c r="SRP10" s="2234"/>
      <c r="SRQ10" s="2234"/>
      <c r="SRR10" s="2234"/>
      <c r="SRS10" s="2234"/>
      <c r="SRT10" s="2234"/>
      <c r="SRU10" s="2234"/>
      <c r="SRV10" s="2234"/>
      <c r="SRW10" s="2234"/>
      <c r="SRX10" s="2234"/>
      <c r="SRY10" s="2234"/>
      <c r="SRZ10" s="2234"/>
      <c r="SSA10" s="2234"/>
      <c r="SSB10" s="2234"/>
      <c r="SSC10" s="2234"/>
      <c r="SSD10" s="2234"/>
      <c r="SSE10" s="2234"/>
      <c r="SSF10" s="2234"/>
      <c r="SSG10" s="2234"/>
      <c r="SSH10" s="2234"/>
      <c r="SSI10" s="2234"/>
      <c r="SSJ10" s="2234"/>
      <c r="SSK10" s="2234"/>
      <c r="SSL10" s="2234"/>
      <c r="SSM10" s="2234"/>
      <c r="SSN10" s="2234"/>
      <c r="SSO10" s="2234"/>
      <c r="SSP10" s="2234"/>
      <c r="SSQ10" s="2234"/>
      <c r="SSR10" s="2234"/>
      <c r="SSS10" s="2234"/>
      <c r="SST10" s="2234"/>
      <c r="SSU10" s="2234"/>
      <c r="SSV10" s="2234"/>
      <c r="SSW10" s="2234"/>
      <c r="SSX10" s="2234"/>
      <c r="SSY10" s="2234"/>
      <c r="SSZ10" s="2234"/>
      <c r="STA10" s="2234"/>
      <c r="STB10" s="2234"/>
      <c r="STC10" s="2234"/>
      <c r="STD10" s="2234"/>
      <c r="STE10" s="2234"/>
      <c r="STF10" s="2234"/>
      <c r="STG10" s="2234"/>
      <c r="STH10" s="2234"/>
      <c r="STI10" s="2234"/>
      <c r="STJ10" s="2234"/>
      <c r="STK10" s="2234"/>
      <c r="STL10" s="2234"/>
      <c r="STM10" s="2234"/>
      <c r="STN10" s="2234"/>
      <c r="STO10" s="2234"/>
      <c r="STP10" s="2234"/>
      <c r="STQ10" s="2234"/>
      <c r="STR10" s="2234"/>
      <c r="STS10" s="2234"/>
      <c r="STT10" s="2234"/>
      <c r="STU10" s="2234"/>
      <c r="STV10" s="2234"/>
      <c r="STW10" s="2234"/>
      <c r="STX10" s="2234"/>
      <c r="STY10" s="2234"/>
      <c r="STZ10" s="2234"/>
      <c r="SUA10" s="2234"/>
      <c r="SUB10" s="2234"/>
      <c r="SUC10" s="2234"/>
      <c r="SUD10" s="2234"/>
      <c r="SUE10" s="2234"/>
      <c r="SUF10" s="2234"/>
      <c r="SUG10" s="2234"/>
      <c r="SUH10" s="2234"/>
      <c r="SUI10" s="2234"/>
      <c r="SUJ10" s="2234"/>
      <c r="SUK10" s="2234"/>
      <c r="SUL10" s="2234"/>
      <c r="SUM10" s="2234"/>
      <c r="SUN10" s="2234"/>
      <c r="SUO10" s="2234"/>
      <c r="SUP10" s="2234"/>
      <c r="SUQ10" s="2234"/>
      <c r="SUR10" s="2234"/>
      <c r="SUS10" s="2234"/>
      <c r="SUT10" s="2234"/>
      <c r="SUU10" s="2234"/>
      <c r="SUV10" s="2234"/>
      <c r="SUW10" s="2234"/>
      <c r="SUX10" s="2234"/>
      <c r="SUY10" s="2234"/>
      <c r="SUZ10" s="2234"/>
      <c r="SVA10" s="2234"/>
      <c r="SVB10" s="2234"/>
      <c r="SVC10" s="2234"/>
      <c r="SVD10" s="2234"/>
      <c r="SVE10" s="2234"/>
      <c r="SVF10" s="2234"/>
      <c r="SVG10" s="2234"/>
      <c r="SVH10" s="2234"/>
      <c r="SVI10" s="2234"/>
      <c r="SVJ10" s="2234"/>
      <c r="SVK10" s="2234"/>
      <c r="SVL10" s="2234"/>
      <c r="SVM10" s="2234"/>
      <c r="SVN10" s="2234"/>
      <c r="SVO10" s="2234"/>
      <c r="SVP10" s="2234"/>
      <c r="SVQ10" s="2234"/>
      <c r="SVR10" s="2234"/>
      <c r="SVS10" s="2234"/>
      <c r="SVT10" s="2234"/>
      <c r="SVU10" s="2234"/>
      <c r="SVV10" s="2234"/>
      <c r="SVW10" s="2234"/>
      <c r="SVX10" s="2234"/>
      <c r="SVY10" s="2234"/>
      <c r="SVZ10" s="2234"/>
      <c r="SWA10" s="2234"/>
      <c r="SWB10" s="2234"/>
      <c r="SWC10" s="2234"/>
      <c r="SWD10" s="2234"/>
      <c r="SWE10" s="2234"/>
      <c r="SWF10" s="2234"/>
      <c r="SWG10" s="2234"/>
      <c r="SWH10" s="2234"/>
      <c r="SWI10" s="2234"/>
      <c r="SWJ10" s="2234"/>
      <c r="SWK10" s="2234"/>
      <c r="SWL10" s="2234"/>
      <c r="SWM10" s="2234"/>
      <c r="SWN10" s="2234"/>
      <c r="SWO10" s="2234"/>
      <c r="SWP10" s="2234"/>
      <c r="SWQ10" s="2234"/>
      <c r="SWR10" s="2234"/>
      <c r="SWS10" s="2234"/>
      <c r="SWT10" s="2234"/>
      <c r="SWU10" s="2234"/>
      <c r="SWV10" s="2234"/>
      <c r="SWW10" s="2234"/>
      <c r="SWX10" s="2234"/>
      <c r="SWY10" s="2234"/>
      <c r="SWZ10" s="2234"/>
      <c r="SXA10" s="2234"/>
      <c r="SXB10" s="2234"/>
      <c r="SXC10" s="2234"/>
      <c r="SXD10" s="2234"/>
      <c r="SXE10" s="2234"/>
      <c r="SXF10" s="2234"/>
      <c r="SXG10" s="2234"/>
      <c r="SXH10" s="2234"/>
      <c r="SXI10" s="2234"/>
      <c r="SXJ10" s="2234"/>
      <c r="SXK10" s="2234"/>
      <c r="SXL10" s="2234"/>
      <c r="SXM10" s="2234"/>
      <c r="SXN10" s="2234"/>
      <c r="SXO10" s="2234"/>
      <c r="SXP10" s="2234"/>
      <c r="SXQ10" s="2234"/>
      <c r="SXR10" s="2234"/>
      <c r="SXS10" s="2234"/>
      <c r="SXT10" s="2234"/>
      <c r="SXU10" s="2234"/>
      <c r="SXV10" s="2234"/>
      <c r="SXW10" s="2234"/>
      <c r="SXX10" s="2234"/>
      <c r="SXY10" s="2234"/>
      <c r="SXZ10" s="2234"/>
      <c r="SYA10" s="2234"/>
      <c r="SYB10" s="2234"/>
      <c r="SYC10" s="2234"/>
      <c r="SYD10" s="2234"/>
      <c r="SYE10" s="2234"/>
      <c r="SYF10" s="2234"/>
      <c r="SYG10" s="2234"/>
      <c r="SYH10" s="2234"/>
      <c r="SYI10" s="2234"/>
      <c r="SYJ10" s="2234"/>
      <c r="SYK10" s="2234"/>
      <c r="SYL10" s="2234"/>
      <c r="SYM10" s="2234"/>
      <c r="SYN10" s="2234"/>
      <c r="SYO10" s="2234"/>
      <c r="SYP10" s="2234"/>
      <c r="SYQ10" s="2234"/>
      <c r="SYR10" s="2234"/>
      <c r="SYS10" s="2234"/>
      <c r="SYT10" s="2234"/>
      <c r="SYU10" s="2234"/>
      <c r="SYV10" s="2234"/>
      <c r="SYW10" s="2234"/>
      <c r="SYX10" s="2234"/>
      <c r="SYY10" s="2234"/>
      <c r="SYZ10" s="2234"/>
      <c r="SZA10" s="2234"/>
      <c r="SZB10" s="2234"/>
      <c r="SZC10" s="2234"/>
      <c r="SZD10" s="2234"/>
      <c r="SZE10" s="2234"/>
      <c r="SZF10" s="2234"/>
      <c r="SZG10" s="2234"/>
      <c r="SZH10" s="2234"/>
      <c r="SZI10" s="2234"/>
      <c r="SZJ10" s="2234"/>
      <c r="SZK10" s="2234"/>
      <c r="SZL10" s="2234"/>
      <c r="SZM10" s="2234"/>
      <c r="SZN10" s="2234"/>
      <c r="SZO10" s="2234"/>
      <c r="SZP10" s="2234"/>
      <c r="SZQ10" s="2234"/>
      <c r="SZR10" s="2234"/>
      <c r="SZS10" s="2234"/>
      <c r="SZT10" s="2234"/>
      <c r="SZU10" s="2234"/>
      <c r="SZV10" s="2234"/>
      <c r="SZW10" s="2234"/>
      <c r="SZX10" s="2234"/>
      <c r="SZY10" s="2234"/>
      <c r="SZZ10" s="2234"/>
      <c r="TAA10" s="2234"/>
      <c r="TAB10" s="2234"/>
      <c r="TAC10" s="2234"/>
      <c r="TAD10" s="2234"/>
      <c r="TAE10" s="2234"/>
      <c r="TAF10" s="2234"/>
      <c r="TAG10" s="2234"/>
      <c r="TAH10" s="2234"/>
      <c r="TAI10" s="2234"/>
      <c r="TAJ10" s="2234"/>
      <c r="TAK10" s="2234"/>
      <c r="TAL10" s="2234"/>
      <c r="TAM10" s="2234"/>
      <c r="TAN10" s="2234"/>
      <c r="TAO10" s="2234"/>
      <c r="TAP10" s="2234"/>
      <c r="TAQ10" s="2234"/>
      <c r="TAR10" s="2234"/>
      <c r="TAS10" s="2234"/>
      <c r="TAT10" s="2234"/>
      <c r="TAU10" s="2234"/>
      <c r="TAV10" s="2234"/>
      <c r="TAW10" s="2234"/>
      <c r="TAX10" s="2234"/>
      <c r="TAY10" s="2234"/>
      <c r="TAZ10" s="2234"/>
      <c r="TBA10" s="2234"/>
      <c r="TBB10" s="2234"/>
      <c r="TBC10" s="2234"/>
      <c r="TBD10" s="2234"/>
      <c r="TBE10" s="2234"/>
      <c r="TBF10" s="2234"/>
      <c r="TBG10" s="2234"/>
      <c r="TBH10" s="2234"/>
      <c r="TBI10" s="2234"/>
      <c r="TBJ10" s="2234"/>
      <c r="TBK10" s="2234"/>
      <c r="TBL10" s="2234"/>
      <c r="TBM10" s="2234"/>
      <c r="TBN10" s="2234"/>
      <c r="TBO10" s="2234"/>
      <c r="TBP10" s="2234"/>
      <c r="TBQ10" s="2234"/>
      <c r="TBR10" s="2234"/>
      <c r="TBS10" s="2234"/>
      <c r="TBT10" s="2234"/>
      <c r="TBU10" s="2234"/>
      <c r="TBV10" s="2234"/>
      <c r="TBW10" s="2234"/>
      <c r="TBX10" s="2234"/>
      <c r="TBY10" s="2234"/>
      <c r="TBZ10" s="2234"/>
      <c r="TCA10" s="2234"/>
      <c r="TCB10" s="2234"/>
      <c r="TCC10" s="2234"/>
      <c r="TCD10" s="2234"/>
      <c r="TCE10" s="2234"/>
      <c r="TCF10" s="2234"/>
      <c r="TCG10" s="2234"/>
      <c r="TCH10" s="2234"/>
      <c r="TCI10" s="2234"/>
      <c r="TCJ10" s="2234"/>
      <c r="TCK10" s="2234"/>
      <c r="TCL10" s="2234"/>
      <c r="TCM10" s="2234"/>
      <c r="TCN10" s="2234"/>
      <c r="TCO10" s="2234"/>
      <c r="TCP10" s="2234"/>
      <c r="TCQ10" s="2234"/>
      <c r="TCR10" s="2234"/>
      <c r="TCS10" s="2234"/>
      <c r="TCT10" s="2234"/>
      <c r="TCU10" s="2234"/>
      <c r="TCV10" s="2234"/>
      <c r="TCW10" s="2234"/>
      <c r="TCX10" s="2234"/>
      <c r="TCY10" s="2234"/>
      <c r="TCZ10" s="2234"/>
      <c r="TDA10" s="2234"/>
      <c r="TDB10" s="2234"/>
      <c r="TDC10" s="2234"/>
      <c r="TDD10" s="2234"/>
      <c r="TDE10" s="2234"/>
      <c r="TDF10" s="2234"/>
      <c r="TDG10" s="2234"/>
      <c r="TDH10" s="2234"/>
      <c r="TDI10" s="2234"/>
      <c r="TDJ10" s="2234"/>
      <c r="TDK10" s="2234"/>
      <c r="TDL10" s="2234"/>
      <c r="TDM10" s="2234"/>
      <c r="TDN10" s="2234"/>
      <c r="TDO10" s="2234"/>
      <c r="TDP10" s="2234"/>
      <c r="TDQ10" s="2234"/>
      <c r="TDR10" s="2234"/>
      <c r="TDS10" s="2234"/>
      <c r="TDT10" s="2234"/>
      <c r="TDU10" s="2234"/>
      <c r="TDV10" s="2234"/>
      <c r="TDW10" s="2234"/>
      <c r="TDX10" s="2234"/>
      <c r="TDY10" s="2234"/>
      <c r="TDZ10" s="2234"/>
      <c r="TEA10" s="2234"/>
      <c r="TEB10" s="2234"/>
      <c r="TEC10" s="2234"/>
      <c r="TED10" s="2234"/>
      <c r="TEE10" s="2234"/>
      <c r="TEF10" s="2234"/>
      <c r="TEG10" s="2234"/>
      <c r="TEH10" s="2234"/>
      <c r="TEI10" s="2234"/>
      <c r="TEJ10" s="2234"/>
      <c r="TEK10" s="2234"/>
      <c r="TEL10" s="2234"/>
      <c r="TEM10" s="2234"/>
      <c r="TEN10" s="2234"/>
      <c r="TEO10" s="2234"/>
      <c r="TEP10" s="2234"/>
      <c r="TEQ10" s="2234"/>
      <c r="TER10" s="2234"/>
      <c r="TES10" s="2234"/>
      <c r="TET10" s="2234"/>
      <c r="TEU10" s="2234"/>
      <c r="TEV10" s="2234"/>
      <c r="TEW10" s="2234"/>
      <c r="TEX10" s="2234"/>
      <c r="TEY10" s="2234"/>
      <c r="TEZ10" s="2234"/>
      <c r="TFA10" s="2234"/>
      <c r="TFB10" s="2234"/>
      <c r="TFC10" s="2234"/>
      <c r="TFD10" s="2234"/>
      <c r="TFE10" s="2234"/>
      <c r="TFF10" s="2234"/>
      <c r="TFG10" s="2234"/>
      <c r="TFH10" s="2234"/>
      <c r="TFI10" s="2234"/>
      <c r="TFJ10" s="2234"/>
      <c r="TFK10" s="2234"/>
      <c r="TFL10" s="2234"/>
      <c r="TFM10" s="2234"/>
      <c r="TFN10" s="2234"/>
      <c r="TFO10" s="2234"/>
      <c r="TFP10" s="2234"/>
      <c r="TFQ10" s="2234"/>
      <c r="TFR10" s="2234"/>
      <c r="TFS10" s="2234"/>
      <c r="TFT10" s="2234"/>
      <c r="TFU10" s="2234"/>
      <c r="TFV10" s="2234"/>
      <c r="TFW10" s="2234"/>
      <c r="TFX10" s="2234"/>
      <c r="TFY10" s="2234"/>
      <c r="TFZ10" s="2234"/>
      <c r="TGA10" s="2234"/>
      <c r="TGB10" s="2234"/>
      <c r="TGC10" s="2234"/>
      <c r="TGD10" s="2234"/>
      <c r="TGE10" s="2234"/>
      <c r="TGF10" s="2234"/>
      <c r="TGG10" s="2234"/>
      <c r="TGH10" s="2234"/>
      <c r="TGI10" s="2234"/>
      <c r="TGJ10" s="2234"/>
      <c r="TGK10" s="2234"/>
      <c r="TGL10" s="2234"/>
      <c r="TGM10" s="2234"/>
      <c r="TGN10" s="2234"/>
      <c r="TGO10" s="2234"/>
      <c r="TGP10" s="2234"/>
      <c r="TGQ10" s="2234"/>
      <c r="TGR10" s="2234"/>
      <c r="TGS10" s="2234"/>
      <c r="TGT10" s="2234"/>
      <c r="TGU10" s="2234"/>
      <c r="TGV10" s="2234"/>
      <c r="TGW10" s="2234"/>
      <c r="TGX10" s="2234"/>
      <c r="TGY10" s="2234"/>
      <c r="TGZ10" s="2234"/>
      <c r="THA10" s="2234"/>
      <c r="THB10" s="2234"/>
      <c r="THC10" s="2234"/>
      <c r="THD10" s="2234"/>
      <c r="THE10" s="2234"/>
      <c r="THF10" s="2234"/>
      <c r="THG10" s="2234"/>
      <c r="THH10" s="2234"/>
      <c r="THI10" s="2234"/>
      <c r="THJ10" s="2234"/>
      <c r="THK10" s="2234"/>
      <c r="THL10" s="2234"/>
      <c r="THM10" s="2234"/>
      <c r="THN10" s="2234"/>
      <c r="THO10" s="2234"/>
      <c r="THP10" s="2234"/>
      <c r="THQ10" s="2234"/>
      <c r="THR10" s="2234"/>
      <c r="THS10" s="2234"/>
      <c r="THT10" s="2234"/>
      <c r="THU10" s="2234"/>
      <c r="THV10" s="2234"/>
      <c r="THW10" s="2234"/>
      <c r="THX10" s="2234"/>
      <c r="THY10" s="2234"/>
      <c r="THZ10" s="2234"/>
      <c r="TIA10" s="2234"/>
      <c r="TIB10" s="2234"/>
      <c r="TIC10" s="2234"/>
      <c r="TID10" s="2234"/>
      <c r="TIE10" s="2234"/>
      <c r="TIF10" s="2234"/>
      <c r="TIG10" s="2234"/>
      <c r="TIH10" s="2234"/>
      <c r="TII10" s="2234"/>
      <c r="TIJ10" s="2234"/>
      <c r="TIK10" s="2234"/>
      <c r="TIL10" s="2234"/>
      <c r="TIM10" s="2234"/>
      <c r="TIN10" s="2234"/>
      <c r="TIO10" s="2234"/>
      <c r="TIP10" s="2234"/>
      <c r="TIQ10" s="2234"/>
      <c r="TIR10" s="2234"/>
      <c r="TIS10" s="2234"/>
      <c r="TIT10" s="2234"/>
      <c r="TIU10" s="2234"/>
      <c r="TIV10" s="2234"/>
      <c r="TIW10" s="2234"/>
      <c r="TIX10" s="2234"/>
      <c r="TIY10" s="2234"/>
      <c r="TIZ10" s="2234"/>
      <c r="TJA10" s="2234"/>
      <c r="TJB10" s="2234"/>
      <c r="TJC10" s="2234"/>
      <c r="TJD10" s="2234"/>
      <c r="TJE10" s="2234"/>
      <c r="TJF10" s="2234"/>
      <c r="TJG10" s="2234"/>
      <c r="TJH10" s="2234"/>
      <c r="TJI10" s="2234"/>
      <c r="TJJ10" s="2234"/>
      <c r="TJK10" s="2234"/>
      <c r="TJL10" s="2234"/>
      <c r="TJM10" s="2234"/>
      <c r="TJN10" s="2234"/>
      <c r="TJO10" s="2234"/>
      <c r="TJP10" s="2234"/>
      <c r="TJQ10" s="2234"/>
      <c r="TJR10" s="2234"/>
      <c r="TJS10" s="2234"/>
      <c r="TJT10" s="2234"/>
      <c r="TJU10" s="2234"/>
      <c r="TJV10" s="2234"/>
      <c r="TJW10" s="2234"/>
      <c r="TJX10" s="2234"/>
      <c r="TJY10" s="2234"/>
      <c r="TJZ10" s="2234"/>
      <c r="TKA10" s="2234"/>
      <c r="TKB10" s="2234"/>
      <c r="TKC10" s="2234"/>
      <c r="TKD10" s="2234"/>
      <c r="TKE10" s="2234"/>
      <c r="TKF10" s="2234"/>
      <c r="TKG10" s="2234"/>
      <c r="TKH10" s="2234"/>
      <c r="TKI10" s="2234"/>
      <c r="TKJ10" s="2234"/>
      <c r="TKK10" s="2234"/>
      <c r="TKL10" s="2234"/>
      <c r="TKM10" s="2234"/>
      <c r="TKN10" s="2234"/>
      <c r="TKO10" s="2234"/>
      <c r="TKP10" s="2234"/>
      <c r="TKQ10" s="2234"/>
      <c r="TKR10" s="2234"/>
      <c r="TKS10" s="2234"/>
      <c r="TKT10" s="2234"/>
      <c r="TKU10" s="2234"/>
      <c r="TKV10" s="2234"/>
      <c r="TKW10" s="2234"/>
      <c r="TKX10" s="2234"/>
      <c r="TKY10" s="2234"/>
      <c r="TKZ10" s="2234"/>
      <c r="TLA10" s="2234"/>
      <c r="TLB10" s="2234"/>
      <c r="TLC10" s="2234"/>
      <c r="TLD10" s="2234"/>
      <c r="TLE10" s="2234"/>
      <c r="TLF10" s="2234"/>
      <c r="TLG10" s="2234"/>
      <c r="TLH10" s="2234"/>
      <c r="TLI10" s="2234"/>
      <c r="TLJ10" s="2234"/>
      <c r="TLK10" s="2234"/>
      <c r="TLL10" s="2234"/>
      <c r="TLM10" s="2234"/>
      <c r="TLN10" s="2234"/>
      <c r="TLO10" s="2234"/>
      <c r="TLP10" s="2234"/>
      <c r="TLQ10" s="2234"/>
      <c r="TLR10" s="2234"/>
      <c r="TLS10" s="2234"/>
      <c r="TLT10" s="2234"/>
      <c r="TLU10" s="2234"/>
      <c r="TLV10" s="2234"/>
      <c r="TLW10" s="2234"/>
      <c r="TLX10" s="2234"/>
      <c r="TLY10" s="2234"/>
      <c r="TLZ10" s="2234"/>
      <c r="TMA10" s="2234"/>
      <c r="TMB10" s="2234"/>
      <c r="TMC10" s="2234"/>
      <c r="TMD10" s="2234"/>
      <c r="TME10" s="2234"/>
      <c r="TMF10" s="2234"/>
      <c r="TMG10" s="2234"/>
      <c r="TMH10" s="2234"/>
      <c r="TMI10" s="2234"/>
      <c r="TMJ10" s="2234"/>
      <c r="TMK10" s="2234"/>
      <c r="TML10" s="2234"/>
      <c r="TMM10" s="2234"/>
      <c r="TMN10" s="2234"/>
      <c r="TMO10" s="2234"/>
      <c r="TMP10" s="2234"/>
      <c r="TMQ10" s="2234"/>
      <c r="TMR10" s="2234"/>
      <c r="TMS10" s="2234"/>
      <c r="TMT10" s="2234"/>
      <c r="TMU10" s="2234"/>
      <c r="TMV10" s="2234"/>
      <c r="TMW10" s="2234"/>
      <c r="TMX10" s="2234"/>
      <c r="TMY10" s="2234"/>
      <c r="TMZ10" s="2234"/>
      <c r="TNA10" s="2234"/>
      <c r="TNB10" s="2234"/>
      <c r="TNC10" s="2234"/>
      <c r="TND10" s="2234"/>
      <c r="TNE10" s="2234"/>
      <c r="TNF10" s="2234"/>
      <c r="TNG10" s="2234"/>
      <c r="TNH10" s="2234"/>
      <c r="TNI10" s="2234"/>
      <c r="TNJ10" s="2234"/>
      <c r="TNK10" s="2234"/>
      <c r="TNL10" s="2234"/>
      <c r="TNM10" s="2234"/>
      <c r="TNN10" s="2234"/>
      <c r="TNO10" s="2234"/>
      <c r="TNP10" s="2234"/>
      <c r="TNQ10" s="2234"/>
      <c r="TNR10" s="2234"/>
      <c r="TNS10" s="2234"/>
      <c r="TNT10" s="2234"/>
      <c r="TNU10" s="2234"/>
      <c r="TNV10" s="2234"/>
      <c r="TNW10" s="2234"/>
      <c r="TNX10" s="2234"/>
      <c r="TNY10" s="2234"/>
      <c r="TNZ10" s="2234"/>
      <c r="TOA10" s="2234"/>
      <c r="TOB10" s="2234"/>
      <c r="TOC10" s="2234"/>
      <c r="TOD10" s="2234"/>
      <c r="TOE10" s="2234"/>
      <c r="TOF10" s="2234"/>
      <c r="TOG10" s="2234"/>
      <c r="TOH10" s="2234"/>
      <c r="TOI10" s="2234"/>
      <c r="TOJ10" s="2234"/>
      <c r="TOK10" s="2234"/>
      <c r="TOL10" s="2234"/>
      <c r="TOM10" s="2234"/>
      <c r="TON10" s="2234"/>
      <c r="TOO10" s="2234"/>
      <c r="TOP10" s="2234"/>
      <c r="TOQ10" s="2234"/>
      <c r="TOR10" s="2234"/>
      <c r="TOS10" s="2234"/>
      <c r="TOT10" s="2234"/>
      <c r="TOU10" s="2234"/>
      <c r="TOV10" s="2234"/>
      <c r="TOW10" s="2234"/>
      <c r="TOX10" s="2234"/>
      <c r="TOY10" s="2234"/>
      <c r="TOZ10" s="2234"/>
      <c r="TPA10" s="2234"/>
      <c r="TPB10" s="2234"/>
      <c r="TPC10" s="2234"/>
      <c r="TPD10" s="2234"/>
      <c r="TPE10" s="2234"/>
      <c r="TPF10" s="2234"/>
      <c r="TPG10" s="2234"/>
      <c r="TPH10" s="2234"/>
      <c r="TPI10" s="2234"/>
      <c r="TPJ10" s="2234"/>
      <c r="TPK10" s="2234"/>
      <c r="TPL10" s="2234"/>
      <c r="TPM10" s="2234"/>
      <c r="TPN10" s="2234"/>
      <c r="TPO10" s="2234"/>
      <c r="TPP10" s="2234"/>
      <c r="TPQ10" s="2234"/>
      <c r="TPR10" s="2234"/>
      <c r="TPS10" s="2234"/>
      <c r="TPT10" s="2234"/>
      <c r="TPU10" s="2234"/>
      <c r="TPV10" s="2234"/>
      <c r="TPW10" s="2234"/>
      <c r="TPX10" s="2234"/>
      <c r="TPY10" s="2234"/>
      <c r="TPZ10" s="2234"/>
      <c r="TQA10" s="2234"/>
      <c r="TQB10" s="2234"/>
      <c r="TQC10" s="2234"/>
      <c r="TQD10" s="2234"/>
      <c r="TQE10" s="2234"/>
      <c r="TQF10" s="2234"/>
      <c r="TQG10" s="2234"/>
      <c r="TQH10" s="2234"/>
      <c r="TQI10" s="2234"/>
      <c r="TQJ10" s="2234"/>
      <c r="TQK10" s="2234"/>
      <c r="TQL10" s="2234"/>
      <c r="TQM10" s="2234"/>
      <c r="TQN10" s="2234"/>
      <c r="TQO10" s="2234"/>
      <c r="TQP10" s="2234"/>
      <c r="TQQ10" s="2234"/>
      <c r="TQR10" s="2234"/>
      <c r="TQS10" s="2234"/>
      <c r="TQT10" s="2234"/>
      <c r="TQU10" s="2234"/>
      <c r="TQV10" s="2234"/>
      <c r="TQW10" s="2234"/>
      <c r="TQX10" s="2234"/>
      <c r="TQY10" s="2234"/>
      <c r="TQZ10" s="2234"/>
      <c r="TRA10" s="2234"/>
      <c r="TRB10" s="2234"/>
      <c r="TRC10" s="2234"/>
      <c r="TRD10" s="2234"/>
      <c r="TRE10" s="2234"/>
      <c r="TRF10" s="2234"/>
      <c r="TRG10" s="2234"/>
      <c r="TRH10" s="2234"/>
      <c r="TRI10" s="2234"/>
      <c r="TRJ10" s="2234"/>
      <c r="TRK10" s="2234"/>
      <c r="TRL10" s="2234"/>
      <c r="TRM10" s="2234"/>
      <c r="TRN10" s="2234"/>
      <c r="TRO10" s="2234"/>
      <c r="TRP10" s="2234"/>
      <c r="TRQ10" s="2234"/>
      <c r="TRR10" s="2234"/>
      <c r="TRS10" s="2234"/>
      <c r="TRT10" s="2234"/>
      <c r="TRU10" s="2234"/>
      <c r="TRV10" s="2234"/>
      <c r="TRW10" s="2234"/>
      <c r="TRX10" s="2234"/>
      <c r="TRY10" s="2234"/>
      <c r="TRZ10" s="2234"/>
      <c r="TSA10" s="2234"/>
      <c r="TSB10" s="2234"/>
      <c r="TSC10" s="2234"/>
      <c r="TSD10" s="2234"/>
      <c r="TSE10" s="2234"/>
      <c r="TSF10" s="2234"/>
      <c r="TSG10" s="2234"/>
      <c r="TSH10" s="2234"/>
      <c r="TSI10" s="2234"/>
      <c r="TSJ10" s="2234"/>
      <c r="TSK10" s="2234"/>
      <c r="TSL10" s="2234"/>
      <c r="TSM10" s="2234"/>
      <c r="TSN10" s="2234"/>
      <c r="TSO10" s="2234"/>
      <c r="TSP10" s="2234"/>
      <c r="TSQ10" s="2234"/>
      <c r="TSR10" s="2234"/>
      <c r="TSS10" s="2234"/>
      <c r="TST10" s="2234"/>
      <c r="TSU10" s="2234"/>
      <c r="TSV10" s="2234"/>
      <c r="TSW10" s="2234"/>
      <c r="TSX10" s="2234"/>
      <c r="TSY10" s="2234"/>
      <c r="TSZ10" s="2234"/>
      <c r="TTA10" s="2234"/>
      <c r="TTB10" s="2234"/>
      <c r="TTC10" s="2234"/>
      <c r="TTD10" s="2234"/>
      <c r="TTE10" s="2234"/>
      <c r="TTF10" s="2234"/>
      <c r="TTG10" s="2234"/>
      <c r="TTH10" s="2234"/>
      <c r="TTI10" s="2234"/>
      <c r="TTJ10" s="2234"/>
      <c r="TTK10" s="2234"/>
      <c r="TTL10" s="2234"/>
      <c r="TTM10" s="2234"/>
      <c r="TTN10" s="2234"/>
      <c r="TTO10" s="2234"/>
      <c r="TTP10" s="2234"/>
      <c r="TTQ10" s="2234"/>
      <c r="TTR10" s="2234"/>
      <c r="TTS10" s="2234"/>
      <c r="TTT10" s="2234"/>
      <c r="TTU10" s="2234"/>
      <c r="TTV10" s="2234"/>
      <c r="TTW10" s="2234"/>
      <c r="TTX10" s="2234"/>
      <c r="TTY10" s="2234"/>
      <c r="TTZ10" s="2234"/>
      <c r="TUA10" s="2234"/>
      <c r="TUB10" s="2234"/>
      <c r="TUC10" s="2234"/>
      <c r="TUD10" s="2234"/>
      <c r="TUE10" s="2234"/>
      <c r="TUF10" s="2234"/>
      <c r="TUG10" s="2234"/>
      <c r="TUH10" s="2234"/>
      <c r="TUI10" s="2234"/>
      <c r="TUJ10" s="2234"/>
      <c r="TUK10" s="2234"/>
      <c r="TUL10" s="2234"/>
      <c r="TUM10" s="2234"/>
      <c r="TUN10" s="2234"/>
      <c r="TUO10" s="2234"/>
      <c r="TUP10" s="2234"/>
      <c r="TUQ10" s="2234"/>
      <c r="TUR10" s="2234"/>
      <c r="TUS10" s="2234"/>
      <c r="TUT10" s="2234"/>
      <c r="TUU10" s="2234"/>
      <c r="TUV10" s="2234"/>
      <c r="TUW10" s="2234"/>
      <c r="TUX10" s="2234"/>
      <c r="TUY10" s="2234"/>
      <c r="TUZ10" s="2234"/>
      <c r="TVA10" s="2234"/>
      <c r="TVB10" s="2234"/>
      <c r="TVC10" s="2234"/>
      <c r="TVD10" s="2234"/>
      <c r="TVE10" s="2234"/>
      <c r="TVF10" s="2234"/>
      <c r="TVG10" s="2234"/>
      <c r="TVH10" s="2234"/>
      <c r="TVI10" s="2234"/>
      <c r="TVJ10" s="2234"/>
      <c r="TVK10" s="2234"/>
      <c r="TVL10" s="2234"/>
      <c r="TVM10" s="2234"/>
      <c r="TVN10" s="2234"/>
      <c r="TVO10" s="2234"/>
      <c r="TVP10" s="2234"/>
      <c r="TVQ10" s="2234"/>
      <c r="TVR10" s="2234"/>
      <c r="TVS10" s="2234"/>
      <c r="TVT10" s="2234"/>
      <c r="TVU10" s="2234"/>
      <c r="TVV10" s="2234"/>
      <c r="TVW10" s="2234"/>
      <c r="TVX10" s="2234"/>
      <c r="TVY10" s="2234"/>
      <c r="TVZ10" s="2234"/>
      <c r="TWA10" s="2234"/>
      <c r="TWB10" s="2234"/>
      <c r="TWC10" s="2234"/>
      <c r="TWD10" s="2234"/>
      <c r="TWE10" s="2234"/>
      <c r="TWF10" s="2234"/>
      <c r="TWG10" s="2234"/>
      <c r="TWH10" s="2234"/>
      <c r="TWI10" s="2234"/>
      <c r="TWJ10" s="2234"/>
      <c r="TWK10" s="2234"/>
      <c r="TWL10" s="2234"/>
      <c r="TWM10" s="2234"/>
      <c r="TWN10" s="2234"/>
      <c r="TWO10" s="2234"/>
      <c r="TWP10" s="2234"/>
      <c r="TWQ10" s="2234"/>
      <c r="TWR10" s="2234"/>
      <c r="TWS10" s="2234"/>
      <c r="TWT10" s="2234"/>
      <c r="TWU10" s="2234"/>
      <c r="TWV10" s="2234"/>
      <c r="TWW10" s="2234"/>
      <c r="TWX10" s="2234"/>
      <c r="TWY10" s="2234"/>
      <c r="TWZ10" s="2234"/>
      <c r="TXA10" s="2234"/>
      <c r="TXB10" s="2234"/>
      <c r="TXC10" s="2234"/>
      <c r="TXD10" s="2234"/>
      <c r="TXE10" s="2234"/>
      <c r="TXF10" s="2234"/>
      <c r="TXG10" s="2234"/>
      <c r="TXH10" s="2234"/>
      <c r="TXI10" s="2234"/>
      <c r="TXJ10" s="2234"/>
      <c r="TXK10" s="2234"/>
      <c r="TXL10" s="2234"/>
      <c r="TXM10" s="2234"/>
      <c r="TXN10" s="2234"/>
      <c r="TXO10" s="2234"/>
      <c r="TXP10" s="2234"/>
      <c r="TXQ10" s="2234"/>
      <c r="TXR10" s="2234"/>
      <c r="TXS10" s="2234"/>
      <c r="TXT10" s="2234"/>
      <c r="TXU10" s="2234"/>
      <c r="TXV10" s="2234"/>
      <c r="TXW10" s="2234"/>
      <c r="TXX10" s="2234"/>
      <c r="TXY10" s="2234"/>
      <c r="TXZ10" s="2234"/>
      <c r="TYA10" s="2234"/>
      <c r="TYB10" s="2234"/>
      <c r="TYC10" s="2234"/>
      <c r="TYD10" s="2234"/>
      <c r="TYE10" s="2234"/>
      <c r="TYF10" s="2234"/>
      <c r="TYG10" s="2234"/>
      <c r="TYH10" s="2234"/>
      <c r="TYI10" s="2234"/>
      <c r="TYJ10" s="2234"/>
      <c r="TYK10" s="2234"/>
      <c r="TYL10" s="2234"/>
      <c r="TYM10" s="2234"/>
      <c r="TYN10" s="2234"/>
      <c r="TYO10" s="2234"/>
      <c r="TYP10" s="2234"/>
      <c r="TYQ10" s="2234"/>
      <c r="TYR10" s="2234"/>
      <c r="TYS10" s="2234"/>
      <c r="TYT10" s="2234"/>
      <c r="TYU10" s="2234"/>
      <c r="TYV10" s="2234"/>
      <c r="TYW10" s="2234"/>
      <c r="TYX10" s="2234"/>
      <c r="TYY10" s="2234"/>
      <c r="TYZ10" s="2234"/>
      <c r="TZA10" s="2234"/>
      <c r="TZB10" s="2234"/>
      <c r="TZC10" s="2234"/>
      <c r="TZD10" s="2234"/>
      <c r="TZE10" s="2234"/>
      <c r="TZF10" s="2234"/>
      <c r="TZG10" s="2234"/>
      <c r="TZH10" s="2234"/>
      <c r="TZI10" s="2234"/>
      <c r="TZJ10" s="2234"/>
      <c r="TZK10" s="2234"/>
      <c r="TZL10" s="2234"/>
      <c r="TZM10" s="2234"/>
      <c r="TZN10" s="2234"/>
      <c r="TZO10" s="2234"/>
      <c r="TZP10" s="2234"/>
      <c r="TZQ10" s="2234"/>
      <c r="TZR10" s="2234"/>
      <c r="TZS10" s="2234"/>
      <c r="TZT10" s="2234"/>
      <c r="TZU10" s="2234"/>
      <c r="TZV10" s="2234"/>
      <c r="TZW10" s="2234"/>
      <c r="TZX10" s="2234"/>
      <c r="TZY10" s="2234"/>
      <c r="TZZ10" s="2234"/>
      <c r="UAA10" s="2234"/>
      <c r="UAB10" s="2234"/>
      <c r="UAC10" s="2234"/>
      <c r="UAD10" s="2234"/>
      <c r="UAE10" s="2234"/>
      <c r="UAF10" s="2234"/>
      <c r="UAG10" s="2234"/>
      <c r="UAH10" s="2234"/>
      <c r="UAI10" s="2234"/>
      <c r="UAJ10" s="2234"/>
      <c r="UAK10" s="2234"/>
      <c r="UAL10" s="2234"/>
      <c r="UAM10" s="2234"/>
      <c r="UAN10" s="2234"/>
      <c r="UAO10" s="2234"/>
      <c r="UAP10" s="2234"/>
      <c r="UAQ10" s="2234"/>
      <c r="UAR10" s="2234"/>
      <c r="UAS10" s="2234"/>
      <c r="UAT10" s="2234"/>
      <c r="UAU10" s="2234"/>
      <c r="UAV10" s="2234"/>
      <c r="UAW10" s="2234"/>
      <c r="UAX10" s="2234"/>
      <c r="UAY10" s="2234"/>
      <c r="UAZ10" s="2234"/>
      <c r="UBA10" s="2234"/>
      <c r="UBB10" s="2234"/>
      <c r="UBC10" s="2234"/>
      <c r="UBD10" s="2234"/>
      <c r="UBE10" s="2234"/>
      <c r="UBF10" s="2234"/>
      <c r="UBG10" s="2234"/>
      <c r="UBH10" s="2234"/>
      <c r="UBI10" s="2234"/>
      <c r="UBJ10" s="2234"/>
      <c r="UBK10" s="2234"/>
      <c r="UBL10" s="2234"/>
      <c r="UBM10" s="2234"/>
      <c r="UBN10" s="2234"/>
      <c r="UBO10" s="2234"/>
      <c r="UBP10" s="2234"/>
      <c r="UBQ10" s="2234"/>
      <c r="UBR10" s="2234"/>
      <c r="UBS10" s="2234"/>
      <c r="UBT10" s="2234"/>
      <c r="UBU10" s="2234"/>
      <c r="UBV10" s="2234"/>
      <c r="UBW10" s="2234"/>
      <c r="UBX10" s="2234"/>
      <c r="UBY10" s="2234"/>
      <c r="UBZ10" s="2234"/>
      <c r="UCA10" s="2234"/>
      <c r="UCB10" s="2234"/>
      <c r="UCC10" s="2234"/>
      <c r="UCD10" s="2234"/>
      <c r="UCE10" s="2234"/>
      <c r="UCF10" s="2234"/>
      <c r="UCG10" s="2234"/>
      <c r="UCH10" s="2234"/>
      <c r="UCI10" s="2234"/>
      <c r="UCJ10" s="2234"/>
      <c r="UCK10" s="2234"/>
      <c r="UCL10" s="2234"/>
      <c r="UCM10" s="2234"/>
      <c r="UCN10" s="2234"/>
      <c r="UCO10" s="2234"/>
      <c r="UCP10" s="2234"/>
      <c r="UCQ10" s="2234"/>
      <c r="UCR10" s="2234"/>
      <c r="UCS10" s="2234"/>
      <c r="UCT10" s="2234"/>
      <c r="UCU10" s="2234"/>
      <c r="UCV10" s="2234"/>
      <c r="UCW10" s="2234"/>
      <c r="UCX10" s="2234"/>
      <c r="UCY10" s="2234"/>
      <c r="UCZ10" s="2234"/>
      <c r="UDA10" s="2234"/>
      <c r="UDB10" s="2234"/>
      <c r="UDC10" s="2234"/>
      <c r="UDD10" s="2234"/>
      <c r="UDE10" s="2234"/>
      <c r="UDF10" s="2234"/>
      <c r="UDG10" s="2234"/>
      <c r="UDH10" s="2234"/>
      <c r="UDI10" s="2234"/>
      <c r="UDJ10" s="2234"/>
      <c r="UDK10" s="2234"/>
      <c r="UDL10" s="2234"/>
      <c r="UDM10" s="2234"/>
      <c r="UDN10" s="2234"/>
      <c r="UDO10" s="2234"/>
      <c r="UDP10" s="2234"/>
      <c r="UDQ10" s="2234"/>
      <c r="UDR10" s="2234"/>
      <c r="UDS10" s="2234"/>
      <c r="UDT10" s="2234"/>
      <c r="UDU10" s="2234"/>
      <c r="UDV10" s="2234"/>
      <c r="UDW10" s="2234"/>
      <c r="UDX10" s="2234"/>
      <c r="UDY10" s="2234"/>
      <c r="UDZ10" s="2234"/>
      <c r="UEA10" s="2234"/>
      <c r="UEB10" s="2234"/>
      <c r="UEC10" s="2234"/>
      <c r="UED10" s="2234"/>
      <c r="UEE10" s="2234"/>
      <c r="UEF10" s="2234"/>
      <c r="UEG10" s="2234"/>
      <c r="UEH10" s="2234"/>
      <c r="UEI10" s="2234"/>
      <c r="UEJ10" s="2234"/>
      <c r="UEK10" s="2234"/>
      <c r="UEL10" s="2234"/>
      <c r="UEM10" s="2234"/>
      <c r="UEN10" s="2234"/>
      <c r="UEO10" s="2234"/>
      <c r="UEP10" s="2234"/>
      <c r="UEQ10" s="2234"/>
      <c r="UER10" s="2234"/>
      <c r="UES10" s="2234"/>
      <c r="UET10" s="2234"/>
      <c r="UEU10" s="2234"/>
      <c r="UEV10" s="2234"/>
      <c r="UEW10" s="2234"/>
      <c r="UEX10" s="2234"/>
      <c r="UEY10" s="2234"/>
      <c r="UEZ10" s="2234"/>
      <c r="UFA10" s="2234"/>
      <c r="UFB10" s="2234"/>
      <c r="UFC10" s="2234"/>
      <c r="UFD10" s="2234"/>
      <c r="UFE10" s="2234"/>
      <c r="UFF10" s="2234"/>
      <c r="UFG10" s="2234"/>
      <c r="UFH10" s="2234"/>
      <c r="UFI10" s="2234"/>
      <c r="UFJ10" s="2234"/>
      <c r="UFK10" s="2234"/>
      <c r="UFL10" s="2234"/>
      <c r="UFM10" s="2234"/>
      <c r="UFN10" s="2234"/>
      <c r="UFO10" s="2234"/>
      <c r="UFP10" s="2234"/>
      <c r="UFQ10" s="2234"/>
      <c r="UFR10" s="2234"/>
      <c r="UFS10" s="2234"/>
      <c r="UFT10" s="2234"/>
      <c r="UFU10" s="2234"/>
      <c r="UFV10" s="2234"/>
      <c r="UFW10" s="2234"/>
      <c r="UFX10" s="2234"/>
      <c r="UFY10" s="2234"/>
      <c r="UFZ10" s="2234"/>
      <c r="UGA10" s="2234"/>
      <c r="UGB10" s="2234"/>
      <c r="UGC10" s="2234"/>
      <c r="UGD10" s="2234"/>
      <c r="UGE10" s="2234"/>
      <c r="UGF10" s="2234"/>
      <c r="UGG10" s="2234"/>
      <c r="UGH10" s="2234"/>
      <c r="UGI10" s="2234"/>
      <c r="UGJ10" s="2234"/>
      <c r="UGK10" s="2234"/>
      <c r="UGL10" s="2234"/>
      <c r="UGM10" s="2234"/>
      <c r="UGN10" s="2234"/>
      <c r="UGO10" s="2234"/>
      <c r="UGP10" s="2234"/>
      <c r="UGQ10" s="2234"/>
      <c r="UGR10" s="2234"/>
      <c r="UGS10" s="2234"/>
      <c r="UGT10" s="2234"/>
      <c r="UGU10" s="2234"/>
      <c r="UGV10" s="2234"/>
      <c r="UGW10" s="2234"/>
      <c r="UGX10" s="2234"/>
      <c r="UGY10" s="2234"/>
      <c r="UGZ10" s="2234"/>
      <c r="UHA10" s="2234"/>
      <c r="UHB10" s="2234"/>
      <c r="UHC10" s="2234"/>
      <c r="UHD10" s="2234"/>
      <c r="UHE10" s="2234"/>
      <c r="UHF10" s="2234"/>
      <c r="UHG10" s="2234"/>
      <c r="UHH10" s="2234"/>
      <c r="UHI10" s="2234"/>
      <c r="UHJ10" s="2234"/>
      <c r="UHK10" s="2234"/>
      <c r="UHL10" s="2234"/>
      <c r="UHM10" s="2234"/>
      <c r="UHN10" s="2234"/>
      <c r="UHO10" s="2234"/>
      <c r="UHP10" s="2234"/>
      <c r="UHQ10" s="2234"/>
      <c r="UHR10" s="2234"/>
      <c r="UHS10" s="2234"/>
      <c r="UHT10" s="2234"/>
      <c r="UHU10" s="2234"/>
      <c r="UHV10" s="2234"/>
      <c r="UHW10" s="2234"/>
      <c r="UHX10" s="2234"/>
      <c r="UHY10" s="2234"/>
      <c r="UHZ10" s="2234"/>
      <c r="UIA10" s="2234"/>
      <c r="UIB10" s="2234"/>
      <c r="UIC10" s="2234"/>
      <c r="UID10" s="2234"/>
      <c r="UIE10" s="2234"/>
      <c r="UIF10" s="2234"/>
      <c r="UIG10" s="2234"/>
      <c r="UIH10" s="2234"/>
      <c r="UII10" s="2234"/>
      <c r="UIJ10" s="2234"/>
      <c r="UIK10" s="2234"/>
      <c r="UIL10" s="2234"/>
      <c r="UIM10" s="2234"/>
      <c r="UIN10" s="2234"/>
      <c r="UIO10" s="2234"/>
      <c r="UIP10" s="2234"/>
      <c r="UIQ10" s="2234"/>
      <c r="UIR10" s="2234"/>
      <c r="UIS10" s="2234"/>
      <c r="UIT10" s="2234"/>
      <c r="UIU10" s="2234"/>
      <c r="UIV10" s="2234"/>
      <c r="UIW10" s="2234"/>
      <c r="UIX10" s="2234"/>
      <c r="UIY10" s="2234"/>
      <c r="UIZ10" s="2234"/>
      <c r="UJA10" s="2234"/>
      <c r="UJB10" s="2234"/>
      <c r="UJC10" s="2234"/>
      <c r="UJD10" s="2234"/>
      <c r="UJE10" s="2234"/>
      <c r="UJF10" s="2234"/>
      <c r="UJG10" s="2234"/>
      <c r="UJH10" s="2234"/>
      <c r="UJI10" s="2234"/>
      <c r="UJJ10" s="2234"/>
      <c r="UJK10" s="2234"/>
      <c r="UJL10" s="2234"/>
      <c r="UJM10" s="2234"/>
      <c r="UJN10" s="2234"/>
      <c r="UJO10" s="2234"/>
      <c r="UJP10" s="2234"/>
      <c r="UJQ10" s="2234"/>
      <c r="UJR10" s="2234"/>
      <c r="UJS10" s="2234"/>
      <c r="UJT10" s="2234"/>
      <c r="UJU10" s="2234"/>
      <c r="UJV10" s="2234"/>
      <c r="UJW10" s="2234"/>
      <c r="UJX10" s="2234"/>
      <c r="UJY10" s="2234"/>
      <c r="UJZ10" s="2234"/>
      <c r="UKA10" s="2234"/>
      <c r="UKB10" s="2234"/>
      <c r="UKC10" s="2234"/>
      <c r="UKD10" s="2234"/>
      <c r="UKE10" s="2234"/>
      <c r="UKF10" s="2234"/>
      <c r="UKG10" s="2234"/>
      <c r="UKH10" s="2234"/>
      <c r="UKI10" s="2234"/>
      <c r="UKJ10" s="2234"/>
      <c r="UKK10" s="2234"/>
      <c r="UKL10" s="2234"/>
      <c r="UKM10" s="2234"/>
      <c r="UKN10" s="2234"/>
      <c r="UKO10" s="2234"/>
      <c r="UKP10" s="2234"/>
      <c r="UKQ10" s="2234"/>
      <c r="UKR10" s="2234"/>
      <c r="UKS10" s="2234"/>
      <c r="UKT10" s="2234"/>
      <c r="UKU10" s="2234"/>
      <c r="UKV10" s="2234"/>
      <c r="UKW10" s="2234"/>
      <c r="UKX10" s="2234"/>
      <c r="UKY10" s="2234"/>
      <c r="UKZ10" s="2234"/>
      <c r="ULA10" s="2234"/>
      <c r="ULB10" s="2234"/>
      <c r="ULC10" s="2234"/>
      <c r="ULD10" s="2234"/>
      <c r="ULE10" s="2234"/>
      <c r="ULF10" s="2234"/>
      <c r="ULG10" s="2234"/>
      <c r="ULH10" s="2234"/>
      <c r="ULI10" s="2234"/>
      <c r="ULJ10" s="2234"/>
      <c r="ULK10" s="2234"/>
      <c r="ULL10" s="2234"/>
      <c r="ULM10" s="2234"/>
      <c r="ULN10" s="2234"/>
      <c r="ULO10" s="2234"/>
      <c r="ULP10" s="2234"/>
      <c r="ULQ10" s="2234"/>
      <c r="ULR10" s="2234"/>
      <c r="ULS10" s="2234"/>
      <c r="ULT10" s="2234"/>
      <c r="ULU10" s="2234"/>
      <c r="ULV10" s="2234"/>
      <c r="ULW10" s="2234"/>
      <c r="ULX10" s="2234"/>
      <c r="ULY10" s="2234"/>
      <c r="ULZ10" s="2234"/>
      <c r="UMA10" s="2234"/>
      <c r="UMB10" s="2234"/>
      <c r="UMC10" s="2234"/>
      <c r="UMD10" s="2234"/>
      <c r="UME10" s="2234"/>
      <c r="UMF10" s="2234"/>
      <c r="UMG10" s="2234"/>
      <c r="UMH10" s="2234"/>
      <c r="UMI10" s="2234"/>
      <c r="UMJ10" s="2234"/>
      <c r="UMK10" s="2234"/>
      <c r="UML10" s="2234"/>
      <c r="UMM10" s="2234"/>
      <c r="UMN10" s="2234"/>
      <c r="UMO10" s="2234"/>
      <c r="UMP10" s="2234"/>
      <c r="UMQ10" s="2234"/>
      <c r="UMR10" s="2234"/>
      <c r="UMS10" s="2234"/>
      <c r="UMT10" s="2234"/>
      <c r="UMU10" s="2234"/>
      <c r="UMV10" s="2234"/>
      <c r="UMW10" s="2234"/>
      <c r="UMX10" s="2234"/>
      <c r="UMY10" s="2234"/>
      <c r="UMZ10" s="2234"/>
      <c r="UNA10" s="2234"/>
      <c r="UNB10" s="2234"/>
      <c r="UNC10" s="2234"/>
      <c r="UND10" s="2234"/>
      <c r="UNE10" s="2234"/>
      <c r="UNF10" s="2234"/>
      <c r="UNG10" s="2234"/>
      <c r="UNH10" s="2234"/>
      <c r="UNI10" s="2234"/>
      <c r="UNJ10" s="2234"/>
      <c r="UNK10" s="2234"/>
      <c r="UNL10" s="2234"/>
      <c r="UNM10" s="2234"/>
      <c r="UNN10" s="2234"/>
      <c r="UNO10" s="2234"/>
      <c r="UNP10" s="2234"/>
      <c r="UNQ10" s="2234"/>
      <c r="UNR10" s="2234"/>
      <c r="UNS10" s="2234"/>
      <c r="UNT10" s="2234"/>
      <c r="UNU10" s="2234"/>
      <c r="UNV10" s="2234"/>
      <c r="UNW10" s="2234"/>
      <c r="UNX10" s="2234"/>
      <c r="UNY10" s="2234"/>
      <c r="UNZ10" s="2234"/>
      <c r="UOA10" s="2234"/>
      <c r="UOB10" s="2234"/>
      <c r="UOC10" s="2234"/>
      <c r="UOD10" s="2234"/>
      <c r="UOE10" s="2234"/>
      <c r="UOF10" s="2234"/>
      <c r="UOG10" s="2234"/>
      <c r="UOH10" s="2234"/>
      <c r="UOI10" s="2234"/>
      <c r="UOJ10" s="2234"/>
      <c r="UOK10" s="2234"/>
      <c r="UOL10" s="2234"/>
      <c r="UOM10" s="2234"/>
      <c r="UON10" s="2234"/>
      <c r="UOO10" s="2234"/>
      <c r="UOP10" s="2234"/>
      <c r="UOQ10" s="2234"/>
      <c r="UOR10" s="2234"/>
      <c r="UOS10" s="2234"/>
      <c r="UOT10" s="2234"/>
      <c r="UOU10" s="2234"/>
      <c r="UOV10" s="2234"/>
      <c r="UOW10" s="2234"/>
      <c r="UOX10" s="2234"/>
      <c r="UOY10" s="2234"/>
      <c r="UOZ10" s="2234"/>
      <c r="UPA10" s="2234"/>
      <c r="UPB10" s="2234"/>
      <c r="UPC10" s="2234"/>
      <c r="UPD10" s="2234"/>
      <c r="UPE10" s="2234"/>
      <c r="UPF10" s="2234"/>
      <c r="UPG10" s="2234"/>
      <c r="UPH10" s="2234"/>
      <c r="UPI10" s="2234"/>
      <c r="UPJ10" s="2234"/>
      <c r="UPK10" s="2234"/>
      <c r="UPL10" s="2234"/>
      <c r="UPM10" s="2234"/>
      <c r="UPN10" s="2234"/>
      <c r="UPO10" s="2234"/>
      <c r="UPP10" s="2234"/>
      <c r="UPQ10" s="2234"/>
      <c r="UPR10" s="2234"/>
      <c r="UPS10" s="2234"/>
      <c r="UPT10" s="2234"/>
      <c r="UPU10" s="2234"/>
      <c r="UPV10" s="2234"/>
      <c r="UPW10" s="2234"/>
      <c r="UPX10" s="2234"/>
      <c r="UPY10" s="2234"/>
      <c r="UPZ10" s="2234"/>
      <c r="UQA10" s="2234"/>
      <c r="UQB10" s="2234"/>
      <c r="UQC10" s="2234"/>
      <c r="UQD10" s="2234"/>
      <c r="UQE10" s="2234"/>
      <c r="UQF10" s="2234"/>
      <c r="UQG10" s="2234"/>
      <c r="UQH10" s="2234"/>
      <c r="UQI10" s="2234"/>
      <c r="UQJ10" s="2234"/>
      <c r="UQK10" s="2234"/>
      <c r="UQL10" s="2234"/>
      <c r="UQM10" s="2234"/>
      <c r="UQN10" s="2234"/>
      <c r="UQO10" s="2234"/>
      <c r="UQP10" s="2234"/>
      <c r="UQQ10" s="2234"/>
      <c r="UQR10" s="2234"/>
      <c r="UQS10" s="2234"/>
      <c r="UQT10" s="2234"/>
      <c r="UQU10" s="2234"/>
      <c r="UQV10" s="2234"/>
      <c r="UQW10" s="2234"/>
      <c r="UQX10" s="2234"/>
      <c r="UQY10" s="2234"/>
      <c r="UQZ10" s="2234"/>
      <c r="URA10" s="2234"/>
      <c r="URB10" s="2234"/>
      <c r="URC10" s="2234"/>
      <c r="URD10" s="2234"/>
      <c r="URE10" s="2234"/>
      <c r="URF10" s="2234"/>
      <c r="URG10" s="2234"/>
      <c r="URH10" s="2234"/>
      <c r="URI10" s="2234"/>
      <c r="URJ10" s="2234"/>
      <c r="URK10" s="2234"/>
      <c r="URL10" s="2234"/>
      <c r="URM10" s="2234"/>
      <c r="URN10" s="2234"/>
      <c r="URO10" s="2234"/>
      <c r="URP10" s="2234"/>
      <c r="URQ10" s="2234"/>
      <c r="URR10" s="2234"/>
      <c r="URS10" s="2234"/>
      <c r="URT10" s="2234"/>
      <c r="URU10" s="2234"/>
      <c r="URV10" s="2234"/>
      <c r="URW10" s="2234"/>
      <c r="URX10" s="2234"/>
      <c r="URY10" s="2234"/>
      <c r="URZ10" s="2234"/>
      <c r="USA10" s="2234"/>
      <c r="USB10" s="2234"/>
      <c r="USC10" s="2234"/>
      <c r="USD10" s="2234"/>
      <c r="USE10" s="2234"/>
      <c r="USF10" s="2234"/>
      <c r="USG10" s="2234"/>
      <c r="USH10" s="2234"/>
      <c r="USI10" s="2234"/>
      <c r="USJ10" s="2234"/>
      <c r="USK10" s="2234"/>
      <c r="USL10" s="2234"/>
      <c r="USM10" s="2234"/>
      <c r="USN10" s="2234"/>
      <c r="USO10" s="2234"/>
      <c r="USP10" s="2234"/>
      <c r="USQ10" s="2234"/>
      <c r="USR10" s="2234"/>
      <c r="USS10" s="2234"/>
      <c r="UST10" s="2234"/>
      <c r="USU10" s="2234"/>
      <c r="USV10" s="2234"/>
      <c r="USW10" s="2234"/>
      <c r="USX10" s="2234"/>
      <c r="USY10" s="2234"/>
      <c r="USZ10" s="2234"/>
      <c r="UTA10" s="2234"/>
      <c r="UTB10" s="2234"/>
      <c r="UTC10" s="2234"/>
      <c r="UTD10" s="2234"/>
      <c r="UTE10" s="2234"/>
      <c r="UTF10" s="2234"/>
      <c r="UTG10" s="2234"/>
      <c r="UTH10" s="2234"/>
      <c r="UTI10" s="2234"/>
      <c r="UTJ10" s="2234"/>
      <c r="UTK10" s="2234"/>
      <c r="UTL10" s="2234"/>
      <c r="UTM10" s="2234"/>
      <c r="UTN10" s="2234"/>
      <c r="UTO10" s="2234"/>
      <c r="UTP10" s="2234"/>
      <c r="UTQ10" s="2234"/>
      <c r="UTR10" s="2234"/>
      <c r="UTS10" s="2234"/>
      <c r="UTT10" s="2234"/>
      <c r="UTU10" s="2234"/>
      <c r="UTV10" s="2234"/>
      <c r="UTW10" s="2234"/>
      <c r="UTX10" s="2234"/>
      <c r="UTY10" s="2234"/>
      <c r="UTZ10" s="2234"/>
      <c r="UUA10" s="2234"/>
      <c r="UUB10" s="2234"/>
      <c r="UUC10" s="2234"/>
      <c r="UUD10" s="2234"/>
      <c r="UUE10" s="2234"/>
      <c r="UUF10" s="2234"/>
      <c r="UUG10" s="2234"/>
      <c r="UUH10" s="2234"/>
      <c r="UUI10" s="2234"/>
      <c r="UUJ10" s="2234"/>
      <c r="UUK10" s="2234"/>
      <c r="UUL10" s="2234"/>
      <c r="UUM10" s="2234"/>
      <c r="UUN10" s="2234"/>
      <c r="UUO10" s="2234"/>
      <c r="UUP10" s="2234"/>
      <c r="UUQ10" s="2234"/>
      <c r="UUR10" s="2234"/>
      <c r="UUS10" s="2234"/>
      <c r="UUT10" s="2234"/>
      <c r="UUU10" s="2234"/>
      <c r="UUV10" s="2234"/>
      <c r="UUW10" s="2234"/>
      <c r="UUX10" s="2234"/>
      <c r="UUY10" s="2234"/>
      <c r="UUZ10" s="2234"/>
      <c r="UVA10" s="2234"/>
      <c r="UVB10" s="2234"/>
      <c r="UVC10" s="2234"/>
      <c r="UVD10" s="2234"/>
      <c r="UVE10" s="2234"/>
      <c r="UVF10" s="2234"/>
      <c r="UVG10" s="2234"/>
      <c r="UVH10" s="2234"/>
      <c r="UVI10" s="2234"/>
      <c r="UVJ10" s="2234"/>
      <c r="UVK10" s="2234"/>
      <c r="UVL10" s="2234"/>
      <c r="UVM10" s="2234"/>
      <c r="UVN10" s="2234"/>
      <c r="UVO10" s="2234"/>
      <c r="UVP10" s="2234"/>
      <c r="UVQ10" s="2234"/>
      <c r="UVR10" s="2234"/>
      <c r="UVS10" s="2234"/>
      <c r="UVT10" s="2234"/>
      <c r="UVU10" s="2234"/>
      <c r="UVV10" s="2234"/>
      <c r="UVW10" s="2234"/>
      <c r="UVX10" s="2234"/>
      <c r="UVY10" s="2234"/>
      <c r="UVZ10" s="2234"/>
      <c r="UWA10" s="2234"/>
      <c r="UWB10" s="2234"/>
      <c r="UWC10" s="2234"/>
      <c r="UWD10" s="2234"/>
      <c r="UWE10" s="2234"/>
      <c r="UWF10" s="2234"/>
      <c r="UWG10" s="2234"/>
      <c r="UWH10" s="2234"/>
      <c r="UWI10" s="2234"/>
      <c r="UWJ10" s="2234"/>
      <c r="UWK10" s="2234"/>
      <c r="UWL10" s="2234"/>
      <c r="UWM10" s="2234"/>
      <c r="UWN10" s="2234"/>
      <c r="UWO10" s="2234"/>
      <c r="UWP10" s="2234"/>
      <c r="UWQ10" s="2234"/>
      <c r="UWR10" s="2234"/>
      <c r="UWS10" s="2234"/>
      <c r="UWT10" s="2234"/>
      <c r="UWU10" s="2234"/>
      <c r="UWV10" s="2234"/>
      <c r="UWW10" s="2234"/>
      <c r="UWX10" s="2234"/>
      <c r="UWY10" s="2234"/>
      <c r="UWZ10" s="2234"/>
      <c r="UXA10" s="2234"/>
      <c r="UXB10" s="2234"/>
      <c r="UXC10" s="2234"/>
      <c r="UXD10" s="2234"/>
      <c r="UXE10" s="2234"/>
      <c r="UXF10" s="2234"/>
      <c r="UXG10" s="2234"/>
      <c r="UXH10" s="2234"/>
      <c r="UXI10" s="2234"/>
      <c r="UXJ10" s="2234"/>
      <c r="UXK10" s="2234"/>
      <c r="UXL10" s="2234"/>
      <c r="UXM10" s="2234"/>
      <c r="UXN10" s="2234"/>
      <c r="UXO10" s="2234"/>
      <c r="UXP10" s="2234"/>
      <c r="UXQ10" s="2234"/>
      <c r="UXR10" s="2234"/>
      <c r="UXS10" s="2234"/>
      <c r="UXT10" s="2234"/>
      <c r="UXU10" s="2234"/>
      <c r="UXV10" s="2234"/>
      <c r="UXW10" s="2234"/>
      <c r="UXX10" s="2234"/>
      <c r="UXY10" s="2234"/>
      <c r="UXZ10" s="2234"/>
      <c r="UYA10" s="2234"/>
      <c r="UYB10" s="2234"/>
      <c r="UYC10" s="2234"/>
      <c r="UYD10" s="2234"/>
      <c r="UYE10" s="2234"/>
      <c r="UYF10" s="2234"/>
      <c r="UYG10" s="2234"/>
      <c r="UYH10" s="2234"/>
      <c r="UYI10" s="2234"/>
      <c r="UYJ10" s="2234"/>
      <c r="UYK10" s="2234"/>
      <c r="UYL10" s="2234"/>
      <c r="UYM10" s="2234"/>
      <c r="UYN10" s="2234"/>
      <c r="UYO10" s="2234"/>
      <c r="UYP10" s="2234"/>
      <c r="UYQ10" s="2234"/>
      <c r="UYR10" s="2234"/>
      <c r="UYS10" s="2234"/>
      <c r="UYT10" s="2234"/>
      <c r="UYU10" s="2234"/>
      <c r="UYV10" s="2234"/>
      <c r="UYW10" s="2234"/>
      <c r="UYX10" s="2234"/>
      <c r="UYY10" s="2234"/>
      <c r="UYZ10" s="2234"/>
      <c r="UZA10" s="2234"/>
      <c r="UZB10" s="2234"/>
      <c r="UZC10" s="2234"/>
      <c r="UZD10" s="2234"/>
      <c r="UZE10" s="2234"/>
      <c r="UZF10" s="2234"/>
      <c r="UZG10" s="2234"/>
      <c r="UZH10" s="2234"/>
      <c r="UZI10" s="2234"/>
      <c r="UZJ10" s="2234"/>
      <c r="UZK10" s="2234"/>
      <c r="UZL10" s="2234"/>
      <c r="UZM10" s="2234"/>
      <c r="UZN10" s="2234"/>
      <c r="UZO10" s="2234"/>
      <c r="UZP10" s="2234"/>
      <c r="UZQ10" s="2234"/>
      <c r="UZR10" s="2234"/>
      <c r="UZS10" s="2234"/>
      <c r="UZT10" s="2234"/>
      <c r="UZU10" s="2234"/>
      <c r="UZV10" s="2234"/>
      <c r="UZW10" s="2234"/>
      <c r="UZX10" s="2234"/>
      <c r="UZY10" s="2234"/>
      <c r="UZZ10" s="2234"/>
      <c r="VAA10" s="2234"/>
      <c r="VAB10" s="2234"/>
      <c r="VAC10" s="2234"/>
      <c r="VAD10" s="2234"/>
      <c r="VAE10" s="2234"/>
      <c r="VAF10" s="2234"/>
      <c r="VAG10" s="2234"/>
      <c r="VAH10" s="2234"/>
      <c r="VAI10" s="2234"/>
      <c r="VAJ10" s="2234"/>
      <c r="VAK10" s="2234"/>
      <c r="VAL10" s="2234"/>
      <c r="VAM10" s="2234"/>
      <c r="VAN10" s="2234"/>
      <c r="VAO10" s="2234"/>
      <c r="VAP10" s="2234"/>
      <c r="VAQ10" s="2234"/>
      <c r="VAR10" s="2234"/>
      <c r="VAS10" s="2234"/>
      <c r="VAT10" s="2234"/>
      <c r="VAU10" s="2234"/>
      <c r="VAV10" s="2234"/>
      <c r="VAW10" s="2234"/>
      <c r="VAX10" s="2234"/>
      <c r="VAY10" s="2234"/>
      <c r="VAZ10" s="2234"/>
      <c r="VBA10" s="2234"/>
      <c r="VBB10" s="2234"/>
      <c r="VBC10" s="2234"/>
      <c r="VBD10" s="2234"/>
      <c r="VBE10" s="2234"/>
      <c r="VBF10" s="2234"/>
      <c r="VBG10" s="2234"/>
      <c r="VBH10" s="2234"/>
      <c r="VBI10" s="2234"/>
      <c r="VBJ10" s="2234"/>
      <c r="VBK10" s="2234"/>
      <c r="VBL10" s="2234"/>
      <c r="VBM10" s="2234"/>
      <c r="VBN10" s="2234"/>
      <c r="VBO10" s="2234"/>
      <c r="VBP10" s="2234"/>
      <c r="VBQ10" s="2234"/>
      <c r="VBR10" s="2234"/>
      <c r="VBS10" s="2234"/>
      <c r="VBT10" s="2234"/>
      <c r="VBU10" s="2234"/>
      <c r="VBV10" s="2234"/>
      <c r="VBW10" s="2234"/>
      <c r="VBX10" s="2234"/>
      <c r="VBY10" s="2234"/>
      <c r="VBZ10" s="2234"/>
      <c r="VCA10" s="2234"/>
      <c r="VCB10" s="2234"/>
      <c r="VCC10" s="2234"/>
      <c r="VCD10" s="2234"/>
      <c r="VCE10" s="2234"/>
      <c r="VCF10" s="2234"/>
      <c r="VCG10" s="2234"/>
      <c r="VCH10" s="2234"/>
      <c r="VCI10" s="2234"/>
      <c r="VCJ10" s="2234"/>
      <c r="VCK10" s="2234"/>
      <c r="VCL10" s="2234"/>
      <c r="VCM10" s="2234"/>
      <c r="VCN10" s="2234"/>
      <c r="VCO10" s="2234"/>
      <c r="VCP10" s="2234"/>
      <c r="VCQ10" s="2234"/>
      <c r="VCR10" s="2234"/>
      <c r="VCS10" s="2234"/>
      <c r="VCT10" s="2234"/>
      <c r="VCU10" s="2234"/>
      <c r="VCV10" s="2234"/>
      <c r="VCW10" s="2234"/>
      <c r="VCX10" s="2234"/>
      <c r="VCY10" s="2234"/>
      <c r="VCZ10" s="2234"/>
      <c r="VDA10" s="2234"/>
      <c r="VDB10" s="2234"/>
      <c r="VDC10" s="2234"/>
      <c r="VDD10" s="2234"/>
      <c r="VDE10" s="2234"/>
      <c r="VDF10" s="2234"/>
      <c r="VDG10" s="2234"/>
      <c r="VDH10" s="2234"/>
      <c r="VDI10" s="2234"/>
      <c r="VDJ10" s="2234"/>
      <c r="VDK10" s="2234"/>
      <c r="VDL10" s="2234"/>
      <c r="VDM10" s="2234"/>
      <c r="VDN10" s="2234"/>
      <c r="VDO10" s="2234"/>
      <c r="VDP10" s="2234"/>
      <c r="VDQ10" s="2234"/>
      <c r="VDR10" s="2234"/>
      <c r="VDS10" s="2234"/>
      <c r="VDT10" s="2234"/>
      <c r="VDU10" s="2234"/>
      <c r="VDV10" s="2234"/>
      <c r="VDW10" s="2234"/>
      <c r="VDX10" s="2234"/>
      <c r="VDY10" s="2234"/>
      <c r="VDZ10" s="2234"/>
      <c r="VEA10" s="2234"/>
      <c r="VEB10" s="2234"/>
      <c r="VEC10" s="2234"/>
      <c r="VED10" s="2234"/>
      <c r="VEE10" s="2234"/>
      <c r="VEF10" s="2234"/>
      <c r="VEG10" s="2234"/>
      <c r="VEH10" s="2234"/>
      <c r="VEI10" s="2234"/>
      <c r="VEJ10" s="2234"/>
      <c r="VEK10" s="2234"/>
      <c r="VEL10" s="2234"/>
      <c r="VEM10" s="2234"/>
      <c r="VEN10" s="2234"/>
      <c r="VEO10" s="2234"/>
      <c r="VEP10" s="2234"/>
      <c r="VEQ10" s="2234"/>
      <c r="VER10" s="2234"/>
      <c r="VES10" s="2234"/>
      <c r="VET10" s="2234"/>
      <c r="VEU10" s="2234"/>
      <c r="VEV10" s="2234"/>
      <c r="VEW10" s="2234"/>
      <c r="VEX10" s="2234"/>
      <c r="VEY10" s="2234"/>
      <c r="VEZ10" s="2234"/>
      <c r="VFA10" s="2234"/>
      <c r="VFB10" s="2234"/>
      <c r="VFC10" s="2234"/>
      <c r="VFD10" s="2234"/>
      <c r="VFE10" s="2234"/>
      <c r="VFF10" s="2234"/>
      <c r="VFG10" s="2234"/>
      <c r="VFH10" s="2234"/>
      <c r="VFI10" s="2234"/>
      <c r="VFJ10" s="2234"/>
      <c r="VFK10" s="2234"/>
      <c r="VFL10" s="2234"/>
      <c r="VFM10" s="2234"/>
      <c r="VFN10" s="2234"/>
      <c r="VFO10" s="2234"/>
      <c r="VFP10" s="2234"/>
      <c r="VFQ10" s="2234"/>
      <c r="VFR10" s="2234"/>
      <c r="VFS10" s="2234"/>
      <c r="VFT10" s="2234"/>
      <c r="VFU10" s="2234"/>
      <c r="VFV10" s="2234"/>
      <c r="VFW10" s="2234"/>
      <c r="VFX10" s="2234"/>
      <c r="VFY10" s="2234"/>
      <c r="VFZ10" s="2234"/>
      <c r="VGA10" s="2234"/>
      <c r="VGB10" s="2234"/>
      <c r="VGC10" s="2234"/>
      <c r="VGD10" s="2234"/>
      <c r="VGE10" s="2234"/>
      <c r="VGF10" s="2234"/>
      <c r="VGG10" s="2234"/>
      <c r="VGH10" s="2234"/>
      <c r="VGI10" s="2234"/>
      <c r="VGJ10" s="2234"/>
      <c r="VGK10" s="2234"/>
      <c r="VGL10" s="2234"/>
      <c r="VGM10" s="2234"/>
      <c r="VGN10" s="2234"/>
      <c r="VGO10" s="2234"/>
      <c r="VGP10" s="2234"/>
      <c r="VGQ10" s="2234"/>
      <c r="VGR10" s="2234"/>
      <c r="VGS10" s="2234"/>
      <c r="VGT10" s="2234"/>
      <c r="VGU10" s="2234"/>
      <c r="VGV10" s="2234"/>
      <c r="VGW10" s="2234"/>
      <c r="VGX10" s="2234"/>
      <c r="VGY10" s="2234"/>
      <c r="VGZ10" s="2234"/>
      <c r="VHA10" s="2234"/>
      <c r="VHB10" s="2234"/>
      <c r="VHC10" s="2234"/>
      <c r="VHD10" s="2234"/>
      <c r="VHE10" s="2234"/>
      <c r="VHF10" s="2234"/>
      <c r="VHG10" s="2234"/>
      <c r="VHH10" s="2234"/>
      <c r="VHI10" s="2234"/>
      <c r="VHJ10" s="2234"/>
      <c r="VHK10" s="2234"/>
      <c r="VHL10" s="2234"/>
      <c r="VHM10" s="2234"/>
      <c r="VHN10" s="2234"/>
      <c r="VHO10" s="2234"/>
      <c r="VHP10" s="2234"/>
      <c r="VHQ10" s="2234"/>
      <c r="VHR10" s="2234"/>
      <c r="VHS10" s="2234"/>
      <c r="VHT10" s="2234"/>
      <c r="VHU10" s="2234"/>
      <c r="VHV10" s="2234"/>
      <c r="VHW10" s="2234"/>
      <c r="VHX10" s="2234"/>
      <c r="VHY10" s="2234"/>
      <c r="VHZ10" s="2234"/>
      <c r="VIA10" s="2234"/>
      <c r="VIB10" s="2234"/>
      <c r="VIC10" s="2234"/>
      <c r="VID10" s="2234"/>
      <c r="VIE10" s="2234"/>
      <c r="VIF10" s="2234"/>
      <c r="VIG10" s="2234"/>
      <c r="VIH10" s="2234"/>
      <c r="VII10" s="2234"/>
      <c r="VIJ10" s="2234"/>
      <c r="VIK10" s="2234"/>
      <c r="VIL10" s="2234"/>
      <c r="VIM10" s="2234"/>
      <c r="VIN10" s="2234"/>
      <c r="VIO10" s="2234"/>
      <c r="VIP10" s="2234"/>
      <c r="VIQ10" s="2234"/>
      <c r="VIR10" s="2234"/>
      <c r="VIS10" s="2234"/>
      <c r="VIT10" s="2234"/>
      <c r="VIU10" s="2234"/>
      <c r="VIV10" s="2234"/>
      <c r="VIW10" s="2234"/>
      <c r="VIX10" s="2234"/>
      <c r="VIY10" s="2234"/>
      <c r="VIZ10" s="2234"/>
      <c r="VJA10" s="2234"/>
      <c r="VJB10" s="2234"/>
      <c r="VJC10" s="2234"/>
      <c r="VJD10" s="2234"/>
      <c r="VJE10" s="2234"/>
      <c r="VJF10" s="2234"/>
      <c r="VJG10" s="2234"/>
      <c r="VJH10" s="2234"/>
      <c r="VJI10" s="2234"/>
      <c r="VJJ10" s="2234"/>
      <c r="VJK10" s="2234"/>
      <c r="VJL10" s="2234"/>
      <c r="VJM10" s="2234"/>
      <c r="VJN10" s="2234"/>
      <c r="VJO10" s="2234"/>
      <c r="VJP10" s="2234"/>
      <c r="VJQ10" s="2234"/>
      <c r="VJR10" s="2234"/>
      <c r="VJS10" s="2234"/>
      <c r="VJT10" s="2234"/>
      <c r="VJU10" s="2234"/>
      <c r="VJV10" s="2234"/>
      <c r="VJW10" s="2234"/>
      <c r="VJX10" s="2234"/>
      <c r="VJY10" s="2234"/>
      <c r="VJZ10" s="2234"/>
      <c r="VKA10" s="2234"/>
      <c r="VKB10" s="2234"/>
      <c r="VKC10" s="2234"/>
      <c r="VKD10" s="2234"/>
      <c r="VKE10" s="2234"/>
      <c r="VKF10" s="2234"/>
      <c r="VKG10" s="2234"/>
      <c r="VKH10" s="2234"/>
      <c r="VKI10" s="2234"/>
      <c r="VKJ10" s="2234"/>
      <c r="VKK10" s="2234"/>
      <c r="VKL10" s="2234"/>
      <c r="VKM10" s="2234"/>
      <c r="VKN10" s="2234"/>
      <c r="VKO10" s="2234"/>
      <c r="VKP10" s="2234"/>
      <c r="VKQ10" s="2234"/>
      <c r="VKR10" s="2234"/>
      <c r="VKS10" s="2234"/>
      <c r="VKT10" s="2234"/>
      <c r="VKU10" s="2234"/>
      <c r="VKV10" s="2234"/>
      <c r="VKW10" s="2234"/>
      <c r="VKX10" s="2234"/>
      <c r="VKY10" s="2234"/>
      <c r="VKZ10" s="2234"/>
      <c r="VLA10" s="2234"/>
      <c r="VLB10" s="2234"/>
      <c r="VLC10" s="2234"/>
      <c r="VLD10" s="2234"/>
      <c r="VLE10" s="2234"/>
      <c r="VLF10" s="2234"/>
      <c r="VLG10" s="2234"/>
      <c r="VLH10" s="2234"/>
      <c r="VLI10" s="2234"/>
      <c r="VLJ10" s="2234"/>
      <c r="VLK10" s="2234"/>
      <c r="VLL10" s="2234"/>
      <c r="VLM10" s="2234"/>
      <c r="VLN10" s="2234"/>
      <c r="VLO10" s="2234"/>
      <c r="VLP10" s="2234"/>
      <c r="VLQ10" s="2234"/>
      <c r="VLR10" s="2234"/>
      <c r="VLS10" s="2234"/>
      <c r="VLT10" s="2234"/>
      <c r="VLU10" s="2234"/>
      <c r="VLV10" s="2234"/>
      <c r="VLW10" s="2234"/>
      <c r="VLX10" s="2234"/>
      <c r="VLY10" s="2234"/>
      <c r="VLZ10" s="2234"/>
      <c r="VMA10" s="2234"/>
      <c r="VMB10" s="2234"/>
      <c r="VMC10" s="2234"/>
      <c r="VMD10" s="2234"/>
      <c r="VME10" s="2234"/>
      <c r="VMF10" s="2234"/>
      <c r="VMG10" s="2234"/>
      <c r="VMH10" s="2234"/>
      <c r="VMI10" s="2234"/>
      <c r="VMJ10" s="2234"/>
      <c r="VMK10" s="2234"/>
      <c r="VML10" s="2234"/>
      <c r="VMM10" s="2234"/>
      <c r="VMN10" s="2234"/>
      <c r="VMO10" s="2234"/>
      <c r="VMP10" s="2234"/>
      <c r="VMQ10" s="2234"/>
      <c r="VMR10" s="2234"/>
      <c r="VMS10" s="2234"/>
      <c r="VMT10" s="2234"/>
      <c r="VMU10" s="2234"/>
      <c r="VMV10" s="2234"/>
      <c r="VMW10" s="2234"/>
      <c r="VMX10" s="2234"/>
      <c r="VMY10" s="2234"/>
      <c r="VMZ10" s="2234"/>
      <c r="VNA10" s="2234"/>
      <c r="VNB10" s="2234"/>
      <c r="VNC10" s="2234"/>
      <c r="VND10" s="2234"/>
      <c r="VNE10" s="2234"/>
      <c r="VNF10" s="2234"/>
      <c r="VNG10" s="2234"/>
      <c r="VNH10" s="2234"/>
      <c r="VNI10" s="2234"/>
      <c r="VNJ10" s="2234"/>
      <c r="VNK10" s="2234"/>
      <c r="VNL10" s="2234"/>
      <c r="VNM10" s="2234"/>
      <c r="VNN10" s="2234"/>
      <c r="VNO10" s="2234"/>
      <c r="VNP10" s="2234"/>
      <c r="VNQ10" s="2234"/>
      <c r="VNR10" s="2234"/>
      <c r="VNS10" s="2234"/>
      <c r="VNT10" s="2234"/>
      <c r="VNU10" s="2234"/>
      <c r="VNV10" s="2234"/>
      <c r="VNW10" s="2234"/>
      <c r="VNX10" s="2234"/>
      <c r="VNY10" s="2234"/>
      <c r="VNZ10" s="2234"/>
      <c r="VOA10" s="2234"/>
      <c r="VOB10" s="2234"/>
      <c r="VOC10" s="2234"/>
      <c r="VOD10" s="2234"/>
      <c r="VOE10" s="2234"/>
      <c r="VOF10" s="2234"/>
      <c r="VOG10" s="2234"/>
      <c r="VOH10" s="2234"/>
      <c r="VOI10" s="2234"/>
      <c r="VOJ10" s="2234"/>
      <c r="VOK10" s="2234"/>
      <c r="VOL10" s="2234"/>
      <c r="VOM10" s="2234"/>
      <c r="VON10" s="2234"/>
      <c r="VOO10" s="2234"/>
      <c r="VOP10" s="2234"/>
      <c r="VOQ10" s="2234"/>
      <c r="VOR10" s="2234"/>
      <c r="VOS10" s="2234"/>
      <c r="VOT10" s="2234"/>
      <c r="VOU10" s="2234"/>
      <c r="VOV10" s="2234"/>
      <c r="VOW10" s="2234"/>
      <c r="VOX10" s="2234"/>
      <c r="VOY10" s="2234"/>
      <c r="VOZ10" s="2234"/>
      <c r="VPA10" s="2234"/>
      <c r="VPB10" s="2234"/>
      <c r="VPC10" s="2234"/>
      <c r="VPD10" s="2234"/>
      <c r="VPE10" s="2234"/>
      <c r="VPF10" s="2234"/>
      <c r="VPG10" s="2234"/>
      <c r="VPH10" s="2234"/>
      <c r="VPI10" s="2234"/>
      <c r="VPJ10" s="2234"/>
      <c r="VPK10" s="2234"/>
      <c r="VPL10" s="2234"/>
      <c r="VPM10" s="2234"/>
      <c r="VPN10" s="2234"/>
      <c r="VPO10" s="2234"/>
      <c r="VPP10" s="2234"/>
      <c r="VPQ10" s="2234"/>
      <c r="VPR10" s="2234"/>
      <c r="VPS10" s="2234"/>
      <c r="VPT10" s="2234"/>
      <c r="VPU10" s="2234"/>
      <c r="VPV10" s="2234"/>
      <c r="VPW10" s="2234"/>
      <c r="VPX10" s="2234"/>
      <c r="VPY10" s="2234"/>
      <c r="VPZ10" s="2234"/>
      <c r="VQA10" s="2234"/>
      <c r="VQB10" s="2234"/>
      <c r="VQC10" s="2234"/>
      <c r="VQD10" s="2234"/>
      <c r="VQE10" s="2234"/>
      <c r="VQF10" s="2234"/>
      <c r="VQG10" s="2234"/>
      <c r="VQH10" s="2234"/>
      <c r="VQI10" s="2234"/>
      <c r="VQJ10" s="2234"/>
      <c r="VQK10" s="2234"/>
      <c r="VQL10" s="2234"/>
      <c r="VQM10" s="2234"/>
      <c r="VQN10" s="2234"/>
      <c r="VQO10" s="2234"/>
      <c r="VQP10" s="2234"/>
      <c r="VQQ10" s="2234"/>
      <c r="VQR10" s="2234"/>
      <c r="VQS10" s="2234"/>
      <c r="VQT10" s="2234"/>
      <c r="VQU10" s="2234"/>
      <c r="VQV10" s="2234"/>
      <c r="VQW10" s="2234"/>
      <c r="VQX10" s="2234"/>
      <c r="VQY10" s="2234"/>
      <c r="VQZ10" s="2234"/>
      <c r="VRA10" s="2234"/>
      <c r="VRB10" s="2234"/>
      <c r="VRC10" s="2234"/>
      <c r="VRD10" s="2234"/>
      <c r="VRE10" s="2234"/>
      <c r="VRF10" s="2234"/>
      <c r="VRG10" s="2234"/>
      <c r="VRH10" s="2234"/>
      <c r="VRI10" s="2234"/>
      <c r="VRJ10" s="2234"/>
      <c r="VRK10" s="2234"/>
      <c r="VRL10" s="2234"/>
      <c r="VRM10" s="2234"/>
      <c r="VRN10" s="2234"/>
      <c r="VRO10" s="2234"/>
      <c r="VRP10" s="2234"/>
      <c r="VRQ10" s="2234"/>
      <c r="VRR10" s="2234"/>
      <c r="VRS10" s="2234"/>
      <c r="VRT10" s="2234"/>
      <c r="VRU10" s="2234"/>
      <c r="VRV10" s="2234"/>
      <c r="VRW10" s="2234"/>
      <c r="VRX10" s="2234"/>
      <c r="VRY10" s="2234"/>
      <c r="VRZ10" s="2234"/>
      <c r="VSA10" s="2234"/>
      <c r="VSB10" s="2234"/>
      <c r="VSC10" s="2234"/>
      <c r="VSD10" s="2234"/>
      <c r="VSE10" s="2234"/>
      <c r="VSF10" s="2234"/>
      <c r="VSG10" s="2234"/>
      <c r="VSH10" s="2234"/>
      <c r="VSI10" s="2234"/>
      <c r="VSJ10" s="2234"/>
      <c r="VSK10" s="2234"/>
      <c r="VSL10" s="2234"/>
      <c r="VSM10" s="2234"/>
      <c r="VSN10" s="2234"/>
      <c r="VSO10" s="2234"/>
      <c r="VSP10" s="2234"/>
      <c r="VSQ10" s="2234"/>
      <c r="VSR10" s="2234"/>
      <c r="VSS10" s="2234"/>
      <c r="VST10" s="2234"/>
      <c r="VSU10" s="2234"/>
      <c r="VSV10" s="2234"/>
      <c r="VSW10" s="2234"/>
      <c r="VSX10" s="2234"/>
      <c r="VSY10" s="2234"/>
      <c r="VSZ10" s="2234"/>
      <c r="VTA10" s="2234"/>
      <c r="VTB10" s="2234"/>
      <c r="VTC10" s="2234"/>
      <c r="VTD10" s="2234"/>
      <c r="VTE10" s="2234"/>
      <c r="VTF10" s="2234"/>
      <c r="VTG10" s="2234"/>
      <c r="VTH10" s="2234"/>
      <c r="VTI10" s="2234"/>
      <c r="VTJ10" s="2234"/>
      <c r="VTK10" s="2234"/>
      <c r="VTL10" s="2234"/>
      <c r="VTM10" s="2234"/>
      <c r="VTN10" s="2234"/>
      <c r="VTO10" s="2234"/>
      <c r="VTP10" s="2234"/>
      <c r="VTQ10" s="2234"/>
      <c r="VTR10" s="2234"/>
      <c r="VTS10" s="2234"/>
      <c r="VTT10" s="2234"/>
      <c r="VTU10" s="2234"/>
      <c r="VTV10" s="2234"/>
      <c r="VTW10" s="2234"/>
      <c r="VTX10" s="2234"/>
      <c r="VTY10" s="2234"/>
      <c r="VTZ10" s="2234"/>
      <c r="VUA10" s="2234"/>
      <c r="VUB10" s="2234"/>
      <c r="VUC10" s="2234"/>
      <c r="VUD10" s="2234"/>
      <c r="VUE10" s="2234"/>
      <c r="VUF10" s="2234"/>
      <c r="VUG10" s="2234"/>
      <c r="VUH10" s="2234"/>
      <c r="VUI10" s="2234"/>
      <c r="VUJ10" s="2234"/>
      <c r="VUK10" s="2234"/>
      <c r="VUL10" s="2234"/>
      <c r="VUM10" s="2234"/>
      <c r="VUN10" s="2234"/>
      <c r="VUO10" s="2234"/>
      <c r="VUP10" s="2234"/>
      <c r="VUQ10" s="2234"/>
      <c r="VUR10" s="2234"/>
      <c r="VUS10" s="2234"/>
      <c r="VUT10" s="2234"/>
      <c r="VUU10" s="2234"/>
      <c r="VUV10" s="2234"/>
      <c r="VUW10" s="2234"/>
      <c r="VUX10" s="2234"/>
      <c r="VUY10" s="2234"/>
      <c r="VUZ10" s="2234"/>
      <c r="VVA10" s="2234"/>
      <c r="VVB10" s="2234"/>
      <c r="VVC10" s="2234"/>
      <c r="VVD10" s="2234"/>
      <c r="VVE10" s="2234"/>
      <c r="VVF10" s="2234"/>
      <c r="VVG10" s="2234"/>
      <c r="VVH10" s="2234"/>
      <c r="VVI10" s="2234"/>
      <c r="VVJ10" s="2234"/>
      <c r="VVK10" s="2234"/>
      <c r="VVL10" s="2234"/>
      <c r="VVM10" s="2234"/>
      <c r="VVN10" s="2234"/>
      <c r="VVO10" s="2234"/>
      <c r="VVP10" s="2234"/>
      <c r="VVQ10" s="2234"/>
      <c r="VVR10" s="2234"/>
      <c r="VVS10" s="2234"/>
      <c r="VVT10" s="2234"/>
      <c r="VVU10" s="2234"/>
      <c r="VVV10" s="2234"/>
      <c r="VVW10" s="2234"/>
      <c r="VVX10" s="2234"/>
      <c r="VVY10" s="2234"/>
      <c r="VVZ10" s="2234"/>
      <c r="VWA10" s="2234"/>
      <c r="VWB10" s="2234"/>
      <c r="VWC10" s="2234"/>
      <c r="VWD10" s="2234"/>
      <c r="VWE10" s="2234"/>
      <c r="VWF10" s="2234"/>
      <c r="VWG10" s="2234"/>
      <c r="VWH10" s="2234"/>
      <c r="VWI10" s="2234"/>
      <c r="VWJ10" s="2234"/>
      <c r="VWK10" s="2234"/>
      <c r="VWL10" s="2234"/>
      <c r="VWM10" s="2234"/>
      <c r="VWN10" s="2234"/>
      <c r="VWO10" s="2234"/>
      <c r="VWP10" s="2234"/>
      <c r="VWQ10" s="2234"/>
      <c r="VWR10" s="2234"/>
      <c r="VWS10" s="2234"/>
      <c r="VWT10" s="2234"/>
      <c r="VWU10" s="2234"/>
      <c r="VWV10" s="2234"/>
      <c r="VWW10" s="2234"/>
      <c r="VWX10" s="2234"/>
      <c r="VWY10" s="2234"/>
      <c r="VWZ10" s="2234"/>
      <c r="VXA10" s="2234"/>
      <c r="VXB10" s="2234"/>
      <c r="VXC10" s="2234"/>
      <c r="VXD10" s="2234"/>
      <c r="VXE10" s="2234"/>
      <c r="VXF10" s="2234"/>
      <c r="VXG10" s="2234"/>
      <c r="VXH10" s="2234"/>
      <c r="VXI10" s="2234"/>
      <c r="VXJ10" s="2234"/>
      <c r="VXK10" s="2234"/>
      <c r="VXL10" s="2234"/>
      <c r="VXM10" s="2234"/>
      <c r="VXN10" s="2234"/>
      <c r="VXO10" s="2234"/>
      <c r="VXP10" s="2234"/>
      <c r="VXQ10" s="2234"/>
      <c r="VXR10" s="2234"/>
      <c r="VXS10" s="2234"/>
      <c r="VXT10" s="2234"/>
      <c r="VXU10" s="2234"/>
      <c r="VXV10" s="2234"/>
      <c r="VXW10" s="2234"/>
      <c r="VXX10" s="2234"/>
      <c r="VXY10" s="2234"/>
      <c r="VXZ10" s="2234"/>
      <c r="VYA10" s="2234"/>
      <c r="VYB10" s="2234"/>
      <c r="VYC10" s="2234"/>
      <c r="VYD10" s="2234"/>
      <c r="VYE10" s="2234"/>
      <c r="VYF10" s="2234"/>
      <c r="VYG10" s="2234"/>
      <c r="VYH10" s="2234"/>
      <c r="VYI10" s="2234"/>
      <c r="VYJ10" s="2234"/>
      <c r="VYK10" s="2234"/>
      <c r="VYL10" s="2234"/>
      <c r="VYM10" s="2234"/>
      <c r="VYN10" s="2234"/>
      <c r="VYO10" s="2234"/>
      <c r="VYP10" s="2234"/>
      <c r="VYQ10" s="2234"/>
      <c r="VYR10" s="2234"/>
      <c r="VYS10" s="2234"/>
      <c r="VYT10" s="2234"/>
      <c r="VYU10" s="2234"/>
      <c r="VYV10" s="2234"/>
      <c r="VYW10" s="2234"/>
      <c r="VYX10" s="2234"/>
      <c r="VYY10" s="2234"/>
      <c r="VYZ10" s="2234"/>
      <c r="VZA10" s="2234"/>
      <c r="VZB10" s="2234"/>
      <c r="VZC10" s="2234"/>
      <c r="VZD10" s="2234"/>
      <c r="VZE10" s="2234"/>
      <c r="VZF10" s="2234"/>
      <c r="VZG10" s="2234"/>
      <c r="VZH10" s="2234"/>
      <c r="VZI10" s="2234"/>
      <c r="VZJ10" s="2234"/>
      <c r="VZK10" s="2234"/>
      <c r="VZL10" s="2234"/>
      <c r="VZM10" s="2234"/>
      <c r="VZN10" s="2234"/>
      <c r="VZO10" s="2234"/>
      <c r="VZP10" s="2234"/>
      <c r="VZQ10" s="2234"/>
      <c r="VZR10" s="2234"/>
      <c r="VZS10" s="2234"/>
      <c r="VZT10" s="2234"/>
      <c r="VZU10" s="2234"/>
      <c r="VZV10" s="2234"/>
      <c r="VZW10" s="2234"/>
      <c r="VZX10" s="2234"/>
      <c r="VZY10" s="2234"/>
      <c r="VZZ10" s="2234"/>
      <c r="WAA10" s="2234"/>
      <c r="WAB10" s="2234"/>
      <c r="WAC10" s="2234"/>
      <c r="WAD10" s="2234"/>
      <c r="WAE10" s="2234"/>
      <c r="WAF10" s="2234"/>
      <c r="WAG10" s="2234"/>
      <c r="WAH10" s="2234"/>
      <c r="WAI10" s="2234"/>
      <c r="WAJ10" s="2234"/>
      <c r="WAK10" s="2234"/>
      <c r="WAL10" s="2234"/>
      <c r="WAM10" s="2234"/>
      <c r="WAN10" s="2234"/>
      <c r="WAO10" s="2234"/>
      <c r="WAP10" s="2234"/>
      <c r="WAQ10" s="2234"/>
      <c r="WAR10" s="2234"/>
      <c r="WAS10" s="2234"/>
      <c r="WAT10" s="2234"/>
      <c r="WAU10" s="2234"/>
      <c r="WAV10" s="2234"/>
      <c r="WAW10" s="2234"/>
      <c r="WAX10" s="2234"/>
      <c r="WAY10" s="2234"/>
      <c r="WAZ10" s="2234"/>
      <c r="WBA10" s="2234"/>
      <c r="WBB10" s="2234"/>
      <c r="WBC10" s="2234"/>
      <c r="WBD10" s="2234"/>
      <c r="WBE10" s="2234"/>
      <c r="WBF10" s="2234"/>
      <c r="WBG10" s="2234"/>
      <c r="WBH10" s="2234"/>
      <c r="WBI10" s="2234"/>
      <c r="WBJ10" s="2234"/>
      <c r="WBK10" s="2234"/>
      <c r="WBL10" s="2234"/>
      <c r="WBM10" s="2234"/>
      <c r="WBN10" s="2234"/>
      <c r="WBO10" s="2234"/>
      <c r="WBP10" s="2234"/>
      <c r="WBQ10" s="2234"/>
      <c r="WBR10" s="2234"/>
      <c r="WBS10" s="2234"/>
      <c r="WBT10" s="2234"/>
      <c r="WBU10" s="2234"/>
      <c r="WBV10" s="2234"/>
      <c r="WBW10" s="2234"/>
      <c r="WBX10" s="2234"/>
      <c r="WBY10" s="2234"/>
      <c r="WBZ10" s="2234"/>
      <c r="WCA10" s="2234"/>
      <c r="WCB10" s="2234"/>
      <c r="WCC10" s="2234"/>
      <c r="WCD10" s="2234"/>
      <c r="WCE10" s="2234"/>
      <c r="WCF10" s="2234"/>
      <c r="WCG10" s="2234"/>
      <c r="WCH10" s="2234"/>
      <c r="WCI10" s="2234"/>
      <c r="WCJ10" s="2234"/>
      <c r="WCK10" s="2234"/>
      <c r="WCL10" s="2234"/>
      <c r="WCM10" s="2234"/>
      <c r="WCN10" s="2234"/>
      <c r="WCO10" s="2234"/>
      <c r="WCP10" s="2234"/>
      <c r="WCQ10" s="2234"/>
      <c r="WCR10" s="2234"/>
      <c r="WCS10" s="2234"/>
      <c r="WCT10" s="2234"/>
      <c r="WCU10" s="2234"/>
      <c r="WCV10" s="2234"/>
      <c r="WCW10" s="2234"/>
      <c r="WCX10" s="2234"/>
      <c r="WCY10" s="2234"/>
      <c r="WCZ10" s="2234"/>
      <c r="WDA10" s="2234"/>
      <c r="WDB10" s="2234"/>
      <c r="WDC10" s="2234"/>
      <c r="WDD10" s="2234"/>
      <c r="WDE10" s="2234"/>
      <c r="WDF10" s="2234"/>
      <c r="WDG10" s="2234"/>
      <c r="WDH10" s="2234"/>
      <c r="WDI10" s="2234"/>
      <c r="WDJ10" s="2234"/>
      <c r="WDK10" s="2234"/>
      <c r="WDL10" s="2234"/>
      <c r="WDM10" s="2234"/>
      <c r="WDN10" s="2234"/>
      <c r="WDO10" s="2234"/>
      <c r="WDP10" s="2234"/>
      <c r="WDQ10" s="2234"/>
      <c r="WDR10" s="2234"/>
      <c r="WDS10" s="2234"/>
      <c r="WDT10" s="2234"/>
      <c r="WDU10" s="2234"/>
      <c r="WDV10" s="2234"/>
      <c r="WDW10" s="2234"/>
      <c r="WDX10" s="2234"/>
      <c r="WDY10" s="2234"/>
      <c r="WDZ10" s="2234"/>
      <c r="WEA10" s="2234"/>
      <c r="WEB10" s="2234"/>
      <c r="WEC10" s="2234"/>
      <c r="WED10" s="2234"/>
      <c r="WEE10" s="2234"/>
      <c r="WEF10" s="2234"/>
      <c r="WEG10" s="2234"/>
      <c r="WEH10" s="2234"/>
      <c r="WEI10" s="2234"/>
      <c r="WEJ10" s="2234"/>
      <c r="WEK10" s="2234"/>
      <c r="WEL10" s="2234"/>
      <c r="WEM10" s="2234"/>
      <c r="WEN10" s="2234"/>
      <c r="WEO10" s="2234"/>
      <c r="WEP10" s="2234"/>
      <c r="WEQ10" s="2234"/>
      <c r="WER10" s="2234"/>
      <c r="WES10" s="2234"/>
      <c r="WET10" s="2234"/>
      <c r="WEU10" s="2234"/>
      <c r="WEV10" s="2234"/>
      <c r="WEW10" s="2234"/>
      <c r="WEX10" s="2234"/>
      <c r="WEY10" s="2234"/>
      <c r="WEZ10" s="2234"/>
      <c r="WFA10" s="2234"/>
      <c r="WFB10" s="2234"/>
      <c r="WFC10" s="2234"/>
      <c r="WFD10" s="2234"/>
      <c r="WFE10" s="2234"/>
      <c r="WFF10" s="2234"/>
      <c r="WFG10" s="2234"/>
      <c r="WFH10" s="2234"/>
      <c r="WFI10" s="2234"/>
      <c r="WFJ10" s="2234"/>
      <c r="WFK10" s="2234"/>
      <c r="WFL10" s="2234"/>
      <c r="WFM10" s="2234"/>
      <c r="WFN10" s="2234"/>
      <c r="WFO10" s="2234"/>
      <c r="WFP10" s="2234"/>
      <c r="WFQ10" s="2234"/>
      <c r="WFR10" s="2234"/>
      <c r="WFS10" s="2234"/>
      <c r="WFT10" s="2234"/>
      <c r="WFU10" s="2234"/>
      <c r="WFV10" s="2234"/>
      <c r="WFW10" s="2234"/>
      <c r="WFX10" s="2234"/>
      <c r="WFY10" s="2234"/>
      <c r="WFZ10" s="2234"/>
      <c r="WGA10" s="2234"/>
      <c r="WGB10" s="2234"/>
      <c r="WGC10" s="2234"/>
      <c r="WGD10" s="2234"/>
      <c r="WGE10" s="2234"/>
      <c r="WGF10" s="2234"/>
      <c r="WGG10" s="2234"/>
      <c r="WGH10" s="2234"/>
      <c r="WGI10" s="2234"/>
      <c r="WGJ10" s="2234"/>
      <c r="WGK10" s="2234"/>
      <c r="WGL10" s="2234"/>
      <c r="WGM10" s="2234"/>
      <c r="WGN10" s="2234"/>
      <c r="WGO10" s="2234"/>
      <c r="WGP10" s="2234"/>
      <c r="WGQ10" s="2234"/>
      <c r="WGR10" s="2234"/>
      <c r="WGS10" s="2234"/>
      <c r="WGT10" s="2234"/>
      <c r="WGU10" s="2234"/>
      <c r="WGV10" s="2234"/>
      <c r="WGW10" s="2234"/>
      <c r="WGX10" s="2234"/>
      <c r="WGY10" s="2234"/>
      <c r="WGZ10" s="2234"/>
      <c r="WHA10" s="2234"/>
      <c r="WHB10" s="2234"/>
      <c r="WHC10" s="2234"/>
      <c r="WHD10" s="2234"/>
      <c r="WHE10" s="2234"/>
      <c r="WHF10" s="2234"/>
      <c r="WHG10" s="2234"/>
      <c r="WHH10" s="2234"/>
      <c r="WHI10" s="2234"/>
      <c r="WHJ10" s="2234"/>
      <c r="WHK10" s="2234"/>
      <c r="WHL10" s="2234"/>
      <c r="WHM10" s="2234"/>
      <c r="WHN10" s="2234"/>
      <c r="WHO10" s="2234"/>
      <c r="WHP10" s="2234"/>
      <c r="WHQ10" s="2234"/>
      <c r="WHR10" s="2234"/>
      <c r="WHS10" s="2234"/>
      <c r="WHT10" s="2234"/>
      <c r="WHU10" s="2234"/>
      <c r="WHV10" s="2234"/>
      <c r="WHW10" s="2234"/>
      <c r="WHX10" s="2234"/>
      <c r="WHY10" s="2234"/>
      <c r="WHZ10" s="2234"/>
      <c r="WIA10" s="2234"/>
      <c r="WIB10" s="2234"/>
      <c r="WIC10" s="2234"/>
      <c r="WID10" s="2234"/>
      <c r="WIE10" s="2234"/>
      <c r="WIF10" s="2234"/>
      <c r="WIG10" s="2234"/>
      <c r="WIH10" s="2234"/>
      <c r="WII10" s="2234"/>
      <c r="WIJ10" s="2234"/>
      <c r="WIK10" s="2234"/>
      <c r="WIL10" s="2234"/>
      <c r="WIM10" s="2234"/>
      <c r="WIN10" s="2234"/>
      <c r="WIO10" s="2234"/>
      <c r="WIP10" s="2234"/>
      <c r="WIQ10" s="2234"/>
      <c r="WIR10" s="2234"/>
      <c r="WIS10" s="2234"/>
      <c r="WIT10" s="2234"/>
      <c r="WIU10" s="2234"/>
      <c r="WIV10" s="2234"/>
      <c r="WIW10" s="2234"/>
      <c r="WIX10" s="2234"/>
      <c r="WIY10" s="2234"/>
      <c r="WIZ10" s="2234"/>
      <c r="WJA10" s="2234"/>
      <c r="WJB10" s="2234"/>
      <c r="WJC10" s="2234"/>
      <c r="WJD10" s="2234"/>
      <c r="WJE10" s="2234"/>
      <c r="WJF10" s="2234"/>
      <c r="WJG10" s="2234"/>
      <c r="WJH10" s="2234"/>
      <c r="WJI10" s="2234"/>
      <c r="WJJ10" s="2234"/>
      <c r="WJK10" s="2234"/>
      <c r="WJL10" s="2234"/>
      <c r="WJM10" s="2234"/>
      <c r="WJN10" s="2234"/>
      <c r="WJO10" s="2234"/>
      <c r="WJP10" s="2234"/>
      <c r="WJQ10" s="2234"/>
      <c r="WJR10" s="2234"/>
      <c r="WJS10" s="2234"/>
      <c r="WJT10" s="2234"/>
      <c r="WJU10" s="2234"/>
      <c r="WJV10" s="2234"/>
      <c r="WJW10" s="2234"/>
      <c r="WJX10" s="2234"/>
      <c r="WJY10" s="2234"/>
      <c r="WJZ10" s="2234"/>
      <c r="WKA10" s="2234"/>
      <c r="WKB10" s="2234"/>
      <c r="WKC10" s="2234"/>
      <c r="WKD10" s="2234"/>
      <c r="WKE10" s="2234"/>
      <c r="WKF10" s="2234"/>
      <c r="WKG10" s="2234"/>
      <c r="WKH10" s="2234"/>
      <c r="WKI10" s="2234"/>
      <c r="WKJ10" s="2234"/>
      <c r="WKK10" s="2234"/>
      <c r="WKL10" s="2234"/>
      <c r="WKM10" s="2234"/>
      <c r="WKN10" s="2234"/>
      <c r="WKO10" s="2234"/>
      <c r="WKP10" s="2234"/>
      <c r="WKQ10" s="2234"/>
      <c r="WKR10" s="2234"/>
      <c r="WKS10" s="2234"/>
      <c r="WKT10" s="2234"/>
      <c r="WKU10" s="2234"/>
      <c r="WKV10" s="2234"/>
      <c r="WKW10" s="2234"/>
      <c r="WKX10" s="2234"/>
      <c r="WKY10" s="2234"/>
      <c r="WKZ10" s="2234"/>
      <c r="WLA10" s="2234"/>
      <c r="WLB10" s="2234"/>
      <c r="WLC10" s="2234"/>
      <c r="WLD10" s="2234"/>
      <c r="WLE10" s="2234"/>
      <c r="WLF10" s="2234"/>
      <c r="WLG10" s="2234"/>
      <c r="WLH10" s="2234"/>
      <c r="WLI10" s="2234"/>
      <c r="WLJ10" s="2234"/>
      <c r="WLK10" s="2234"/>
      <c r="WLL10" s="2234"/>
      <c r="WLM10" s="2234"/>
      <c r="WLN10" s="2234"/>
      <c r="WLO10" s="2234"/>
      <c r="WLP10" s="2234"/>
      <c r="WLQ10" s="2234"/>
      <c r="WLR10" s="2234"/>
      <c r="WLS10" s="2234"/>
      <c r="WLT10" s="2234"/>
      <c r="WLU10" s="2234"/>
      <c r="WLV10" s="2234"/>
      <c r="WLW10" s="2234"/>
      <c r="WLX10" s="2234"/>
      <c r="WLY10" s="2234"/>
      <c r="WLZ10" s="2234"/>
      <c r="WMA10" s="2234"/>
      <c r="WMB10" s="2234"/>
      <c r="WMC10" s="2234"/>
      <c r="WMD10" s="2234"/>
      <c r="WME10" s="2234"/>
      <c r="WMF10" s="2234"/>
      <c r="WMG10" s="2234"/>
      <c r="WMH10" s="2234"/>
      <c r="WMI10" s="2234"/>
      <c r="WMJ10" s="2234"/>
      <c r="WMK10" s="2234"/>
      <c r="WML10" s="2234"/>
      <c r="WMM10" s="2234"/>
      <c r="WMN10" s="2234"/>
      <c r="WMO10" s="2234"/>
      <c r="WMP10" s="2234"/>
      <c r="WMQ10" s="2234"/>
      <c r="WMR10" s="2234"/>
      <c r="WMS10" s="2234"/>
      <c r="WMT10" s="2234"/>
      <c r="WMU10" s="2234"/>
      <c r="WMV10" s="2234"/>
      <c r="WMW10" s="2234"/>
      <c r="WMX10" s="2234"/>
      <c r="WMY10" s="2234"/>
      <c r="WMZ10" s="2234"/>
      <c r="WNA10" s="2234"/>
      <c r="WNB10" s="2234"/>
      <c r="WNC10" s="2234"/>
      <c r="WND10" s="2234"/>
      <c r="WNE10" s="2234"/>
      <c r="WNF10" s="2234"/>
      <c r="WNG10" s="2234"/>
      <c r="WNH10" s="2234"/>
      <c r="WNI10" s="2234"/>
      <c r="WNJ10" s="2234"/>
      <c r="WNK10" s="2234"/>
      <c r="WNL10" s="2234"/>
      <c r="WNM10" s="2234"/>
      <c r="WNN10" s="2234"/>
      <c r="WNO10" s="2234"/>
      <c r="WNP10" s="2234"/>
      <c r="WNQ10" s="2234"/>
      <c r="WNR10" s="2234"/>
      <c r="WNS10" s="2234"/>
      <c r="WNT10" s="2234"/>
      <c r="WNU10" s="2234"/>
      <c r="WNV10" s="2234"/>
      <c r="WNW10" s="2234"/>
      <c r="WNX10" s="2234"/>
      <c r="WNY10" s="2234"/>
      <c r="WNZ10" s="2234"/>
      <c r="WOA10" s="2234"/>
      <c r="WOB10" s="2234"/>
      <c r="WOC10" s="2234"/>
      <c r="WOD10" s="2234"/>
      <c r="WOE10" s="2234"/>
      <c r="WOF10" s="2234"/>
      <c r="WOG10" s="2234"/>
      <c r="WOH10" s="2234"/>
      <c r="WOI10" s="2234"/>
      <c r="WOJ10" s="2234"/>
      <c r="WOK10" s="2234"/>
      <c r="WOL10" s="2234"/>
      <c r="WOM10" s="2234"/>
      <c r="WON10" s="2234"/>
      <c r="WOO10" s="2234"/>
      <c r="WOP10" s="2234"/>
      <c r="WOQ10" s="2234"/>
      <c r="WOR10" s="2234"/>
      <c r="WOS10" s="2234"/>
      <c r="WOT10" s="2234"/>
      <c r="WOU10" s="2234"/>
      <c r="WOV10" s="2234"/>
      <c r="WOW10" s="2234"/>
      <c r="WOX10" s="2234"/>
      <c r="WOY10" s="2234"/>
      <c r="WOZ10" s="2234"/>
      <c r="WPA10" s="2234"/>
      <c r="WPB10" s="2234"/>
      <c r="WPC10" s="2234"/>
      <c r="WPD10" s="2234"/>
      <c r="WPE10" s="2234"/>
      <c r="WPF10" s="2234"/>
      <c r="WPG10" s="2234"/>
      <c r="WPH10" s="2234"/>
      <c r="WPI10" s="2234"/>
      <c r="WPJ10" s="2234"/>
      <c r="WPK10" s="2234"/>
      <c r="WPL10" s="2234"/>
      <c r="WPM10" s="2234"/>
      <c r="WPN10" s="2234"/>
      <c r="WPO10" s="2234"/>
      <c r="WPP10" s="2234"/>
      <c r="WPQ10" s="2234"/>
      <c r="WPR10" s="2234"/>
      <c r="WPS10" s="2234"/>
      <c r="WPT10" s="2234"/>
      <c r="WPU10" s="2234"/>
      <c r="WPV10" s="2234"/>
      <c r="WPW10" s="2234"/>
      <c r="WPX10" s="2234"/>
      <c r="WPY10" s="2234"/>
      <c r="WPZ10" s="2234"/>
      <c r="WQA10" s="2234"/>
      <c r="WQB10" s="2234"/>
      <c r="WQC10" s="2234"/>
      <c r="WQD10" s="2234"/>
      <c r="WQE10" s="2234"/>
      <c r="WQF10" s="2234"/>
      <c r="WQG10" s="2234"/>
      <c r="WQH10" s="2234"/>
      <c r="WQI10" s="2234"/>
      <c r="WQJ10" s="2234"/>
      <c r="WQK10" s="2234"/>
      <c r="WQL10" s="2234"/>
      <c r="WQM10" s="2234"/>
      <c r="WQN10" s="2234"/>
      <c r="WQO10" s="2234"/>
      <c r="WQP10" s="2234"/>
      <c r="WQQ10" s="2234"/>
      <c r="WQR10" s="2234"/>
      <c r="WQS10" s="2234"/>
      <c r="WQT10" s="2234"/>
      <c r="WQU10" s="2234"/>
      <c r="WQV10" s="2234"/>
      <c r="WQW10" s="2234"/>
      <c r="WQX10" s="2234"/>
      <c r="WQY10" s="2234"/>
      <c r="WQZ10" s="2234"/>
      <c r="WRA10" s="2234"/>
      <c r="WRB10" s="2234"/>
      <c r="WRC10" s="2234"/>
      <c r="WRD10" s="2234"/>
      <c r="WRE10" s="2234"/>
      <c r="WRF10" s="2234"/>
      <c r="WRG10" s="2234"/>
      <c r="WRH10" s="2234"/>
      <c r="WRI10" s="2234"/>
      <c r="WRJ10" s="2234"/>
      <c r="WRK10" s="2234"/>
      <c r="WRL10" s="2234"/>
      <c r="WRM10" s="2234"/>
      <c r="WRN10" s="2234"/>
      <c r="WRO10" s="2234"/>
      <c r="WRP10" s="2234"/>
      <c r="WRQ10" s="2234"/>
      <c r="WRR10" s="2234"/>
      <c r="WRS10" s="2234"/>
      <c r="WRT10" s="2234"/>
      <c r="WRU10" s="2234"/>
      <c r="WRV10" s="2234"/>
      <c r="WRW10" s="2234"/>
      <c r="WRX10" s="2234"/>
      <c r="WRY10" s="2234"/>
      <c r="WRZ10" s="2234"/>
      <c r="WSA10" s="2234"/>
      <c r="WSB10" s="2234"/>
      <c r="WSC10" s="2234"/>
      <c r="WSD10" s="2234"/>
      <c r="WSE10" s="2234"/>
      <c r="WSF10" s="2234"/>
      <c r="WSG10" s="2234"/>
      <c r="WSH10" s="2234"/>
      <c r="WSI10" s="2234"/>
      <c r="WSJ10" s="2234"/>
      <c r="WSK10" s="2234"/>
      <c r="WSL10" s="2234"/>
      <c r="WSM10" s="2234"/>
      <c r="WSN10" s="2234"/>
      <c r="WSO10" s="2234"/>
      <c r="WSP10" s="2234"/>
      <c r="WSQ10" s="2234"/>
      <c r="WSR10" s="2234"/>
      <c r="WSS10" s="2234"/>
      <c r="WST10" s="2234"/>
      <c r="WSU10" s="2234"/>
      <c r="WSV10" s="2234"/>
      <c r="WSW10" s="2234"/>
      <c r="WSX10" s="2234"/>
      <c r="WSY10" s="2234"/>
      <c r="WSZ10" s="2234"/>
      <c r="WTA10" s="2234"/>
      <c r="WTB10" s="2234"/>
      <c r="WTC10" s="2234"/>
      <c r="WTD10" s="2234"/>
      <c r="WTE10" s="2234"/>
      <c r="WTF10" s="2234"/>
      <c r="WTG10" s="2234"/>
      <c r="WTH10" s="2234"/>
      <c r="WTI10" s="2234"/>
      <c r="WTJ10" s="2234"/>
      <c r="WTK10" s="2234"/>
      <c r="WTL10" s="2234"/>
      <c r="WTM10" s="2234"/>
      <c r="WTN10" s="2234"/>
      <c r="WTO10" s="2234"/>
      <c r="WTP10" s="2234"/>
      <c r="WTQ10" s="2234"/>
      <c r="WTR10" s="2234"/>
      <c r="WTS10" s="2234"/>
      <c r="WTT10" s="2234"/>
      <c r="WTU10" s="2234"/>
      <c r="WTV10" s="2234"/>
      <c r="WTW10" s="2234"/>
      <c r="WTX10" s="2234"/>
      <c r="WTY10" s="2234"/>
      <c r="WTZ10" s="2234"/>
      <c r="WUA10" s="2234"/>
      <c r="WUB10" s="2234"/>
      <c r="WUC10" s="2234"/>
      <c r="WUD10" s="2234"/>
      <c r="WUE10" s="2234"/>
      <c r="WUF10" s="2234"/>
      <c r="WUG10" s="2234"/>
      <c r="WUH10" s="2234"/>
      <c r="WUI10" s="2234"/>
      <c r="WUJ10" s="2234"/>
      <c r="WUK10" s="2234"/>
      <c r="WUL10" s="2234"/>
      <c r="WUM10" s="2234"/>
      <c r="WUN10" s="2234"/>
      <c r="WUO10" s="2234"/>
      <c r="WUP10" s="2234"/>
      <c r="WUQ10" s="2234"/>
      <c r="WUR10" s="2234"/>
      <c r="WUS10" s="2234"/>
      <c r="WUT10" s="2234"/>
      <c r="WUU10" s="2234"/>
      <c r="WUV10" s="2234"/>
      <c r="WUW10" s="2234"/>
      <c r="WUX10" s="2234"/>
      <c r="WUY10" s="2234"/>
      <c r="WUZ10" s="2234"/>
      <c r="WVA10" s="2234"/>
      <c r="WVB10" s="2234"/>
      <c r="WVC10" s="2234"/>
      <c r="WVD10" s="2234"/>
      <c r="WVE10" s="2234"/>
      <c r="WVF10" s="2234"/>
      <c r="WVG10" s="2234"/>
      <c r="WVH10" s="2234"/>
      <c r="WVI10" s="2234"/>
      <c r="WVJ10" s="2234"/>
      <c r="WVK10" s="2234"/>
      <c r="WVL10" s="2234"/>
      <c r="WVM10" s="2234"/>
      <c r="WVN10" s="2234"/>
      <c r="WVO10" s="2234"/>
      <c r="WVP10" s="2234"/>
      <c r="WVQ10" s="2234"/>
      <c r="WVR10" s="2234"/>
      <c r="WVS10" s="2234"/>
      <c r="WVT10" s="2234"/>
      <c r="WVU10" s="2234"/>
      <c r="WVV10" s="2234"/>
      <c r="WVW10" s="2234"/>
      <c r="WVX10" s="2234"/>
      <c r="WVY10" s="2234"/>
      <c r="WVZ10" s="2234"/>
      <c r="WWA10" s="2234"/>
      <c r="WWB10" s="2234"/>
      <c r="WWC10" s="2234"/>
      <c r="WWD10" s="2234"/>
      <c r="WWE10" s="2234"/>
      <c r="WWF10" s="2234"/>
      <c r="WWG10" s="2234"/>
      <c r="WWH10" s="2234"/>
      <c r="WWI10" s="2234"/>
      <c r="WWJ10" s="2234"/>
      <c r="WWK10" s="2234"/>
      <c r="WWL10" s="2234"/>
      <c r="WWM10" s="2234"/>
      <c r="WWN10" s="2234"/>
      <c r="WWO10" s="2234"/>
      <c r="WWP10" s="2234"/>
      <c r="WWQ10" s="2234"/>
      <c r="WWR10" s="2234"/>
      <c r="WWS10" s="2234"/>
      <c r="WWT10" s="2234"/>
      <c r="WWU10" s="2234"/>
      <c r="WWV10" s="2234"/>
      <c r="WWW10" s="2234"/>
      <c r="WWX10" s="2234"/>
      <c r="WWY10" s="2234"/>
      <c r="WWZ10" s="2234"/>
      <c r="WXA10" s="2234"/>
      <c r="WXB10" s="2234"/>
      <c r="WXC10" s="2234"/>
      <c r="WXD10" s="2234"/>
      <c r="WXE10" s="2234"/>
      <c r="WXF10" s="2234"/>
      <c r="WXG10" s="2234"/>
      <c r="WXH10" s="2234"/>
      <c r="WXI10" s="2234"/>
      <c r="WXJ10" s="2234"/>
      <c r="WXK10" s="2234"/>
      <c r="WXL10" s="2234"/>
      <c r="WXM10" s="2234"/>
      <c r="WXN10" s="2234"/>
      <c r="WXO10" s="2234"/>
      <c r="WXP10" s="2234"/>
      <c r="WXQ10" s="2234"/>
      <c r="WXR10" s="2234"/>
      <c r="WXS10" s="2234"/>
      <c r="WXT10" s="2234"/>
      <c r="WXU10" s="2234"/>
      <c r="WXV10" s="2234"/>
      <c r="WXW10" s="2234"/>
      <c r="WXX10" s="2234"/>
      <c r="WXY10" s="2234"/>
      <c r="WXZ10" s="2234"/>
      <c r="WYA10" s="2234"/>
      <c r="WYB10" s="2234"/>
      <c r="WYC10" s="2234"/>
      <c r="WYD10" s="2234"/>
      <c r="WYE10" s="2234"/>
      <c r="WYF10" s="2234"/>
      <c r="WYG10" s="2234"/>
      <c r="WYH10" s="2234"/>
      <c r="WYI10" s="2234"/>
      <c r="WYJ10" s="2234"/>
      <c r="WYK10" s="2234"/>
      <c r="WYL10" s="2234"/>
      <c r="WYM10" s="2234"/>
      <c r="WYN10" s="2234"/>
      <c r="WYO10" s="2234"/>
      <c r="WYP10" s="2234"/>
      <c r="WYQ10" s="2234"/>
      <c r="WYR10" s="2234"/>
      <c r="WYS10" s="2234"/>
      <c r="WYT10" s="2234"/>
      <c r="WYU10" s="2234"/>
      <c r="WYV10" s="2234"/>
      <c r="WYW10" s="2234"/>
      <c r="WYX10" s="2234"/>
      <c r="WYY10" s="2234"/>
      <c r="WYZ10" s="2234"/>
      <c r="WZA10" s="2234"/>
      <c r="WZB10" s="2234"/>
      <c r="WZC10" s="2234"/>
      <c r="WZD10" s="2234"/>
      <c r="WZE10" s="2234"/>
      <c r="WZF10" s="2234"/>
      <c r="WZG10" s="2234"/>
      <c r="WZH10" s="2234"/>
      <c r="WZI10" s="2234"/>
      <c r="WZJ10" s="2234"/>
      <c r="WZK10" s="2234"/>
      <c r="WZL10" s="2234"/>
      <c r="WZM10" s="2234"/>
      <c r="WZN10" s="2234"/>
      <c r="WZO10" s="2234"/>
      <c r="WZP10" s="2234"/>
      <c r="WZQ10" s="2234"/>
      <c r="WZR10" s="2234"/>
      <c r="WZS10" s="2234"/>
      <c r="WZT10" s="2234"/>
      <c r="WZU10" s="2234"/>
      <c r="WZV10" s="2234"/>
      <c r="WZW10" s="2234"/>
      <c r="WZX10" s="2234"/>
      <c r="WZY10" s="2234"/>
      <c r="WZZ10" s="2234"/>
      <c r="XAA10" s="2234"/>
      <c r="XAB10" s="2234"/>
      <c r="XAC10" s="2234"/>
      <c r="XAD10" s="2234"/>
      <c r="XAE10" s="2234"/>
      <c r="XAF10" s="2234"/>
      <c r="XAG10" s="2234"/>
      <c r="XAH10" s="2234"/>
      <c r="XAI10" s="2234"/>
      <c r="XAJ10" s="2234"/>
      <c r="XAK10" s="2234"/>
      <c r="XAL10" s="2234"/>
      <c r="XAM10" s="2234"/>
      <c r="XAN10" s="2234"/>
      <c r="XAO10" s="2234"/>
      <c r="XAP10" s="2234"/>
      <c r="XAQ10" s="2234"/>
      <c r="XAR10" s="2234"/>
      <c r="XAS10" s="2234"/>
      <c r="XAT10" s="2234"/>
      <c r="XAU10" s="2234"/>
      <c r="XAV10" s="2234"/>
      <c r="XAW10" s="2234"/>
      <c r="XAX10" s="2234"/>
      <c r="XAY10" s="2234"/>
      <c r="XAZ10" s="2234"/>
      <c r="XBA10" s="2234"/>
      <c r="XBB10" s="2234"/>
      <c r="XBC10" s="2234"/>
      <c r="XBD10" s="2234"/>
      <c r="XBE10" s="2234"/>
      <c r="XBF10" s="2234"/>
      <c r="XBG10" s="2234"/>
      <c r="XBH10" s="2234"/>
      <c r="XBI10" s="2234"/>
      <c r="XBJ10" s="2234"/>
      <c r="XBK10" s="2234"/>
      <c r="XBL10" s="2234"/>
      <c r="XBM10" s="2234"/>
      <c r="XBN10" s="2234"/>
      <c r="XBO10" s="2234"/>
      <c r="XBP10" s="2234"/>
      <c r="XBQ10" s="2234"/>
      <c r="XBR10" s="2234"/>
      <c r="XBS10" s="2234"/>
      <c r="XBT10" s="2234"/>
      <c r="XBU10" s="2234"/>
      <c r="XBV10" s="2234"/>
      <c r="XBW10" s="2234"/>
      <c r="XBX10" s="2234"/>
      <c r="XBY10" s="2234"/>
      <c r="XBZ10" s="2234"/>
      <c r="XCA10" s="2234"/>
      <c r="XCB10" s="2234"/>
      <c r="XCC10" s="2234"/>
      <c r="XCD10" s="2234"/>
      <c r="XCE10" s="2234"/>
      <c r="XCF10" s="2234"/>
      <c r="XCG10" s="2234"/>
      <c r="XCH10" s="2234"/>
      <c r="XCI10" s="2234"/>
      <c r="XCJ10" s="2234"/>
      <c r="XCK10" s="2234"/>
      <c r="XCL10" s="2234"/>
      <c r="XCM10" s="2234"/>
      <c r="XCN10" s="2234"/>
      <c r="XCO10" s="2234"/>
      <c r="XCP10" s="2234"/>
      <c r="XCQ10" s="2234"/>
      <c r="XCR10" s="2234"/>
      <c r="XCS10" s="2234"/>
      <c r="XCT10" s="2234"/>
      <c r="XCU10" s="2234"/>
      <c r="XCV10" s="2234"/>
      <c r="XCW10" s="2234"/>
      <c r="XCX10" s="2234"/>
      <c r="XCY10" s="2234"/>
      <c r="XCZ10" s="2234"/>
      <c r="XDA10" s="2234"/>
      <c r="XDB10" s="2234"/>
      <c r="XDC10" s="2234"/>
      <c r="XDD10" s="2234"/>
      <c r="XDE10" s="2234"/>
      <c r="XDF10" s="2234"/>
      <c r="XDG10" s="2234"/>
      <c r="XDH10" s="2234"/>
      <c r="XDI10" s="2234"/>
      <c r="XDJ10" s="2234"/>
      <c r="XDK10" s="2234"/>
      <c r="XDL10" s="2234"/>
      <c r="XDM10" s="2234"/>
      <c r="XDN10" s="2234"/>
      <c r="XDO10" s="2234"/>
      <c r="XDP10" s="2234"/>
      <c r="XDQ10" s="2234"/>
      <c r="XDR10" s="2234"/>
      <c r="XDS10" s="2234"/>
      <c r="XDT10" s="2234"/>
      <c r="XDU10" s="2234"/>
      <c r="XDV10" s="2234"/>
      <c r="XDW10" s="2234"/>
      <c r="XDX10" s="2234"/>
      <c r="XDY10" s="2234"/>
      <c r="XDZ10" s="2234"/>
      <c r="XEA10" s="2234"/>
      <c r="XEB10" s="2234"/>
      <c r="XEC10" s="2234"/>
      <c r="XED10" s="2234"/>
      <c r="XEE10" s="2234"/>
      <c r="XEF10" s="2234"/>
      <c r="XEG10" s="2234"/>
      <c r="XEH10" s="2234"/>
      <c r="XEI10" s="2234"/>
      <c r="XEJ10" s="2234"/>
    </row>
    <row r="11" spans="1:16364" s="3430" customFormat="1">
      <c r="A11" s="3428" t="s">
        <v>3534</v>
      </c>
      <c r="B11" s="3428" t="s">
        <v>3535</v>
      </c>
      <c r="C11" s="3428" t="s">
        <v>3536</v>
      </c>
      <c r="D11" s="3428" t="s">
        <v>3537</v>
      </c>
      <c r="E11" s="3428" t="s">
        <v>3538</v>
      </c>
      <c r="F11" s="3428" t="s">
        <v>3539</v>
      </c>
      <c r="G11" s="3428">
        <v>21555</v>
      </c>
      <c r="H11" s="3428">
        <v>28021.5</v>
      </c>
      <c r="I11" s="3428">
        <v>1.3</v>
      </c>
      <c r="J11" s="3428" t="s">
        <v>3452</v>
      </c>
      <c r="K11" s="3428" t="s">
        <v>3540</v>
      </c>
      <c r="L11" s="3428" t="s">
        <v>3430</v>
      </c>
      <c r="M11" s="3428" t="s">
        <v>3431</v>
      </c>
      <c r="N11" s="3428" t="s">
        <v>3541</v>
      </c>
      <c r="O11" s="3428">
        <v>4</v>
      </c>
      <c r="P11" s="3428" t="s">
        <v>3542</v>
      </c>
      <c r="Q11" s="3428" t="s">
        <v>3543</v>
      </c>
      <c r="R11" s="3428" t="s">
        <v>3435</v>
      </c>
      <c r="S11" s="3428" t="s">
        <v>3544</v>
      </c>
      <c r="T11" s="3428" t="s">
        <v>3440</v>
      </c>
      <c r="U11" s="3428" t="s">
        <v>3545</v>
      </c>
      <c r="V11" s="3428" t="s">
        <v>3442</v>
      </c>
      <c r="W11" s="3428" t="s">
        <v>3443</v>
      </c>
      <c r="X11" s="3428" t="s">
        <v>3444</v>
      </c>
      <c r="Y11" s="3428" t="s">
        <v>3445</v>
      </c>
      <c r="Z11" s="3428">
        <v>18500</v>
      </c>
      <c r="AA11" s="3428">
        <v>8582.69</v>
      </c>
      <c r="AB11" s="3428">
        <v>572.17999999999995</v>
      </c>
      <c r="AC11" s="3428">
        <v>6602</v>
      </c>
      <c r="AD11" s="3428" t="s">
        <v>3436</v>
      </c>
      <c r="AE11" s="3428" t="s">
        <v>3436</v>
      </c>
      <c r="AF11" s="3428">
        <v>0</v>
      </c>
      <c r="AG11" s="3428">
        <v>27750</v>
      </c>
      <c r="AH11" s="3428" t="s">
        <v>3546</v>
      </c>
      <c r="AI11" s="3428" t="s">
        <v>3436</v>
      </c>
      <c r="AJ11" s="3428" t="s">
        <v>3436</v>
      </c>
      <c r="AK11" s="3428">
        <v>9903</v>
      </c>
      <c r="AL11" s="3428">
        <v>50</v>
      </c>
      <c r="AM11" s="3428" t="s">
        <v>3436</v>
      </c>
      <c r="AN11" s="3428" t="s">
        <v>3436</v>
      </c>
      <c r="AO11" s="3428" t="s">
        <v>3436</v>
      </c>
      <c r="AP11" s="3428" t="s">
        <v>3337</v>
      </c>
      <c r="AQ11" s="3428" t="s">
        <v>3436</v>
      </c>
      <c r="AR11" s="3429">
        <v>44895.000497685185</v>
      </c>
      <c r="AS11" s="3428">
        <v>18500</v>
      </c>
      <c r="AT11" s="3428"/>
      <c r="AU11" s="3428"/>
      <c r="AV11" s="3428"/>
      <c r="AW11" s="3428"/>
      <c r="AX11" s="3428"/>
      <c r="AY11" s="3428"/>
      <c r="AZ11" s="3428"/>
      <c r="BA11" s="3428"/>
      <c r="BB11" s="3428"/>
      <c r="BC11" s="3428"/>
      <c r="BD11" s="3428"/>
      <c r="BE11" s="3428"/>
      <c r="BF11" s="3428"/>
      <c r="BG11" s="3428"/>
      <c r="BH11" s="3428"/>
      <c r="BI11" s="3428"/>
      <c r="BJ11" s="3428"/>
      <c r="BK11" s="3428"/>
      <c r="BL11" s="3428"/>
      <c r="BM11" s="3428"/>
      <c r="BN11" s="3428"/>
      <c r="BO11" s="3428"/>
      <c r="BP11" s="3428"/>
      <c r="BQ11" s="3428"/>
      <c r="BR11" s="3428"/>
      <c r="BS11" s="3428"/>
      <c r="BT11" s="3428"/>
      <c r="BU11" s="3428"/>
      <c r="BV11" s="3428"/>
      <c r="BW11" s="3428"/>
      <c r="BX11" s="3428"/>
      <c r="BY11" s="3428"/>
      <c r="BZ11" s="3428"/>
      <c r="CA11" s="3428"/>
      <c r="CB11" s="3428"/>
      <c r="CC11" s="3428"/>
      <c r="CD11" s="3428"/>
      <c r="CE11" s="3428"/>
      <c r="CF11" s="3428"/>
      <c r="CG11" s="3428"/>
      <c r="CH11" s="3428"/>
      <c r="CI11" s="3428"/>
      <c r="CJ11" s="3428"/>
      <c r="CK11" s="3428"/>
      <c r="CL11" s="3428"/>
      <c r="CM11" s="3428"/>
      <c r="CN11" s="3428"/>
      <c r="CO11" s="3428"/>
      <c r="CP11" s="3428"/>
      <c r="CQ11" s="3428"/>
      <c r="CR11" s="3428"/>
      <c r="CS11" s="3428"/>
      <c r="CT11" s="3428"/>
      <c r="CU11" s="3428"/>
      <c r="CV11" s="3428"/>
      <c r="CW11" s="3428"/>
      <c r="CX11" s="3428"/>
      <c r="CY11" s="3428"/>
      <c r="CZ11" s="3428"/>
      <c r="DA11" s="3428"/>
      <c r="DB11" s="3428"/>
      <c r="DC11" s="3428"/>
      <c r="DD11" s="3428"/>
      <c r="DE11" s="3428"/>
      <c r="DF11" s="3428"/>
      <c r="DG11" s="3428"/>
      <c r="DH11" s="3428"/>
      <c r="DI11" s="3428"/>
      <c r="DJ11" s="3428"/>
      <c r="DK11" s="3428"/>
      <c r="DL11" s="3428"/>
      <c r="DM11" s="3428"/>
      <c r="DN11" s="3428"/>
      <c r="DO11" s="3428"/>
      <c r="DP11" s="3428"/>
      <c r="DQ11" s="3428"/>
      <c r="DR11" s="3428"/>
      <c r="DS11" s="3428"/>
      <c r="DT11" s="3428"/>
      <c r="DU11" s="3428"/>
      <c r="DV11" s="3428"/>
      <c r="DW11" s="3428"/>
      <c r="DX11" s="3428"/>
      <c r="DY11" s="3428"/>
      <c r="DZ11" s="3428"/>
      <c r="EA11" s="3428"/>
      <c r="EB11" s="3428"/>
      <c r="EC11" s="3428"/>
      <c r="ED11" s="3428"/>
      <c r="EE11" s="3428"/>
      <c r="EF11" s="3428"/>
      <c r="EG11" s="3428"/>
      <c r="EH11" s="3428"/>
      <c r="EI11" s="3428"/>
      <c r="EJ11" s="3428"/>
      <c r="EK11" s="3428"/>
      <c r="EL11" s="3428"/>
      <c r="EM11" s="3428"/>
      <c r="EN11" s="3428"/>
      <c r="EO11" s="3428"/>
      <c r="EP11" s="3428"/>
      <c r="EQ11" s="3428"/>
      <c r="ER11" s="3428"/>
      <c r="ES11" s="3428"/>
      <c r="ET11" s="3428"/>
      <c r="EU11" s="3428"/>
      <c r="EV11" s="3428"/>
      <c r="EW11" s="3428"/>
      <c r="EX11" s="3428"/>
      <c r="EY11" s="3428"/>
      <c r="EZ11" s="3428"/>
      <c r="FA11" s="3428"/>
      <c r="FB11" s="3428"/>
      <c r="FC11" s="3428"/>
      <c r="FD11" s="3428"/>
      <c r="FE11" s="3428"/>
      <c r="FF11" s="3428"/>
      <c r="FG11" s="3428"/>
      <c r="FH11" s="3428"/>
      <c r="FI11" s="3428"/>
      <c r="FJ11" s="3428"/>
      <c r="FK11" s="3428"/>
      <c r="FL11" s="3428"/>
      <c r="FM11" s="3428"/>
      <c r="FN11" s="3428"/>
      <c r="FO11" s="3428"/>
      <c r="FP11" s="3428"/>
      <c r="FQ11" s="3428"/>
      <c r="FR11" s="3428"/>
      <c r="FS11" s="3428"/>
      <c r="FT11" s="3428"/>
      <c r="FU11" s="3428"/>
      <c r="FV11" s="3428"/>
      <c r="FW11" s="3428"/>
      <c r="FX11" s="3428"/>
      <c r="FY11" s="3428"/>
      <c r="FZ11" s="3428"/>
      <c r="GA11" s="3428"/>
      <c r="GB11" s="3428"/>
      <c r="GC11" s="3428"/>
      <c r="GD11" s="3428"/>
      <c r="GE11" s="3428"/>
      <c r="GF11" s="3428"/>
      <c r="GG11" s="3428"/>
      <c r="GH11" s="3428"/>
      <c r="GI11" s="3428"/>
      <c r="GJ11" s="3428"/>
      <c r="GK11" s="3428"/>
      <c r="GL11" s="3428"/>
      <c r="GM11" s="3428"/>
      <c r="GN11" s="3428"/>
      <c r="GO11" s="3428"/>
      <c r="GP11" s="3428"/>
      <c r="GQ11" s="3428"/>
      <c r="GR11" s="3428"/>
      <c r="GS11" s="3428"/>
      <c r="GT11" s="3428"/>
      <c r="GU11" s="3428"/>
      <c r="GV11" s="3428"/>
      <c r="GW11" s="3428"/>
      <c r="GX11" s="3428"/>
      <c r="GY11" s="3428"/>
      <c r="GZ11" s="3428"/>
      <c r="HA11" s="3428"/>
      <c r="HB11" s="3428"/>
      <c r="HC11" s="3428"/>
      <c r="HD11" s="3428"/>
      <c r="HE11" s="3428"/>
      <c r="HF11" s="3428"/>
      <c r="HG11" s="3428"/>
      <c r="HH11" s="3428"/>
      <c r="HI11" s="3428"/>
      <c r="HJ11" s="3428"/>
      <c r="HK11" s="3428"/>
      <c r="HL11" s="3428"/>
      <c r="HM11" s="3428"/>
      <c r="HN11" s="3428"/>
      <c r="HO11" s="3428"/>
      <c r="HP11" s="3428"/>
      <c r="HQ11" s="3428"/>
      <c r="HR11" s="3428"/>
      <c r="HS11" s="3428"/>
      <c r="HT11" s="3428"/>
      <c r="HU11" s="3428"/>
      <c r="HV11" s="3428"/>
      <c r="HW11" s="3428"/>
      <c r="HX11" s="3428"/>
      <c r="HY11" s="3428"/>
      <c r="HZ11" s="3428"/>
      <c r="IA11" s="3428"/>
      <c r="IB11" s="3428"/>
      <c r="IC11" s="3428"/>
      <c r="ID11" s="3428"/>
      <c r="IE11" s="3428"/>
      <c r="IF11" s="3428"/>
      <c r="IG11" s="3428"/>
      <c r="IH11" s="3428"/>
      <c r="II11" s="3428"/>
      <c r="IJ11" s="3428"/>
      <c r="IK11" s="3428"/>
      <c r="IL11" s="3428"/>
      <c r="IM11" s="3428"/>
      <c r="IN11" s="3428"/>
      <c r="IO11" s="3428"/>
      <c r="IP11" s="3428"/>
      <c r="IQ11" s="3428"/>
      <c r="IR11" s="3428"/>
      <c r="IS11" s="3428"/>
      <c r="IT11" s="3428"/>
      <c r="IU11" s="3428"/>
      <c r="IV11" s="3428"/>
      <c r="IW11" s="3428"/>
      <c r="IX11" s="3428"/>
      <c r="IY11" s="3428"/>
      <c r="IZ11" s="3428"/>
      <c r="JA11" s="3428"/>
      <c r="JB11" s="3428"/>
      <c r="JC11" s="3428"/>
      <c r="JD11" s="3428"/>
      <c r="JE11" s="3428"/>
      <c r="JF11" s="3428"/>
      <c r="JG11" s="3428"/>
      <c r="JH11" s="3428"/>
      <c r="JI11" s="3428"/>
      <c r="JJ11" s="3428"/>
      <c r="JK11" s="3428"/>
      <c r="JL11" s="3428"/>
      <c r="JM11" s="3428"/>
      <c r="JN11" s="3428"/>
      <c r="JO11" s="3428"/>
      <c r="JP11" s="3428"/>
      <c r="JQ11" s="3428"/>
      <c r="JR11" s="3428"/>
      <c r="JS11" s="3428"/>
      <c r="JT11" s="3428"/>
      <c r="JU11" s="3428"/>
      <c r="JV11" s="3428"/>
      <c r="JW11" s="3428"/>
      <c r="JX11" s="3428"/>
      <c r="JY11" s="3428"/>
      <c r="JZ11" s="3428"/>
      <c r="KA11" s="3428"/>
      <c r="KB11" s="3428"/>
      <c r="KC11" s="3428"/>
      <c r="KD11" s="3428"/>
      <c r="KE11" s="3428"/>
      <c r="KF11" s="3428"/>
      <c r="KG11" s="3428"/>
      <c r="KH11" s="3428"/>
      <c r="KI11" s="3428"/>
      <c r="KJ11" s="3428"/>
      <c r="KK11" s="3428"/>
      <c r="KL11" s="3428"/>
      <c r="KM11" s="3428"/>
      <c r="KN11" s="3428"/>
      <c r="KO11" s="3428"/>
      <c r="KP11" s="3428"/>
      <c r="KQ11" s="3428"/>
      <c r="KR11" s="3428"/>
      <c r="KS11" s="3428"/>
      <c r="KT11" s="3428"/>
      <c r="KU11" s="3428"/>
      <c r="KV11" s="3428"/>
      <c r="KW11" s="3428"/>
      <c r="KX11" s="3428"/>
      <c r="KY11" s="3428"/>
      <c r="KZ11" s="3428"/>
      <c r="LA11" s="3428"/>
      <c r="LB11" s="3428"/>
      <c r="LC11" s="3428"/>
      <c r="LD11" s="3428"/>
      <c r="LE11" s="3428"/>
      <c r="LF11" s="3428"/>
      <c r="LG11" s="3428"/>
      <c r="LH11" s="3428"/>
      <c r="LI11" s="3428"/>
      <c r="LJ11" s="3428"/>
      <c r="LK11" s="3428"/>
      <c r="LL11" s="3428"/>
      <c r="LM11" s="3428"/>
      <c r="LN11" s="3428"/>
      <c r="LO11" s="3428"/>
      <c r="LP11" s="3428"/>
      <c r="LQ11" s="3428"/>
      <c r="LR11" s="3428"/>
      <c r="LS11" s="3428"/>
      <c r="LT11" s="3428"/>
      <c r="LU11" s="3428"/>
      <c r="LV11" s="3428"/>
      <c r="LW11" s="3428"/>
      <c r="LX11" s="3428"/>
      <c r="LY11" s="3428"/>
      <c r="LZ11" s="3428"/>
      <c r="MA11" s="3428"/>
      <c r="MB11" s="3428"/>
      <c r="MC11" s="3428"/>
      <c r="MD11" s="3428"/>
      <c r="ME11" s="3428"/>
      <c r="MF11" s="3428"/>
      <c r="MG11" s="3428"/>
      <c r="MH11" s="3428"/>
      <c r="MI11" s="3428"/>
      <c r="MJ11" s="3428"/>
      <c r="MK11" s="3428"/>
      <c r="ML11" s="3428"/>
      <c r="MM11" s="3428"/>
      <c r="MN11" s="3428"/>
      <c r="MO11" s="3428"/>
      <c r="MP11" s="3428"/>
      <c r="MQ11" s="3428"/>
      <c r="MR11" s="3428"/>
      <c r="MS11" s="3428"/>
      <c r="MT11" s="3428"/>
      <c r="MU11" s="3428"/>
      <c r="MV11" s="3428"/>
      <c r="MW11" s="3428"/>
      <c r="MX11" s="3428"/>
      <c r="MY11" s="3428"/>
      <c r="MZ11" s="3428"/>
      <c r="NA11" s="3428"/>
      <c r="NB11" s="3428"/>
      <c r="NC11" s="3428"/>
      <c r="ND11" s="3428"/>
      <c r="NE11" s="3428"/>
      <c r="NF11" s="3428"/>
      <c r="NG11" s="3428"/>
      <c r="NH11" s="3428"/>
      <c r="NI11" s="3428"/>
      <c r="NJ11" s="3428"/>
      <c r="NK11" s="3428"/>
      <c r="NL11" s="3428"/>
      <c r="NM11" s="3428"/>
      <c r="NN11" s="3428"/>
      <c r="NO11" s="3428"/>
      <c r="NP11" s="3428"/>
      <c r="NQ11" s="3428"/>
      <c r="NR11" s="3428"/>
      <c r="NS11" s="3428"/>
      <c r="NT11" s="3428"/>
      <c r="NU11" s="3428"/>
      <c r="NV11" s="3428"/>
      <c r="NW11" s="3428"/>
      <c r="NX11" s="3428"/>
      <c r="NY11" s="3428"/>
      <c r="NZ11" s="3428"/>
      <c r="OA11" s="3428"/>
      <c r="OB11" s="3428"/>
      <c r="OC11" s="3428"/>
      <c r="OD11" s="3428"/>
      <c r="OE11" s="3428"/>
      <c r="OF11" s="3428"/>
      <c r="OG11" s="3428"/>
      <c r="OH11" s="3428"/>
      <c r="OI11" s="3428"/>
      <c r="OJ11" s="3428"/>
      <c r="OK11" s="3428"/>
      <c r="OL11" s="3428"/>
      <c r="OM11" s="3428"/>
      <c r="ON11" s="3428"/>
      <c r="OO11" s="3428"/>
      <c r="OP11" s="3428"/>
      <c r="OQ11" s="3428"/>
      <c r="OR11" s="3428"/>
      <c r="OS11" s="3428"/>
      <c r="OT11" s="3428"/>
      <c r="OU11" s="3428"/>
      <c r="OV11" s="3428"/>
      <c r="OW11" s="3428"/>
      <c r="OX11" s="3428"/>
      <c r="OY11" s="3428"/>
      <c r="OZ11" s="3428"/>
      <c r="PA11" s="3428"/>
      <c r="PB11" s="3428"/>
      <c r="PC11" s="3428"/>
      <c r="PD11" s="3428"/>
      <c r="PE11" s="3428"/>
      <c r="PF11" s="3428"/>
      <c r="PG11" s="3428"/>
      <c r="PH11" s="3428"/>
      <c r="PI11" s="3428"/>
      <c r="PJ11" s="3428"/>
      <c r="PK11" s="3428"/>
      <c r="PL11" s="3428"/>
      <c r="PM11" s="3428"/>
      <c r="PN11" s="3428"/>
      <c r="PO11" s="3428"/>
      <c r="PP11" s="3428"/>
      <c r="PQ11" s="3428"/>
      <c r="PR11" s="3428"/>
      <c r="PS11" s="3428"/>
      <c r="PT11" s="3428"/>
      <c r="PU11" s="3428"/>
      <c r="PV11" s="3428"/>
      <c r="PW11" s="3428"/>
      <c r="PX11" s="3428"/>
      <c r="PY11" s="3428"/>
      <c r="PZ11" s="3428"/>
      <c r="QA11" s="3428"/>
      <c r="QB11" s="3428"/>
      <c r="QC11" s="3428"/>
      <c r="QD11" s="3428"/>
      <c r="QE11" s="3428"/>
      <c r="QF11" s="3428"/>
      <c r="QG11" s="3428"/>
      <c r="QH11" s="3428"/>
      <c r="QI11" s="3428"/>
      <c r="QJ11" s="3428"/>
      <c r="QK11" s="3428"/>
      <c r="QL11" s="3428"/>
      <c r="QM11" s="3428"/>
      <c r="QN11" s="3428"/>
      <c r="QO11" s="3428"/>
      <c r="QP11" s="3428"/>
      <c r="QQ11" s="3428"/>
      <c r="QR11" s="3428"/>
      <c r="QS11" s="3428"/>
      <c r="QT11" s="3428"/>
      <c r="QU11" s="3428"/>
      <c r="QV11" s="3428"/>
      <c r="QW11" s="3428"/>
      <c r="QX11" s="3428"/>
      <c r="QY11" s="3428"/>
      <c r="QZ11" s="3428"/>
      <c r="RA11" s="3428"/>
      <c r="RB11" s="3428"/>
      <c r="RC11" s="3428"/>
      <c r="RD11" s="3428"/>
      <c r="RE11" s="3428"/>
      <c r="RF11" s="3428"/>
      <c r="RG11" s="3428"/>
      <c r="RH11" s="3428"/>
      <c r="RI11" s="3428"/>
      <c r="RJ11" s="3428"/>
      <c r="RK11" s="3428"/>
      <c r="RL11" s="3428"/>
      <c r="RM11" s="3428"/>
      <c r="RN11" s="3428"/>
      <c r="RO11" s="3428"/>
      <c r="RP11" s="3428"/>
      <c r="RQ11" s="3428"/>
      <c r="RR11" s="3428"/>
      <c r="RS11" s="3428"/>
      <c r="RT11" s="3428"/>
      <c r="RU11" s="3428"/>
      <c r="RV11" s="3428"/>
      <c r="RW11" s="3428"/>
      <c r="RX11" s="3428"/>
      <c r="RY11" s="3428"/>
      <c r="RZ11" s="3428"/>
      <c r="SA11" s="3428"/>
      <c r="SB11" s="3428"/>
      <c r="SC11" s="3428"/>
      <c r="SD11" s="3428"/>
      <c r="SE11" s="3428"/>
      <c r="SF11" s="3428"/>
      <c r="SG11" s="3428"/>
      <c r="SH11" s="3428"/>
      <c r="SI11" s="3428"/>
      <c r="SJ11" s="3428"/>
      <c r="SK11" s="3428"/>
      <c r="SL11" s="3428"/>
      <c r="SM11" s="3428"/>
      <c r="SN11" s="3428"/>
      <c r="SO11" s="3428"/>
      <c r="SP11" s="3428"/>
      <c r="SQ11" s="3428"/>
      <c r="SR11" s="3428"/>
      <c r="SS11" s="3428"/>
      <c r="ST11" s="3428"/>
      <c r="SU11" s="3428"/>
      <c r="SV11" s="3428"/>
      <c r="SW11" s="3428"/>
      <c r="SX11" s="3428"/>
      <c r="SY11" s="3428"/>
      <c r="SZ11" s="3428"/>
      <c r="TA11" s="3428"/>
      <c r="TB11" s="3428"/>
      <c r="TC11" s="3428"/>
      <c r="TD11" s="3428"/>
      <c r="TE11" s="3428"/>
      <c r="TF11" s="3428"/>
      <c r="TG11" s="3428"/>
      <c r="TH11" s="3428"/>
      <c r="TI11" s="3428"/>
      <c r="TJ11" s="3428"/>
      <c r="TK11" s="3428"/>
      <c r="TL11" s="3428"/>
      <c r="TM11" s="3428"/>
      <c r="TN11" s="3428"/>
      <c r="TO11" s="3428"/>
      <c r="TP11" s="3428"/>
      <c r="TQ11" s="3428"/>
      <c r="TR11" s="3428"/>
      <c r="TS11" s="3428"/>
      <c r="TT11" s="3428"/>
      <c r="TU11" s="3428"/>
      <c r="TV11" s="3428"/>
      <c r="TW11" s="3428"/>
      <c r="TX11" s="3428"/>
      <c r="TY11" s="3428"/>
      <c r="TZ11" s="3428"/>
      <c r="UA11" s="3428"/>
      <c r="UB11" s="3428"/>
      <c r="UC11" s="3428"/>
      <c r="UD11" s="3428"/>
      <c r="UE11" s="3428"/>
      <c r="UF11" s="3428"/>
      <c r="UG11" s="3428"/>
      <c r="UH11" s="3428"/>
      <c r="UI11" s="3428"/>
      <c r="UJ11" s="3428"/>
      <c r="UK11" s="3428"/>
      <c r="UL11" s="3428"/>
      <c r="UM11" s="3428"/>
      <c r="UN11" s="3428"/>
      <c r="UO11" s="3428"/>
      <c r="UP11" s="3428"/>
      <c r="UQ11" s="3428"/>
      <c r="UR11" s="3428"/>
      <c r="US11" s="3428"/>
      <c r="UT11" s="3428"/>
      <c r="UU11" s="3428"/>
      <c r="UV11" s="3428"/>
      <c r="UW11" s="3428"/>
      <c r="UX11" s="3428"/>
      <c r="UY11" s="3428"/>
      <c r="UZ11" s="3428"/>
      <c r="VA11" s="3428"/>
      <c r="VB11" s="3428"/>
      <c r="VC11" s="3428"/>
      <c r="VD11" s="3428"/>
      <c r="VE11" s="3428"/>
      <c r="VF11" s="3428"/>
      <c r="VG11" s="3428"/>
      <c r="VH11" s="3428"/>
      <c r="VI11" s="3428"/>
      <c r="VJ11" s="3428"/>
      <c r="VK11" s="3428"/>
      <c r="VL11" s="3428"/>
      <c r="VM11" s="3428"/>
      <c r="VN11" s="3428"/>
      <c r="VO11" s="3428"/>
      <c r="VP11" s="3428"/>
      <c r="VQ11" s="3428"/>
      <c r="VR11" s="3428"/>
      <c r="VS11" s="3428"/>
      <c r="VT11" s="3428"/>
      <c r="VU11" s="3428"/>
      <c r="VV11" s="3428"/>
      <c r="VW11" s="3428"/>
      <c r="VX11" s="3428"/>
      <c r="VY11" s="3428"/>
      <c r="VZ11" s="3428"/>
      <c r="WA11" s="3428"/>
      <c r="WB11" s="3428"/>
      <c r="WC11" s="3428"/>
      <c r="WD11" s="3428"/>
      <c r="WE11" s="3428"/>
      <c r="WF11" s="3428"/>
      <c r="WG11" s="3428"/>
      <c r="WH11" s="3428"/>
      <c r="WI11" s="3428"/>
      <c r="WJ11" s="3428"/>
      <c r="WK11" s="3428"/>
      <c r="WL11" s="3428"/>
      <c r="WM11" s="3428"/>
      <c r="WN11" s="3428"/>
      <c r="WO11" s="3428"/>
      <c r="WP11" s="3428"/>
      <c r="WQ11" s="3428"/>
      <c r="WR11" s="3428"/>
      <c r="WS11" s="3428"/>
      <c r="WT11" s="3428"/>
      <c r="WU11" s="3428"/>
      <c r="WV11" s="3428"/>
      <c r="WW11" s="3428"/>
      <c r="WX11" s="3428"/>
      <c r="WY11" s="3428"/>
      <c r="WZ11" s="3428"/>
      <c r="XA11" s="3428"/>
      <c r="XB11" s="3428"/>
      <c r="XC11" s="3428"/>
      <c r="XD11" s="3428"/>
      <c r="XE11" s="3428"/>
      <c r="XF11" s="3428"/>
      <c r="XG11" s="3428"/>
      <c r="XH11" s="3428"/>
      <c r="XI11" s="3428"/>
      <c r="XJ11" s="3428"/>
      <c r="XK11" s="3428"/>
      <c r="XL11" s="3428"/>
      <c r="XM11" s="3428"/>
      <c r="XN11" s="3428"/>
      <c r="XO11" s="3428"/>
      <c r="XP11" s="3428"/>
      <c r="XQ11" s="3428"/>
      <c r="XR11" s="3428"/>
      <c r="XS11" s="3428"/>
      <c r="XT11" s="3428"/>
      <c r="XU11" s="3428"/>
      <c r="XV11" s="3428"/>
      <c r="XW11" s="3428"/>
      <c r="XX11" s="3428"/>
      <c r="XY11" s="3428"/>
      <c r="XZ11" s="3428"/>
      <c r="YA11" s="3428"/>
      <c r="YB11" s="3428"/>
      <c r="YC11" s="3428"/>
      <c r="YD11" s="3428"/>
      <c r="YE11" s="3428"/>
      <c r="YF11" s="3428"/>
      <c r="YG11" s="3428"/>
      <c r="YH11" s="3428"/>
      <c r="YI11" s="3428"/>
      <c r="YJ11" s="3428"/>
      <c r="YK11" s="3428"/>
      <c r="YL11" s="3428"/>
      <c r="YM11" s="3428"/>
      <c r="YN11" s="3428"/>
      <c r="YO11" s="3428"/>
      <c r="YP11" s="3428"/>
      <c r="YQ11" s="3428"/>
      <c r="YR11" s="3428"/>
      <c r="YS11" s="3428"/>
      <c r="YT11" s="3428"/>
      <c r="YU11" s="3428"/>
      <c r="YV11" s="3428"/>
      <c r="YW11" s="3428"/>
      <c r="YX11" s="3428"/>
      <c r="YY11" s="3428"/>
      <c r="YZ11" s="3428"/>
      <c r="ZA11" s="3428"/>
      <c r="ZB11" s="3428"/>
      <c r="ZC11" s="3428"/>
      <c r="ZD11" s="3428"/>
      <c r="ZE11" s="3428"/>
      <c r="ZF11" s="3428"/>
      <c r="ZG11" s="3428"/>
      <c r="ZH11" s="3428"/>
      <c r="ZI11" s="3428"/>
      <c r="ZJ11" s="3428"/>
      <c r="ZK11" s="3428"/>
      <c r="ZL11" s="3428"/>
      <c r="ZM11" s="3428"/>
      <c r="ZN11" s="3428"/>
      <c r="ZO11" s="3428"/>
      <c r="ZP11" s="3428"/>
      <c r="ZQ11" s="3428"/>
      <c r="ZR11" s="3428"/>
      <c r="ZS11" s="3428"/>
      <c r="ZT11" s="3428"/>
      <c r="ZU11" s="3428"/>
      <c r="ZV11" s="3428"/>
      <c r="ZW11" s="3428"/>
      <c r="ZX11" s="3428"/>
      <c r="ZY11" s="3428"/>
      <c r="ZZ11" s="3428"/>
      <c r="AAA11" s="3428"/>
      <c r="AAB11" s="3428"/>
      <c r="AAC11" s="3428"/>
      <c r="AAD11" s="3428"/>
      <c r="AAE11" s="3428"/>
      <c r="AAF11" s="3428"/>
      <c r="AAG11" s="3428"/>
      <c r="AAH11" s="3428"/>
      <c r="AAI11" s="3428"/>
      <c r="AAJ11" s="3428"/>
      <c r="AAK11" s="3428"/>
      <c r="AAL11" s="3428"/>
      <c r="AAM11" s="3428"/>
      <c r="AAN11" s="3428"/>
      <c r="AAO11" s="3428"/>
      <c r="AAP11" s="3428"/>
      <c r="AAQ11" s="3428"/>
      <c r="AAR11" s="3428"/>
      <c r="AAS11" s="3428"/>
      <c r="AAT11" s="3428"/>
      <c r="AAU11" s="3428"/>
      <c r="AAV11" s="3428"/>
      <c r="AAW11" s="3428"/>
      <c r="AAX11" s="3428"/>
      <c r="AAY11" s="3428"/>
      <c r="AAZ11" s="3428"/>
      <c r="ABA11" s="3428"/>
      <c r="ABB11" s="3428"/>
      <c r="ABC11" s="3428"/>
      <c r="ABD11" s="3428"/>
      <c r="ABE11" s="3428"/>
      <c r="ABF11" s="3428"/>
      <c r="ABG11" s="3428"/>
      <c r="ABH11" s="3428"/>
      <c r="ABI11" s="3428"/>
      <c r="ABJ11" s="3428"/>
      <c r="ABK11" s="3428"/>
      <c r="ABL11" s="3428"/>
      <c r="ABM11" s="3428"/>
      <c r="ABN11" s="3428"/>
      <c r="ABO11" s="3428"/>
      <c r="ABP11" s="3428"/>
      <c r="ABQ11" s="3428"/>
      <c r="ABR11" s="3428"/>
      <c r="ABS11" s="3428"/>
      <c r="ABT11" s="3428"/>
      <c r="ABU11" s="3428"/>
      <c r="ABV11" s="3428"/>
      <c r="ABW11" s="3428"/>
      <c r="ABX11" s="3428"/>
      <c r="ABY11" s="3428"/>
      <c r="ABZ11" s="3428"/>
      <c r="ACA11" s="3428"/>
      <c r="ACB11" s="3428"/>
      <c r="ACC11" s="3428"/>
      <c r="ACD11" s="3428"/>
      <c r="ACE11" s="3428"/>
      <c r="ACF11" s="3428"/>
      <c r="ACG11" s="3428"/>
      <c r="ACH11" s="3428"/>
      <c r="ACI11" s="3428"/>
      <c r="ACJ11" s="3428"/>
      <c r="ACK11" s="3428"/>
      <c r="ACL11" s="3428"/>
      <c r="ACM11" s="3428"/>
      <c r="ACN11" s="3428"/>
      <c r="ACO11" s="3428"/>
      <c r="ACP11" s="3428"/>
      <c r="ACQ11" s="3428"/>
      <c r="ACR11" s="3428"/>
      <c r="ACS11" s="3428"/>
      <c r="ACT11" s="3428"/>
      <c r="ACU11" s="3428"/>
      <c r="ACV11" s="3428"/>
      <c r="ACW11" s="3428"/>
      <c r="ACX11" s="3428"/>
      <c r="ACY11" s="3428"/>
      <c r="ACZ11" s="3428"/>
      <c r="ADA11" s="3428"/>
      <c r="ADB11" s="3428"/>
      <c r="ADC11" s="3428"/>
      <c r="ADD11" s="3428"/>
      <c r="ADE11" s="3428"/>
      <c r="ADF11" s="3428"/>
      <c r="ADG11" s="3428"/>
      <c r="ADH11" s="3428"/>
      <c r="ADI11" s="3428"/>
      <c r="ADJ11" s="3428"/>
      <c r="ADK11" s="3428"/>
      <c r="ADL11" s="3428"/>
      <c r="ADM11" s="3428"/>
      <c r="ADN11" s="3428"/>
      <c r="ADO11" s="3428"/>
      <c r="ADP11" s="3428"/>
      <c r="ADQ11" s="3428"/>
      <c r="ADR11" s="3428"/>
      <c r="ADS11" s="3428"/>
      <c r="ADT11" s="3428"/>
      <c r="ADU11" s="3428"/>
      <c r="ADV11" s="3428"/>
      <c r="ADW11" s="3428"/>
      <c r="ADX11" s="3428"/>
      <c r="ADY11" s="3428"/>
      <c r="ADZ11" s="3428"/>
      <c r="AEA11" s="3428"/>
      <c r="AEB11" s="3428"/>
      <c r="AEC11" s="3428"/>
      <c r="AED11" s="3428"/>
      <c r="AEE11" s="3428"/>
      <c r="AEF11" s="3428"/>
      <c r="AEG11" s="3428"/>
      <c r="AEH11" s="3428"/>
      <c r="AEI11" s="3428"/>
      <c r="AEJ11" s="3428"/>
      <c r="AEK11" s="3428"/>
      <c r="AEL11" s="3428"/>
      <c r="AEM11" s="3428"/>
      <c r="AEN11" s="3428"/>
      <c r="AEO11" s="3428"/>
      <c r="AEP11" s="3428"/>
      <c r="AEQ11" s="3428"/>
      <c r="AER11" s="3428"/>
      <c r="AES11" s="3428"/>
      <c r="AET11" s="3428"/>
      <c r="AEU11" s="3428"/>
      <c r="AEV11" s="3428"/>
      <c r="AEW11" s="3428"/>
      <c r="AEX11" s="3428"/>
      <c r="AEY11" s="3428"/>
      <c r="AEZ11" s="3428"/>
      <c r="AFA11" s="3428"/>
      <c r="AFB11" s="3428"/>
      <c r="AFC11" s="3428"/>
      <c r="AFD11" s="3428"/>
      <c r="AFE11" s="3428"/>
      <c r="AFF11" s="3428"/>
      <c r="AFG11" s="3428"/>
      <c r="AFH11" s="3428"/>
      <c r="AFI11" s="3428"/>
      <c r="AFJ11" s="3428"/>
      <c r="AFK11" s="3428"/>
      <c r="AFL11" s="3428"/>
      <c r="AFM11" s="3428"/>
      <c r="AFN11" s="3428"/>
      <c r="AFO11" s="3428"/>
      <c r="AFP11" s="3428"/>
      <c r="AFQ11" s="3428"/>
      <c r="AFR11" s="3428"/>
      <c r="AFS11" s="3428"/>
      <c r="AFT11" s="3428"/>
      <c r="AFU11" s="3428"/>
      <c r="AFV11" s="3428"/>
      <c r="AFW11" s="3428"/>
      <c r="AFX11" s="3428"/>
      <c r="AFY11" s="3428"/>
      <c r="AFZ11" s="3428"/>
      <c r="AGA11" s="3428"/>
      <c r="AGB11" s="3428"/>
      <c r="AGC11" s="3428"/>
      <c r="AGD11" s="3428"/>
      <c r="AGE11" s="3428"/>
      <c r="AGF11" s="3428"/>
      <c r="AGG11" s="3428"/>
      <c r="AGH11" s="3428"/>
      <c r="AGI11" s="3428"/>
      <c r="AGJ11" s="3428"/>
      <c r="AGK11" s="3428"/>
      <c r="AGL11" s="3428"/>
      <c r="AGM11" s="3428"/>
      <c r="AGN11" s="3428"/>
      <c r="AGO11" s="3428"/>
      <c r="AGP11" s="3428"/>
      <c r="AGQ11" s="3428"/>
      <c r="AGR11" s="3428"/>
      <c r="AGS11" s="3428"/>
      <c r="AGT11" s="3428"/>
      <c r="AGU11" s="3428"/>
      <c r="AGV11" s="3428"/>
      <c r="AGW11" s="3428"/>
      <c r="AGX11" s="3428"/>
      <c r="AGY11" s="3428"/>
      <c r="AGZ11" s="3428"/>
      <c r="AHA11" s="3428"/>
      <c r="AHB11" s="3428"/>
      <c r="AHC11" s="3428"/>
      <c r="AHD11" s="3428"/>
      <c r="AHE11" s="3428"/>
      <c r="AHF11" s="3428"/>
      <c r="AHG11" s="3428"/>
      <c r="AHH11" s="3428"/>
      <c r="AHI11" s="3428"/>
      <c r="AHJ11" s="3428"/>
      <c r="AHK11" s="3428"/>
      <c r="AHL11" s="3428"/>
      <c r="AHM11" s="3428"/>
      <c r="AHN11" s="3428"/>
      <c r="AHO11" s="3428"/>
      <c r="AHP11" s="3428"/>
      <c r="AHQ11" s="3428"/>
      <c r="AHR11" s="3428"/>
      <c r="AHS11" s="3428"/>
      <c r="AHT11" s="3428"/>
      <c r="AHU11" s="3428"/>
      <c r="AHV11" s="3428"/>
      <c r="AHW11" s="3428"/>
      <c r="AHX11" s="3428"/>
      <c r="AHY11" s="3428"/>
      <c r="AHZ11" s="3428"/>
      <c r="AIA11" s="3428"/>
      <c r="AIB11" s="3428"/>
      <c r="AIC11" s="3428"/>
      <c r="AID11" s="3428"/>
      <c r="AIE11" s="3428"/>
      <c r="AIF11" s="3428"/>
      <c r="AIG11" s="3428"/>
      <c r="AIH11" s="3428"/>
      <c r="AII11" s="3428"/>
      <c r="AIJ11" s="3428"/>
      <c r="AIK11" s="3428"/>
      <c r="AIL11" s="3428"/>
      <c r="AIM11" s="3428"/>
      <c r="AIN11" s="3428"/>
      <c r="AIO11" s="3428"/>
      <c r="AIP11" s="3428"/>
      <c r="AIQ11" s="3428"/>
      <c r="AIR11" s="3428"/>
      <c r="AIS11" s="3428"/>
      <c r="AIT11" s="3428"/>
      <c r="AIU11" s="3428"/>
      <c r="AIV11" s="3428"/>
      <c r="AIW11" s="3428"/>
      <c r="AIX11" s="3428"/>
      <c r="AIY11" s="3428"/>
      <c r="AIZ11" s="3428"/>
      <c r="AJA11" s="3428"/>
      <c r="AJB11" s="3428"/>
      <c r="AJC11" s="3428"/>
      <c r="AJD11" s="3428"/>
      <c r="AJE11" s="3428"/>
      <c r="AJF11" s="3428"/>
      <c r="AJG11" s="3428"/>
      <c r="AJH11" s="3428"/>
      <c r="AJI11" s="3428"/>
      <c r="AJJ11" s="3428"/>
      <c r="AJK11" s="3428"/>
      <c r="AJL11" s="3428"/>
      <c r="AJM11" s="3428"/>
      <c r="AJN11" s="3428"/>
      <c r="AJO11" s="3428"/>
      <c r="AJP11" s="3428"/>
      <c r="AJQ11" s="3428"/>
      <c r="AJR11" s="3428"/>
      <c r="AJS11" s="3428"/>
      <c r="AJT11" s="3428"/>
      <c r="AJU11" s="3428"/>
      <c r="AJV11" s="3428"/>
      <c r="AJW11" s="3428"/>
      <c r="AJX11" s="3428"/>
      <c r="AJY11" s="3428"/>
      <c r="AJZ11" s="3428"/>
      <c r="AKA11" s="3428"/>
      <c r="AKB11" s="3428"/>
      <c r="AKC11" s="3428"/>
      <c r="AKD11" s="3428"/>
      <c r="AKE11" s="3428"/>
      <c r="AKF11" s="3428"/>
      <c r="AKG11" s="3428"/>
      <c r="AKH11" s="3428"/>
      <c r="AKI11" s="3428"/>
      <c r="AKJ11" s="3428"/>
      <c r="AKK11" s="3428"/>
      <c r="AKL11" s="3428"/>
      <c r="AKM11" s="3428"/>
      <c r="AKN11" s="3428"/>
      <c r="AKO11" s="3428"/>
      <c r="AKP11" s="3428"/>
      <c r="AKQ11" s="3428"/>
      <c r="AKR11" s="3428"/>
      <c r="AKS11" s="3428"/>
      <c r="AKT11" s="3428"/>
      <c r="AKU11" s="3428"/>
      <c r="AKV11" s="3428"/>
      <c r="AKW11" s="3428"/>
      <c r="AKX11" s="3428"/>
      <c r="AKY11" s="3428"/>
      <c r="AKZ11" s="3428"/>
      <c r="ALA11" s="3428"/>
      <c r="ALB11" s="3428"/>
      <c r="ALC11" s="3428"/>
      <c r="ALD11" s="3428"/>
      <c r="ALE11" s="3428"/>
      <c r="ALF11" s="3428"/>
      <c r="ALG11" s="3428"/>
      <c r="ALH11" s="3428"/>
      <c r="ALI11" s="3428"/>
      <c r="ALJ11" s="3428"/>
      <c r="ALK11" s="3428"/>
      <c r="ALL11" s="3428"/>
      <c r="ALM11" s="3428"/>
      <c r="ALN11" s="3428"/>
      <c r="ALO11" s="3428"/>
      <c r="ALP11" s="3428"/>
      <c r="ALQ11" s="3428"/>
      <c r="ALR11" s="3428"/>
      <c r="ALS11" s="3428"/>
      <c r="ALT11" s="3428"/>
      <c r="ALU11" s="3428"/>
      <c r="ALV11" s="3428"/>
      <c r="ALW11" s="3428"/>
      <c r="ALX11" s="3428"/>
      <c r="ALY11" s="3428"/>
      <c r="ALZ11" s="3428"/>
      <c r="AMA11" s="3428"/>
      <c r="AMB11" s="3428"/>
      <c r="AMC11" s="3428"/>
      <c r="AMD11" s="3428"/>
      <c r="AME11" s="3428"/>
      <c r="AMF11" s="3428"/>
      <c r="AMG11" s="3428"/>
      <c r="AMH11" s="3428"/>
      <c r="AMI11" s="3428"/>
      <c r="AMJ11" s="3428"/>
      <c r="AMK11" s="3428"/>
      <c r="AML11" s="3428"/>
      <c r="AMM11" s="3428"/>
      <c r="AMN11" s="3428"/>
      <c r="AMO11" s="3428"/>
      <c r="AMP11" s="3428"/>
      <c r="AMQ11" s="3428"/>
      <c r="AMR11" s="3428"/>
      <c r="AMS11" s="3428"/>
      <c r="AMT11" s="3428"/>
      <c r="AMU11" s="3428"/>
      <c r="AMV11" s="3428"/>
      <c r="AMW11" s="3428"/>
      <c r="AMX11" s="3428"/>
      <c r="AMY11" s="3428"/>
      <c r="AMZ11" s="3428"/>
      <c r="ANA11" s="3428"/>
      <c r="ANB11" s="3428"/>
      <c r="ANC11" s="3428"/>
      <c r="AND11" s="3428"/>
      <c r="ANE11" s="3428"/>
      <c r="ANF11" s="3428"/>
      <c r="ANG11" s="3428"/>
      <c r="ANH11" s="3428"/>
      <c r="ANI11" s="3428"/>
      <c r="ANJ11" s="3428"/>
      <c r="ANK11" s="3428"/>
      <c r="ANL11" s="3428"/>
      <c r="ANM11" s="3428"/>
      <c r="ANN11" s="3428"/>
      <c r="ANO11" s="3428"/>
      <c r="ANP11" s="3428"/>
      <c r="ANQ11" s="3428"/>
      <c r="ANR11" s="3428"/>
      <c r="ANS11" s="3428"/>
      <c r="ANT11" s="3428"/>
      <c r="ANU11" s="3428"/>
      <c r="ANV11" s="3428"/>
      <c r="ANW11" s="3428"/>
      <c r="ANX11" s="3428"/>
      <c r="ANY11" s="3428"/>
      <c r="ANZ11" s="3428"/>
      <c r="AOA11" s="3428"/>
      <c r="AOB11" s="3428"/>
      <c r="AOC11" s="3428"/>
      <c r="AOD11" s="3428"/>
      <c r="AOE11" s="3428"/>
      <c r="AOF11" s="3428"/>
      <c r="AOG11" s="3428"/>
      <c r="AOH11" s="3428"/>
      <c r="AOI11" s="3428"/>
      <c r="AOJ11" s="3428"/>
      <c r="AOK11" s="3428"/>
      <c r="AOL11" s="3428"/>
      <c r="AOM11" s="3428"/>
      <c r="AON11" s="3428"/>
      <c r="AOO11" s="3428"/>
      <c r="AOP11" s="3428"/>
      <c r="AOQ11" s="3428"/>
      <c r="AOR11" s="3428"/>
      <c r="AOS11" s="3428"/>
      <c r="AOT11" s="3428"/>
      <c r="AOU11" s="3428"/>
      <c r="AOV11" s="3428"/>
      <c r="AOW11" s="3428"/>
      <c r="AOX11" s="3428"/>
      <c r="AOY11" s="3428"/>
      <c r="AOZ11" s="3428"/>
      <c r="APA11" s="3428"/>
      <c r="APB11" s="3428"/>
      <c r="APC11" s="3428"/>
      <c r="APD11" s="3428"/>
      <c r="APE11" s="3428"/>
      <c r="APF11" s="3428"/>
      <c r="APG11" s="3428"/>
      <c r="APH11" s="3428"/>
      <c r="API11" s="3428"/>
      <c r="APJ11" s="3428"/>
      <c r="APK11" s="3428"/>
      <c r="APL11" s="3428"/>
      <c r="APM11" s="3428"/>
      <c r="APN11" s="3428"/>
      <c r="APO11" s="3428"/>
      <c r="APP11" s="3428"/>
      <c r="APQ11" s="3428"/>
      <c r="APR11" s="3428"/>
      <c r="APS11" s="3428"/>
      <c r="APT11" s="3428"/>
      <c r="APU11" s="3428"/>
      <c r="APV11" s="3428"/>
      <c r="APW11" s="3428"/>
      <c r="APX11" s="3428"/>
      <c r="APY11" s="3428"/>
      <c r="APZ11" s="3428"/>
      <c r="AQA11" s="3428"/>
      <c r="AQB11" s="3428"/>
      <c r="AQC11" s="3428"/>
      <c r="AQD11" s="3428"/>
      <c r="AQE11" s="3428"/>
      <c r="AQF11" s="3428"/>
      <c r="AQG11" s="3428"/>
      <c r="AQH11" s="3428"/>
      <c r="AQI11" s="3428"/>
      <c r="AQJ11" s="3428"/>
      <c r="AQK11" s="3428"/>
      <c r="AQL11" s="3428"/>
      <c r="AQM11" s="3428"/>
      <c r="AQN11" s="3428"/>
      <c r="AQO11" s="3428"/>
      <c r="AQP11" s="3428"/>
      <c r="AQQ11" s="3428"/>
      <c r="AQR11" s="3428"/>
      <c r="AQS11" s="3428"/>
      <c r="AQT11" s="3428"/>
      <c r="AQU11" s="3428"/>
      <c r="AQV11" s="3428"/>
      <c r="AQW11" s="3428"/>
      <c r="AQX11" s="3428"/>
      <c r="AQY11" s="3428"/>
      <c r="AQZ11" s="3428"/>
      <c r="ARA11" s="3428"/>
      <c r="ARB11" s="3428"/>
      <c r="ARC11" s="3428"/>
      <c r="ARD11" s="3428"/>
      <c r="ARE11" s="3428"/>
      <c r="ARF11" s="3428"/>
      <c r="ARG11" s="3428"/>
      <c r="ARH11" s="3428"/>
      <c r="ARI11" s="3428"/>
      <c r="ARJ11" s="3428"/>
      <c r="ARK11" s="3428"/>
      <c r="ARL11" s="3428"/>
      <c r="ARM11" s="3428"/>
      <c r="ARN11" s="3428"/>
      <c r="ARO11" s="3428"/>
      <c r="ARP11" s="3428"/>
      <c r="ARQ11" s="3428"/>
      <c r="ARR11" s="3428"/>
      <c r="ARS11" s="3428"/>
      <c r="ART11" s="3428"/>
      <c r="ARU11" s="3428"/>
      <c r="ARV11" s="3428"/>
      <c r="ARW11" s="3428"/>
      <c r="ARX11" s="3428"/>
      <c r="ARY11" s="3428"/>
      <c r="ARZ11" s="3428"/>
      <c r="ASA11" s="3428"/>
      <c r="ASB11" s="3428"/>
      <c r="ASC11" s="3428"/>
      <c r="ASD11" s="3428"/>
      <c r="ASE11" s="3428"/>
      <c r="ASF11" s="3428"/>
      <c r="ASG11" s="3428"/>
      <c r="ASH11" s="3428"/>
      <c r="ASI11" s="3428"/>
      <c r="ASJ11" s="3428"/>
      <c r="ASK11" s="3428"/>
      <c r="ASL11" s="3428"/>
      <c r="ASM11" s="3428"/>
      <c r="ASN11" s="3428"/>
      <c r="ASO11" s="3428"/>
      <c r="ASP11" s="3428"/>
      <c r="ASQ11" s="3428"/>
      <c r="ASR11" s="3428"/>
      <c r="ASS11" s="3428"/>
      <c r="AST11" s="3428"/>
      <c r="ASU11" s="3428"/>
      <c r="ASV11" s="3428"/>
      <c r="ASW11" s="3428"/>
      <c r="ASX11" s="3428"/>
      <c r="ASY11" s="3428"/>
      <c r="ASZ11" s="3428"/>
      <c r="ATA11" s="3428"/>
      <c r="ATB11" s="3428"/>
      <c r="ATC11" s="3428"/>
      <c r="ATD11" s="3428"/>
      <c r="ATE11" s="3428"/>
      <c r="ATF11" s="3428"/>
      <c r="ATG11" s="3428"/>
      <c r="ATH11" s="3428"/>
      <c r="ATI11" s="3428"/>
      <c r="ATJ11" s="3428"/>
      <c r="ATK11" s="3428"/>
      <c r="ATL11" s="3428"/>
      <c r="ATM11" s="3428"/>
      <c r="ATN11" s="3428"/>
      <c r="ATO11" s="3428"/>
      <c r="ATP11" s="3428"/>
      <c r="ATQ11" s="3428"/>
      <c r="ATR11" s="3428"/>
      <c r="ATS11" s="3428"/>
      <c r="ATT11" s="3428"/>
      <c r="ATU11" s="3428"/>
      <c r="ATV11" s="3428"/>
      <c r="ATW11" s="3428"/>
      <c r="ATX11" s="3428"/>
      <c r="ATY11" s="3428"/>
      <c r="ATZ11" s="3428"/>
      <c r="AUA11" s="3428"/>
      <c r="AUB11" s="3428"/>
      <c r="AUC11" s="3428"/>
      <c r="AUD11" s="3428"/>
      <c r="AUE11" s="3428"/>
      <c r="AUF11" s="3428"/>
      <c r="AUG11" s="3428"/>
      <c r="AUH11" s="3428"/>
      <c r="AUI11" s="3428"/>
      <c r="AUJ11" s="3428"/>
      <c r="AUK11" s="3428"/>
      <c r="AUL11" s="3428"/>
      <c r="AUM11" s="3428"/>
      <c r="AUN11" s="3428"/>
      <c r="AUO11" s="3428"/>
      <c r="AUP11" s="3428"/>
      <c r="AUQ11" s="3428"/>
      <c r="AUR11" s="3428"/>
      <c r="AUS11" s="3428"/>
      <c r="AUT11" s="3428"/>
      <c r="AUU11" s="3428"/>
      <c r="AUV11" s="3428"/>
      <c r="AUW11" s="3428"/>
      <c r="AUX11" s="3428"/>
      <c r="AUY11" s="3428"/>
      <c r="AUZ11" s="3428"/>
      <c r="AVA11" s="3428"/>
      <c r="AVB11" s="3428"/>
      <c r="AVC11" s="3428"/>
      <c r="AVD11" s="3428"/>
      <c r="AVE11" s="3428"/>
      <c r="AVF11" s="3428"/>
      <c r="AVG11" s="3428"/>
      <c r="AVH11" s="3428"/>
      <c r="AVI11" s="3428"/>
      <c r="AVJ11" s="3428"/>
      <c r="AVK11" s="3428"/>
      <c r="AVL11" s="3428"/>
      <c r="AVM11" s="3428"/>
      <c r="AVN11" s="3428"/>
      <c r="AVO11" s="3428"/>
      <c r="AVP11" s="3428"/>
      <c r="AVQ11" s="3428"/>
      <c r="AVR11" s="3428"/>
      <c r="AVS11" s="3428"/>
      <c r="AVT11" s="3428"/>
      <c r="AVU11" s="3428"/>
      <c r="AVV11" s="3428"/>
      <c r="AVW11" s="3428"/>
      <c r="AVX11" s="3428"/>
      <c r="AVY11" s="3428"/>
      <c r="AVZ11" s="3428"/>
      <c r="AWA11" s="3428"/>
      <c r="AWB11" s="3428"/>
      <c r="AWC11" s="3428"/>
      <c r="AWD11" s="3428"/>
      <c r="AWE11" s="3428"/>
      <c r="AWF11" s="3428"/>
      <c r="AWG11" s="3428"/>
      <c r="AWH11" s="3428"/>
      <c r="AWI11" s="3428"/>
      <c r="AWJ11" s="3428"/>
      <c r="AWK11" s="3428"/>
      <c r="AWL11" s="3428"/>
      <c r="AWM11" s="3428"/>
      <c r="AWN11" s="3428"/>
      <c r="AWO11" s="3428"/>
      <c r="AWP11" s="3428"/>
      <c r="AWQ11" s="3428"/>
      <c r="AWR11" s="3428"/>
      <c r="AWS11" s="3428"/>
      <c r="AWT11" s="3428"/>
      <c r="AWU11" s="3428"/>
      <c r="AWV11" s="3428"/>
      <c r="AWW11" s="3428"/>
      <c r="AWX11" s="3428"/>
      <c r="AWY11" s="3428"/>
      <c r="AWZ11" s="3428"/>
      <c r="AXA11" s="3428"/>
      <c r="AXB11" s="3428"/>
      <c r="AXC11" s="3428"/>
      <c r="AXD11" s="3428"/>
      <c r="AXE11" s="3428"/>
      <c r="AXF11" s="3428"/>
      <c r="AXG11" s="3428"/>
      <c r="AXH11" s="3428"/>
      <c r="AXI11" s="3428"/>
      <c r="AXJ11" s="3428"/>
      <c r="AXK11" s="3428"/>
      <c r="AXL11" s="3428"/>
      <c r="AXM11" s="3428"/>
      <c r="AXN11" s="3428"/>
      <c r="AXO11" s="3428"/>
      <c r="AXP11" s="3428"/>
      <c r="AXQ11" s="3428"/>
      <c r="AXR11" s="3428"/>
      <c r="AXS11" s="3428"/>
      <c r="AXT11" s="3428"/>
      <c r="AXU11" s="3428"/>
      <c r="AXV11" s="3428"/>
      <c r="AXW11" s="3428"/>
      <c r="AXX11" s="3428"/>
      <c r="AXY11" s="3428"/>
      <c r="AXZ11" s="3428"/>
      <c r="AYA11" s="3428"/>
      <c r="AYB11" s="3428"/>
      <c r="AYC11" s="3428"/>
      <c r="AYD11" s="3428"/>
      <c r="AYE11" s="3428"/>
      <c r="AYF11" s="3428"/>
      <c r="AYG11" s="3428"/>
      <c r="AYH11" s="3428"/>
      <c r="AYI11" s="3428"/>
      <c r="AYJ11" s="3428"/>
      <c r="AYK11" s="3428"/>
      <c r="AYL11" s="3428"/>
      <c r="AYM11" s="3428"/>
      <c r="AYN11" s="3428"/>
      <c r="AYO11" s="3428"/>
      <c r="AYP11" s="3428"/>
      <c r="AYQ11" s="3428"/>
      <c r="AYR11" s="3428"/>
      <c r="AYS11" s="3428"/>
      <c r="AYT11" s="3428"/>
      <c r="AYU11" s="3428"/>
      <c r="AYV11" s="3428"/>
      <c r="AYW11" s="3428"/>
      <c r="AYX11" s="3428"/>
      <c r="AYY11" s="3428"/>
      <c r="AYZ11" s="3428"/>
      <c r="AZA11" s="3428"/>
      <c r="AZB11" s="3428"/>
      <c r="AZC11" s="3428"/>
      <c r="AZD11" s="3428"/>
      <c r="AZE11" s="3428"/>
      <c r="AZF11" s="3428"/>
      <c r="AZG11" s="3428"/>
      <c r="AZH11" s="3428"/>
      <c r="AZI11" s="3428"/>
      <c r="AZJ11" s="3428"/>
      <c r="AZK11" s="3428"/>
      <c r="AZL11" s="3428"/>
      <c r="AZM11" s="3428"/>
      <c r="AZN11" s="3428"/>
      <c r="AZO11" s="3428"/>
      <c r="AZP11" s="3428"/>
      <c r="AZQ11" s="3428"/>
      <c r="AZR11" s="3428"/>
      <c r="AZS11" s="3428"/>
      <c r="AZT11" s="3428"/>
      <c r="AZU11" s="3428"/>
      <c r="AZV11" s="3428"/>
      <c r="AZW11" s="3428"/>
      <c r="AZX11" s="3428"/>
      <c r="AZY11" s="3428"/>
      <c r="AZZ11" s="3428"/>
      <c r="BAA11" s="3428"/>
      <c r="BAB11" s="3428"/>
      <c r="BAC11" s="3428"/>
      <c r="BAD11" s="3428"/>
      <c r="BAE11" s="3428"/>
      <c r="BAF11" s="3428"/>
      <c r="BAG11" s="3428"/>
      <c r="BAH11" s="3428"/>
      <c r="BAI11" s="3428"/>
      <c r="BAJ11" s="3428"/>
      <c r="BAK11" s="3428"/>
      <c r="BAL11" s="3428"/>
      <c r="BAM11" s="3428"/>
      <c r="BAN11" s="3428"/>
      <c r="BAO11" s="3428"/>
      <c r="BAP11" s="3428"/>
      <c r="BAQ11" s="3428"/>
      <c r="BAR11" s="3428"/>
      <c r="BAS11" s="3428"/>
      <c r="BAT11" s="3428"/>
      <c r="BAU11" s="3428"/>
      <c r="BAV11" s="3428"/>
      <c r="BAW11" s="3428"/>
      <c r="BAX11" s="3428"/>
      <c r="BAY11" s="3428"/>
      <c r="BAZ11" s="3428"/>
      <c r="BBA11" s="3428"/>
      <c r="BBB11" s="3428"/>
      <c r="BBC11" s="3428"/>
      <c r="BBD11" s="3428"/>
      <c r="BBE11" s="3428"/>
      <c r="BBF11" s="3428"/>
      <c r="BBG11" s="3428"/>
      <c r="BBH11" s="3428"/>
      <c r="BBI11" s="3428"/>
      <c r="BBJ11" s="3428"/>
      <c r="BBK11" s="3428"/>
      <c r="BBL11" s="3428"/>
      <c r="BBM11" s="3428"/>
      <c r="BBN11" s="3428"/>
      <c r="BBO11" s="3428"/>
      <c r="BBP11" s="3428"/>
      <c r="BBQ11" s="3428"/>
      <c r="BBR11" s="3428"/>
      <c r="BBS11" s="3428"/>
      <c r="BBT11" s="3428"/>
      <c r="BBU11" s="3428"/>
      <c r="BBV11" s="3428"/>
      <c r="BBW11" s="3428"/>
      <c r="BBX11" s="3428"/>
      <c r="BBY11" s="3428"/>
      <c r="BBZ11" s="3428"/>
      <c r="BCA11" s="3428"/>
      <c r="BCB11" s="3428"/>
      <c r="BCC11" s="3428"/>
      <c r="BCD11" s="3428"/>
      <c r="BCE11" s="3428"/>
      <c r="BCF11" s="3428"/>
      <c r="BCG11" s="3428"/>
      <c r="BCH11" s="3428"/>
      <c r="BCI11" s="3428"/>
      <c r="BCJ11" s="3428"/>
      <c r="BCK11" s="3428"/>
      <c r="BCL11" s="3428"/>
      <c r="BCM11" s="3428"/>
      <c r="BCN11" s="3428"/>
      <c r="BCO11" s="3428"/>
      <c r="BCP11" s="3428"/>
      <c r="BCQ11" s="3428"/>
      <c r="BCR11" s="3428"/>
      <c r="BCS11" s="3428"/>
      <c r="BCT11" s="3428"/>
      <c r="BCU11" s="3428"/>
      <c r="BCV11" s="3428"/>
      <c r="BCW11" s="3428"/>
      <c r="BCX11" s="3428"/>
      <c r="BCY11" s="3428"/>
      <c r="BCZ11" s="3428"/>
      <c r="BDA11" s="3428"/>
      <c r="BDB11" s="3428"/>
      <c r="BDC11" s="3428"/>
      <c r="BDD11" s="3428"/>
      <c r="BDE11" s="3428"/>
      <c r="BDF11" s="3428"/>
      <c r="BDG11" s="3428"/>
      <c r="BDH11" s="3428"/>
      <c r="BDI11" s="3428"/>
      <c r="BDJ11" s="3428"/>
      <c r="BDK11" s="3428"/>
      <c r="BDL11" s="3428"/>
      <c r="BDM11" s="3428"/>
      <c r="BDN11" s="3428"/>
      <c r="BDO11" s="3428"/>
      <c r="BDP11" s="3428"/>
      <c r="BDQ11" s="3428"/>
      <c r="BDR11" s="3428"/>
      <c r="BDS11" s="3428"/>
      <c r="BDT11" s="3428"/>
      <c r="BDU11" s="3428"/>
      <c r="BDV11" s="3428"/>
      <c r="BDW11" s="3428"/>
      <c r="BDX11" s="3428"/>
      <c r="BDY11" s="3428"/>
      <c r="BDZ11" s="3428"/>
      <c r="BEA11" s="3428"/>
      <c r="BEB11" s="3428"/>
      <c r="BEC11" s="3428"/>
      <c r="BED11" s="3428"/>
      <c r="BEE11" s="3428"/>
      <c r="BEF11" s="3428"/>
      <c r="BEG11" s="3428"/>
      <c r="BEH11" s="3428"/>
      <c r="BEI11" s="3428"/>
      <c r="BEJ11" s="3428"/>
      <c r="BEK11" s="3428"/>
      <c r="BEL11" s="3428"/>
      <c r="BEM11" s="3428"/>
      <c r="BEN11" s="3428"/>
      <c r="BEO11" s="3428"/>
      <c r="BEP11" s="3428"/>
      <c r="BEQ11" s="3428"/>
      <c r="BER11" s="3428"/>
      <c r="BES11" s="3428"/>
      <c r="BET11" s="3428"/>
      <c r="BEU11" s="3428"/>
      <c r="BEV11" s="3428"/>
      <c r="BEW11" s="3428"/>
      <c r="BEX11" s="3428"/>
      <c r="BEY11" s="3428"/>
      <c r="BEZ11" s="3428"/>
      <c r="BFA11" s="3428"/>
      <c r="BFB11" s="3428"/>
      <c r="BFC11" s="3428"/>
      <c r="BFD11" s="3428"/>
      <c r="BFE11" s="3428"/>
      <c r="BFF11" s="3428"/>
      <c r="BFG11" s="3428"/>
      <c r="BFH11" s="3428"/>
      <c r="BFI11" s="3428"/>
      <c r="BFJ11" s="3428"/>
      <c r="BFK11" s="3428"/>
      <c r="BFL11" s="3428"/>
      <c r="BFM11" s="3428"/>
      <c r="BFN11" s="3428"/>
      <c r="BFO11" s="3428"/>
      <c r="BFP11" s="3428"/>
      <c r="BFQ11" s="3428"/>
      <c r="BFR11" s="3428"/>
      <c r="BFS11" s="3428"/>
      <c r="BFT11" s="3428"/>
      <c r="BFU11" s="3428"/>
      <c r="BFV11" s="3428"/>
      <c r="BFW11" s="3428"/>
      <c r="BFX11" s="3428"/>
      <c r="BFY11" s="3428"/>
      <c r="BFZ11" s="3428"/>
      <c r="BGA11" s="3428"/>
      <c r="BGB11" s="3428"/>
      <c r="BGC11" s="3428"/>
      <c r="BGD11" s="3428"/>
      <c r="BGE11" s="3428"/>
      <c r="BGF11" s="3428"/>
      <c r="BGG11" s="3428"/>
      <c r="BGH11" s="3428"/>
      <c r="BGI11" s="3428"/>
      <c r="BGJ11" s="3428"/>
      <c r="BGK11" s="3428"/>
      <c r="BGL11" s="3428"/>
      <c r="BGM11" s="3428"/>
      <c r="BGN11" s="3428"/>
      <c r="BGO11" s="3428"/>
      <c r="BGP11" s="3428"/>
      <c r="BGQ11" s="3428"/>
      <c r="BGR11" s="3428"/>
      <c r="BGS11" s="3428"/>
      <c r="BGT11" s="3428"/>
      <c r="BGU11" s="3428"/>
      <c r="BGV11" s="3428"/>
      <c r="BGW11" s="3428"/>
      <c r="BGX11" s="3428"/>
      <c r="BGY11" s="3428"/>
      <c r="BGZ11" s="3428"/>
      <c r="BHA11" s="3428"/>
      <c r="BHB11" s="3428"/>
      <c r="BHC11" s="3428"/>
      <c r="BHD11" s="3428"/>
      <c r="BHE11" s="3428"/>
      <c r="BHF11" s="3428"/>
      <c r="BHG11" s="3428"/>
      <c r="BHH11" s="3428"/>
      <c r="BHI11" s="3428"/>
      <c r="BHJ11" s="3428"/>
      <c r="BHK11" s="3428"/>
      <c r="BHL11" s="3428"/>
      <c r="BHM11" s="3428"/>
      <c r="BHN11" s="3428"/>
      <c r="BHO11" s="3428"/>
      <c r="BHP11" s="3428"/>
      <c r="BHQ11" s="3428"/>
      <c r="BHR11" s="3428"/>
      <c r="BHS11" s="3428"/>
      <c r="BHT11" s="3428"/>
      <c r="BHU11" s="3428"/>
      <c r="BHV11" s="3428"/>
      <c r="BHW11" s="3428"/>
      <c r="BHX11" s="3428"/>
      <c r="BHY11" s="3428"/>
      <c r="BHZ11" s="3428"/>
      <c r="BIA11" s="3428"/>
      <c r="BIB11" s="3428"/>
      <c r="BIC11" s="3428"/>
      <c r="BID11" s="3428"/>
      <c r="BIE11" s="3428"/>
      <c r="BIF11" s="3428"/>
      <c r="BIG11" s="3428"/>
      <c r="BIH11" s="3428"/>
      <c r="BII11" s="3428"/>
      <c r="BIJ11" s="3428"/>
      <c r="BIK11" s="3428"/>
      <c r="BIL11" s="3428"/>
      <c r="BIM11" s="3428"/>
      <c r="BIN11" s="3428"/>
      <c r="BIO11" s="3428"/>
      <c r="BIP11" s="3428"/>
      <c r="BIQ11" s="3428"/>
      <c r="BIR11" s="3428"/>
      <c r="BIS11" s="3428"/>
      <c r="BIT11" s="3428"/>
      <c r="BIU11" s="3428"/>
      <c r="BIV11" s="3428"/>
      <c r="BIW11" s="3428"/>
      <c r="BIX11" s="3428"/>
      <c r="BIY11" s="3428"/>
      <c r="BIZ11" s="3428"/>
      <c r="BJA11" s="3428"/>
      <c r="BJB11" s="3428"/>
      <c r="BJC11" s="3428"/>
      <c r="BJD11" s="3428"/>
      <c r="BJE11" s="3428"/>
      <c r="BJF11" s="3428"/>
      <c r="BJG11" s="3428"/>
      <c r="BJH11" s="3428"/>
      <c r="BJI11" s="3428"/>
      <c r="BJJ11" s="3428"/>
      <c r="BJK11" s="3428"/>
      <c r="BJL11" s="3428"/>
      <c r="BJM11" s="3428"/>
      <c r="BJN11" s="3428"/>
      <c r="BJO11" s="3428"/>
      <c r="BJP11" s="3428"/>
      <c r="BJQ11" s="3428"/>
      <c r="BJR11" s="3428"/>
      <c r="BJS11" s="3428"/>
      <c r="BJT11" s="3428"/>
      <c r="BJU11" s="3428"/>
      <c r="BJV11" s="3428"/>
      <c r="BJW11" s="3428"/>
      <c r="BJX11" s="3428"/>
      <c r="BJY11" s="3428"/>
      <c r="BJZ11" s="3428"/>
      <c r="BKA11" s="3428"/>
      <c r="BKB11" s="3428"/>
      <c r="BKC11" s="3428"/>
      <c r="BKD11" s="3428"/>
      <c r="BKE11" s="3428"/>
      <c r="BKF11" s="3428"/>
      <c r="BKG11" s="3428"/>
      <c r="BKH11" s="3428"/>
      <c r="BKI11" s="3428"/>
      <c r="BKJ11" s="3428"/>
      <c r="BKK11" s="3428"/>
      <c r="BKL11" s="3428"/>
      <c r="BKM11" s="3428"/>
      <c r="BKN11" s="3428"/>
      <c r="BKO11" s="3428"/>
      <c r="BKP11" s="3428"/>
      <c r="BKQ11" s="3428"/>
      <c r="BKR11" s="3428"/>
      <c r="BKS11" s="3428"/>
      <c r="BKT11" s="3428"/>
      <c r="BKU11" s="3428"/>
      <c r="BKV11" s="3428"/>
      <c r="BKW11" s="3428"/>
      <c r="BKX11" s="3428"/>
      <c r="BKY11" s="3428"/>
      <c r="BKZ11" s="3428"/>
      <c r="BLA11" s="3428"/>
      <c r="BLB11" s="3428"/>
      <c r="BLC11" s="3428"/>
      <c r="BLD11" s="3428"/>
      <c r="BLE11" s="3428"/>
      <c r="BLF11" s="3428"/>
      <c r="BLG11" s="3428"/>
      <c r="BLH11" s="3428"/>
      <c r="BLI11" s="3428"/>
      <c r="BLJ11" s="3428"/>
      <c r="BLK11" s="3428"/>
      <c r="BLL11" s="3428"/>
      <c r="BLM11" s="3428"/>
      <c r="BLN11" s="3428"/>
      <c r="BLO11" s="3428"/>
      <c r="BLP11" s="3428"/>
      <c r="BLQ11" s="3428"/>
      <c r="BLR11" s="3428"/>
      <c r="BLS11" s="3428"/>
      <c r="BLT11" s="3428"/>
      <c r="BLU11" s="3428"/>
      <c r="BLV11" s="3428"/>
      <c r="BLW11" s="3428"/>
      <c r="BLX11" s="3428"/>
      <c r="BLY11" s="3428"/>
      <c r="BLZ11" s="3428"/>
      <c r="BMA11" s="3428"/>
      <c r="BMB11" s="3428"/>
      <c r="BMC11" s="3428"/>
      <c r="BMD11" s="3428"/>
      <c r="BME11" s="3428"/>
      <c r="BMF11" s="3428"/>
      <c r="BMG11" s="3428"/>
      <c r="BMH11" s="3428"/>
      <c r="BMI11" s="3428"/>
      <c r="BMJ11" s="3428"/>
      <c r="BMK11" s="3428"/>
      <c r="BML11" s="3428"/>
      <c r="BMM11" s="3428"/>
      <c r="BMN11" s="3428"/>
      <c r="BMO11" s="3428"/>
      <c r="BMP11" s="3428"/>
      <c r="BMQ11" s="3428"/>
      <c r="BMR11" s="3428"/>
      <c r="BMS11" s="3428"/>
      <c r="BMT11" s="3428"/>
      <c r="BMU11" s="3428"/>
      <c r="BMV11" s="3428"/>
      <c r="BMW11" s="3428"/>
      <c r="BMX11" s="3428"/>
      <c r="BMY11" s="3428"/>
      <c r="BMZ11" s="3428"/>
      <c r="BNA11" s="3428"/>
      <c r="BNB11" s="3428"/>
      <c r="BNC11" s="3428"/>
      <c r="BND11" s="3428"/>
      <c r="BNE11" s="3428"/>
      <c r="BNF11" s="3428"/>
      <c r="BNG11" s="3428"/>
      <c r="BNH11" s="3428"/>
      <c r="BNI11" s="3428"/>
      <c r="BNJ11" s="3428"/>
      <c r="BNK11" s="3428"/>
      <c r="BNL11" s="3428"/>
      <c r="BNM11" s="3428"/>
      <c r="BNN11" s="3428"/>
      <c r="BNO11" s="3428"/>
      <c r="BNP11" s="3428"/>
      <c r="BNQ11" s="3428"/>
      <c r="BNR11" s="3428"/>
      <c r="BNS11" s="3428"/>
      <c r="BNT11" s="3428"/>
      <c r="BNU11" s="3428"/>
      <c r="BNV11" s="3428"/>
      <c r="BNW11" s="3428"/>
      <c r="BNX11" s="3428"/>
      <c r="BNY11" s="3428"/>
      <c r="BNZ11" s="3428"/>
      <c r="BOA11" s="3428"/>
      <c r="BOB11" s="3428"/>
      <c r="BOC11" s="3428"/>
      <c r="BOD11" s="3428"/>
      <c r="BOE11" s="3428"/>
      <c r="BOF11" s="3428"/>
      <c r="BOG11" s="3428"/>
      <c r="BOH11" s="3428"/>
      <c r="BOI11" s="3428"/>
      <c r="BOJ11" s="3428"/>
      <c r="BOK11" s="3428"/>
      <c r="BOL11" s="3428"/>
      <c r="BOM11" s="3428"/>
      <c r="BON11" s="3428"/>
      <c r="BOO11" s="3428"/>
      <c r="BOP11" s="3428"/>
      <c r="BOQ11" s="3428"/>
      <c r="BOR11" s="3428"/>
      <c r="BOS11" s="3428"/>
      <c r="BOT11" s="3428"/>
      <c r="BOU11" s="3428"/>
      <c r="BOV11" s="3428"/>
      <c r="BOW11" s="3428"/>
      <c r="BOX11" s="3428"/>
      <c r="BOY11" s="3428"/>
      <c r="BOZ11" s="3428"/>
      <c r="BPA11" s="3428"/>
      <c r="BPB11" s="3428"/>
      <c r="BPC11" s="3428"/>
      <c r="BPD11" s="3428"/>
      <c r="BPE11" s="3428"/>
      <c r="BPF11" s="3428"/>
      <c r="BPG11" s="3428"/>
      <c r="BPH11" s="3428"/>
      <c r="BPI11" s="3428"/>
      <c r="BPJ11" s="3428"/>
      <c r="BPK11" s="3428"/>
      <c r="BPL11" s="3428"/>
      <c r="BPM11" s="3428"/>
      <c r="BPN11" s="3428"/>
      <c r="BPO11" s="3428"/>
      <c r="BPP11" s="3428"/>
      <c r="BPQ11" s="3428"/>
      <c r="BPR11" s="3428"/>
      <c r="BPS11" s="3428"/>
      <c r="BPT11" s="3428"/>
      <c r="BPU11" s="3428"/>
      <c r="BPV11" s="3428"/>
      <c r="BPW11" s="3428"/>
      <c r="BPX11" s="3428"/>
      <c r="BPY11" s="3428"/>
      <c r="BPZ11" s="3428"/>
      <c r="BQA11" s="3428"/>
      <c r="BQB11" s="3428"/>
      <c r="BQC11" s="3428"/>
      <c r="BQD11" s="3428"/>
      <c r="BQE11" s="3428"/>
      <c r="BQF11" s="3428"/>
      <c r="BQG11" s="3428"/>
      <c r="BQH11" s="3428"/>
      <c r="BQI11" s="3428"/>
      <c r="BQJ11" s="3428"/>
      <c r="BQK11" s="3428"/>
      <c r="BQL11" s="3428"/>
      <c r="BQM11" s="3428"/>
      <c r="BQN11" s="3428"/>
      <c r="BQO11" s="3428"/>
      <c r="BQP11" s="3428"/>
      <c r="BQQ11" s="3428"/>
      <c r="BQR11" s="3428"/>
      <c r="BQS11" s="3428"/>
      <c r="BQT11" s="3428"/>
      <c r="BQU11" s="3428"/>
      <c r="BQV11" s="3428"/>
      <c r="BQW11" s="3428"/>
      <c r="BQX11" s="3428"/>
      <c r="BQY11" s="3428"/>
      <c r="BQZ11" s="3428"/>
      <c r="BRA11" s="3428"/>
      <c r="BRB11" s="3428"/>
      <c r="BRC11" s="3428"/>
      <c r="BRD11" s="3428"/>
      <c r="BRE11" s="3428"/>
      <c r="BRF11" s="3428"/>
      <c r="BRG11" s="3428"/>
      <c r="BRH11" s="3428"/>
      <c r="BRI11" s="3428"/>
      <c r="BRJ11" s="3428"/>
      <c r="BRK11" s="3428"/>
      <c r="BRL11" s="3428"/>
      <c r="BRM11" s="3428"/>
      <c r="BRN11" s="3428"/>
      <c r="BRO11" s="3428"/>
      <c r="BRP11" s="3428"/>
      <c r="BRQ11" s="3428"/>
      <c r="BRR11" s="3428"/>
      <c r="BRS11" s="3428"/>
      <c r="BRT11" s="3428"/>
      <c r="BRU11" s="3428"/>
      <c r="BRV11" s="3428"/>
      <c r="BRW11" s="3428"/>
      <c r="BRX11" s="3428"/>
      <c r="BRY11" s="3428"/>
      <c r="BRZ11" s="3428"/>
      <c r="BSA11" s="3428"/>
      <c r="BSB11" s="3428"/>
      <c r="BSC11" s="3428"/>
      <c r="BSD11" s="3428"/>
      <c r="BSE11" s="3428"/>
      <c r="BSF11" s="3428"/>
      <c r="BSG11" s="3428"/>
      <c r="BSH11" s="3428"/>
      <c r="BSI11" s="3428"/>
      <c r="BSJ11" s="3428"/>
      <c r="BSK11" s="3428"/>
      <c r="BSL11" s="3428"/>
      <c r="BSM11" s="3428"/>
      <c r="BSN11" s="3428"/>
      <c r="BSO11" s="3428"/>
      <c r="BSP11" s="3428"/>
      <c r="BSQ11" s="3428"/>
      <c r="BSR11" s="3428"/>
      <c r="BSS11" s="3428"/>
      <c r="BST11" s="3428"/>
      <c r="BSU11" s="3428"/>
      <c r="BSV11" s="3428"/>
      <c r="BSW11" s="3428"/>
      <c r="BSX11" s="3428"/>
      <c r="BSY11" s="3428"/>
      <c r="BSZ11" s="3428"/>
      <c r="BTA11" s="3428"/>
      <c r="BTB11" s="3428"/>
      <c r="BTC11" s="3428"/>
      <c r="BTD11" s="3428"/>
      <c r="BTE11" s="3428"/>
      <c r="BTF11" s="3428"/>
      <c r="BTG11" s="3428"/>
      <c r="BTH11" s="3428"/>
      <c r="BTI11" s="3428"/>
      <c r="BTJ11" s="3428"/>
      <c r="BTK11" s="3428"/>
      <c r="BTL11" s="3428"/>
      <c r="BTM11" s="3428"/>
      <c r="BTN11" s="3428"/>
      <c r="BTO11" s="3428"/>
      <c r="BTP11" s="3428"/>
      <c r="BTQ11" s="3428"/>
      <c r="BTR11" s="3428"/>
      <c r="BTS11" s="3428"/>
      <c r="BTT11" s="3428"/>
      <c r="BTU11" s="3428"/>
      <c r="BTV11" s="3428"/>
      <c r="BTW11" s="3428"/>
      <c r="BTX11" s="3428"/>
      <c r="BTY11" s="3428"/>
      <c r="BTZ11" s="3428"/>
      <c r="BUA11" s="3428"/>
      <c r="BUB11" s="3428"/>
      <c r="BUC11" s="3428"/>
      <c r="BUD11" s="3428"/>
      <c r="BUE11" s="3428"/>
      <c r="BUF11" s="3428"/>
      <c r="BUG11" s="3428"/>
      <c r="BUH11" s="3428"/>
      <c r="BUI11" s="3428"/>
      <c r="BUJ11" s="3428"/>
      <c r="BUK11" s="3428"/>
      <c r="BUL11" s="3428"/>
      <c r="BUM11" s="3428"/>
      <c r="BUN11" s="3428"/>
      <c r="BUO11" s="3428"/>
      <c r="BUP11" s="3428"/>
      <c r="BUQ11" s="3428"/>
      <c r="BUR11" s="3428"/>
      <c r="BUS11" s="3428"/>
      <c r="BUT11" s="3428"/>
      <c r="BUU11" s="3428"/>
      <c r="BUV11" s="3428"/>
      <c r="BUW11" s="3428"/>
      <c r="BUX11" s="3428"/>
      <c r="BUY11" s="3428"/>
      <c r="BUZ11" s="3428"/>
      <c r="BVA11" s="3428"/>
      <c r="BVB11" s="3428"/>
      <c r="BVC11" s="3428"/>
      <c r="BVD11" s="3428"/>
      <c r="BVE11" s="3428"/>
      <c r="BVF11" s="3428"/>
      <c r="BVG11" s="3428"/>
      <c r="BVH11" s="3428"/>
      <c r="BVI11" s="3428"/>
      <c r="BVJ11" s="3428"/>
      <c r="BVK11" s="3428"/>
      <c r="BVL11" s="3428"/>
      <c r="BVM11" s="3428"/>
      <c r="BVN11" s="3428"/>
      <c r="BVO11" s="3428"/>
      <c r="BVP11" s="3428"/>
      <c r="BVQ11" s="3428"/>
      <c r="BVR11" s="3428"/>
      <c r="BVS11" s="3428"/>
      <c r="BVT11" s="3428"/>
      <c r="BVU11" s="3428"/>
      <c r="BVV11" s="3428"/>
      <c r="BVW11" s="3428"/>
      <c r="BVX11" s="3428"/>
      <c r="BVY11" s="3428"/>
      <c r="BVZ11" s="3428"/>
      <c r="BWA11" s="3428"/>
      <c r="BWB11" s="3428"/>
      <c r="BWC11" s="3428"/>
      <c r="BWD11" s="3428"/>
      <c r="BWE11" s="3428"/>
      <c r="BWF11" s="3428"/>
      <c r="BWG11" s="3428"/>
      <c r="BWH11" s="3428"/>
      <c r="BWI11" s="3428"/>
      <c r="BWJ11" s="3428"/>
      <c r="BWK11" s="3428"/>
      <c r="BWL11" s="3428"/>
      <c r="BWM11" s="3428"/>
      <c r="BWN11" s="3428"/>
      <c r="BWO11" s="3428"/>
      <c r="BWP11" s="3428"/>
      <c r="BWQ11" s="3428"/>
      <c r="BWR11" s="3428"/>
      <c r="BWS11" s="3428"/>
      <c r="BWT11" s="3428"/>
      <c r="BWU11" s="3428"/>
      <c r="BWV11" s="3428"/>
      <c r="BWW11" s="3428"/>
      <c r="BWX11" s="3428"/>
      <c r="BWY11" s="3428"/>
      <c r="BWZ11" s="3428"/>
      <c r="BXA11" s="3428"/>
      <c r="BXB11" s="3428"/>
      <c r="BXC11" s="3428"/>
      <c r="BXD11" s="3428"/>
      <c r="BXE11" s="3428"/>
      <c r="BXF11" s="3428"/>
      <c r="BXG11" s="3428"/>
      <c r="BXH11" s="3428"/>
      <c r="BXI11" s="3428"/>
      <c r="BXJ11" s="3428"/>
      <c r="BXK11" s="3428"/>
      <c r="BXL11" s="3428"/>
      <c r="BXM11" s="3428"/>
      <c r="BXN11" s="3428"/>
      <c r="BXO11" s="3428"/>
      <c r="BXP11" s="3428"/>
      <c r="BXQ11" s="3428"/>
      <c r="BXR11" s="3428"/>
      <c r="BXS11" s="3428"/>
      <c r="BXT11" s="3428"/>
      <c r="BXU11" s="3428"/>
      <c r="BXV11" s="3428"/>
      <c r="BXW11" s="3428"/>
      <c r="BXX11" s="3428"/>
      <c r="BXY11" s="3428"/>
      <c r="BXZ11" s="3428"/>
      <c r="BYA11" s="3428"/>
      <c r="BYB11" s="3428"/>
      <c r="BYC11" s="3428"/>
      <c r="BYD11" s="3428"/>
      <c r="BYE11" s="3428"/>
      <c r="BYF11" s="3428"/>
      <c r="BYG11" s="3428"/>
      <c r="BYH11" s="3428"/>
      <c r="BYI11" s="3428"/>
      <c r="BYJ11" s="3428"/>
      <c r="BYK11" s="3428"/>
      <c r="BYL11" s="3428"/>
      <c r="BYM11" s="3428"/>
      <c r="BYN11" s="3428"/>
      <c r="BYO11" s="3428"/>
      <c r="BYP11" s="3428"/>
      <c r="BYQ11" s="3428"/>
      <c r="BYR11" s="3428"/>
      <c r="BYS11" s="3428"/>
      <c r="BYT11" s="3428"/>
      <c r="BYU11" s="3428"/>
      <c r="BYV11" s="3428"/>
      <c r="BYW11" s="3428"/>
      <c r="BYX11" s="3428"/>
      <c r="BYY11" s="3428"/>
      <c r="BYZ11" s="3428"/>
      <c r="BZA11" s="3428"/>
      <c r="BZB11" s="3428"/>
      <c r="BZC11" s="3428"/>
      <c r="BZD11" s="3428"/>
      <c r="BZE11" s="3428"/>
      <c r="BZF11" s="3428"/>
      <c r="BZG11" s="3428"/>
      <c r="BZH11" s="3428"/>
      <c r="BZI11" s="3428"/>
      <c r="BZJ11" s="3428"/>
      <c r="BZK11" s="3428"/>
      <c r="BZL11" s="3428"/>
      <c r="BZM11" s="3428"/>
      <c r="BZN11" s="3428"/>
      <c r="BZO11" s="3428"/>
      <c r="BZP11" s="3428"/>
      <c r="BZQ11" s="3428"/>
      <c r="BZR11" s="3428"/>
      <c r="BZS11" s="3428"/>
      <c r="BZT11" s="3428"/>
      <c r="BZU11" s="3428"/>
      <c r="BZV11" s="3428"/>
      <c r="BZW11" s="3428"/>
      <c r="BZX11" s="3428"/>
      <c r="BZY11" s="3428"/>
      <c r="BZZ11" s="3428"/>
      <c r="CAA11" s="3428"/>
      <c r="CAB11" s="3428"/>
      <c r="CAC11" s="3428"/>
      <c r="CAD11" s="3428"/>
      <c r="CAE11" s="3428"/>
      <c r="CAF11" s="3428"/>
      <c r="CAG11" s="3428"/>
      <c r="CAH11" s="3428"/>
      <c r="CAI11" s="3428"/>
      <c r="CAJ11" s="3428"/>
      <c r="CAK11" s="3428"/>
      <c r="CAL11" s="3428"/>
      <c r="CAM11" s="3428"/>
      <c r="CAN11" s="3428"/>
      <c r="CAO11" s="3428"/>
      <c r="CAP11" s="3428"/>
      <c r="CAQ11" s="3428"/>
      <c r="CAR11" s="3428"/>
      <c r="CAS11" s="3428"/>
      <c r="CAT11" s="3428"/>
      <c r="CAU11" s="3428"/>
      <c r="CAV11" s="3428"/>
      <c r="CAW11" s="3428"/>
      <c r="CAX11" s="3428"/>
      <c r="CAY11" s="3428"/>
      <c r="CAZ11" s="3428"/>
      <c r="CBA11" s="3428"/>
      <c r="CBB11" s="3428"/>
      <c r="CBC11" s="3428"/>
      <c r="CBD11" s="3428"/>
      <c r="CBE11" s="3428"/>
      <c r="CBF11" s="3428"/>
      <c r="CBG11" s="3428"/>
      <c r="CBH11" s="3428"/>
      <c r="CBI11" s="3428"/>
      <c r="CBJ11" s="3428"/>
      <c r="CBK11" s="3428"/>
      <c r="CBL11" s="3428"/>
      <c r="CBM11" s="3428"/>
      <c r="CBN11" s="3428"/>
      <c r="CBO11" s="3428"/>
      <c r="CBP11" s="3428"/>
      <c r="CBQ11" s="3428"/>
      <c r="CBR11" s="3428"/>
      <c r="CBS11" s="3428"/>
      <c r="CBT11" s="3428"/>
      <c r="CBU11" s="3428"/>
      <c r="CBV11" s="3428"/>
      <c r="CBW11" s="3428"/>
      <c r="CBX11" s="3428"/>
      <c r="CBY11" s="3428"/>
      <c r="CBZ11" s="3428"/>
      <c r="CCA11" s="3428"/>
      <c r="CCB11" s="3428"/>
      <c r="CCC11" s="3428"/>
      <c r="CCD11" s="3428"/>
      <c r="CCE11" s="3428"/>
      <c r="CCF11" s="3428"/>
      <c r="CCG11" s="3428"/>
      <c r="CCH11" s="3428"/>
      <c r="CCI11" s="3428"/>
      <c r="CCJ11" s="3428"/>
      <c r="CCK11" s="3428"/>
      <c r="CCL11" s="3428"/>
      <c r="CCM11" s="3428"/>
      <c r="CCN11" s="3428"/>
      <c r="CCO11" s="3428"/>
      <c r="CCP11" s="3428"/>
      <c r="CCQ11" s="3428"/>
      <c r="CCR11" s="3428"/>
      <c r="CCS11" s="3428"/>
      <c r="CCT11" s="3428"/>
      <c r="CCU11" s="3428"/>
      <c r="CCV11" s="3428"/>
      <c r="CCW11" s="3428"/>
      <c r="CCX11" s="3428"/>
      <c r="CCY11" s="3428"/>
      <c r="CCZ11" s="3428"/>
      <c r="CDA11" s="3428"/>
      <c r="CDB11" s="3428"/>
      <c r="CDC11" s="3428"/>
      <c r="CDD11" s="3428"/>
      <c r="CDE11" s="3428"/>
      <c r="CDF11" s="3428"/>
      <c r="CDG11" s="3428"/>
      <c r="CDH11" s="3428"/>
      <c r="CDI11" s="3428"/>
      <c r="CDJ11" s="3428"/>
      <c r="CDK11" s="3428"/>
      <c r="CDL11" s="3428"/>
      <c r="CDM11" s="3428"/>
      <c r="CDN11" s="3428"/>
      <c r="CDO11" s="3428"/>
      <c r="CDP11" s="3428"/>
      <c r="CDQ11" s="3428"/>
      <c r="CDR11" s="3428"/>
      <c r="CDS11" s="3428"/>
      <c r="CDT11" s="3428"/>
      <c r="CDU11" s="3428"/>
      <c r="CDV11" s="3428"/>
      <c r="CDW11" s="3428"/>
      <c r="CDX11" s="3428"/>
      <c r="CDY11" s="3428"/>
      <c r="CDZ11" s="3428"/>
      <c r="CEA11" s="3428"/>
      <c r="CEB11" s="3428"/>
      <c r="CEC11" s="3428"/>
      <c r="CED11" s="3428"/>
      <c r="CEE11" s="3428"/>
      <c r="CEF11" s="3428"/>
      <c r="CEG11" s="3428"/>
      <c r="CEH11" s="3428"/>
      <c r="CEI11" s="3428"/>
      <c r="CEJ11" s="3428"/>
      <c r="CEK11" s="3428"/>
      <c r="CEL11" s="3428"/>
      <c r="CEM11" s="3428"/>
      <c r="CEN11" s="3428"/>
      <c r="CEO11" s="3428"/>
      <c r="CEP11" s="3428"/>
      <c r="CEQ11" s="3428"/>
      <c r="CER11" s="3428"/>
      <c r="CES11" s="3428"/>
      <c r="CET11" s="3428"/>
      <c r="CEU11" s="3428"/>
      <c r="CEV11" s="3428"/>
      <c r="CEW11" s="3428"/>
      <c r="CEX11" s="3428"/>
      <c r="CEY11" s="3428"/>
      <c r="CEZ11" s="3428"/>
      <c r="CFA11" s="3428"/>
      <c r="CFB11" s="3428"/>
      <c r="CFC11" s="3428"/>
      <c r="CFD11" s="3428"/>
      <c r="CFE11" s="3428"/>
      <c r="CFF11" s="3428"/>
      <c r="CFG11" s="3428"/>
      <c r="CFH11" s="3428"/>
      <c r="CFI11" s="3428"/>
      <c r="CFJ11" s="3428"/>
      <c r="CFK11" s="3428"/>
      <c r="CFL11" s="3428"/>
      <c r="CFM11" s="3428"/>
      <c r="CFN11" s="3428"/>
      <c r="CFO11" s="3428"/>
      <c r="CFP11" s="3428"/>
      <c r="CFQ11" s="3428"/>
      <c r="CFR11" s="3428"/>
      <c r="CFS11" s="3428"/>
      <c r="CFT11" s="3428"/>
      <c r="CFU11" s="3428"/>
      <c r="CFV11" s="3428"/>
      <c r="CFW11" s="3428"/>
      <c r="CFX11" s="3428"/>
      <c r="CFY11" s="3428"/>
      <c r="CFZ11" s="3428"/>
      <c r="CGA11" s="3428"/>
      <c r="CGB11" s="3428"/>
      <c r="CGC11" s="3428"/>
      <c r="CGD11" s="3428"/>
      <c r="CGE11" s="3428"/>
      <c r="CGF11" s="3428"/>
      <c r="CGG11" s="3428"/>
      <c r="CGH11" s="3428"/>
      <c r="CGI11" s="3428"/>
      <c r="CGJ11" s="3428"/>
      <c r="CGK11" s="3428"/>
      <c r="CGL11" s="3428"/>
      <c r="CGM11" s="3428"/>
      <c r="CGN11" s="3428"/>
      <c r="CGO11" s="3428"/>
      <c r="CGP11" s="3428"/>
      <c r="CGQ11" s="3428"/>
      <c r="CGR11" s="3428"/>
      <c r="CGS11" s="3428"/>
      <c r="CGT11" s="3428"/>
      <c r="CGU11" s="3428"/>
      <c r="CGV11" s="3428"/>
      <c r="CGW11" s="3428"/>
      <c r="CGX11" s="3428"/>
      <c r="CGY11" s="3428"/>
      <c r="CGZ11" s="3428"/>
      <c r="CHA11" s="3428"/>
      <c r="CHB11" s="3428"/>
      <c r="CHC11" s="3428"/>
      <c r="CHD11" s="3428"/>
      <c r="CHE11" s="3428"/>
      <c r="CHF11" s="3428"/>
      <c r="CHG11" s="3428"/>
      <c r="CHH11" s="3428"/>
      <c r="CHI11" s="3428"/>
      <c r="CHJ11" s="3428"/>
      <c r="CHK11" s="3428"/>
      <c r="CHL11" s="3428"/>
      <c r="CHM11" s="3428"/>
      <c r="CHN11" s="3428"/>
      <c r="CHO11" s="3428"/>
      <c r="CHP11" s="3428"/>
      <c r="CHQ11" s="3428"/>
      <c r="CHR11" s="3428"/>
      <c r="CHS11" s="3428"/>
      <c r="CHT11" s="3428"/>
      <c r="CHU11" s="3428"/>
      <c r="CHV11" s="3428"/>
      <c r="CHW11" s="3428"/>
      <c r="CHX11" s="3428"/>
      <c r="CHY11" s="3428"/>
      <c r="CHZ11" s="3428"/>
      <c r="CIA11" s="3428"/>
      <c r="CIB11" s="3428"/>
      <c r="CIC11" s="3428"/>
      <c r="CID11" s="3428"/>
      <c r="CIE11" s="3428"/>
      <c r="CIF11" s="3428"/>
      <c r="CIG11" s="3428"/>
      <c r="CIH11" s="3428"/>
      <c r="CII11" s="3428"/>
      <c r="CIJ11" s="3428"/>
      <c r="CIK11" s="3428"/>
      <c r="CIL11" s="3428"/>
      <c r="CIM11" s="3428"/>
      <c r="CIN11" s="3428"/>
      <c r="CIO11" s="3428"/>
      <c r="CIP11" s="3428"/>
      <c r="CIQ11" s="3428"/>
      <c r="CIR11" s="3428"/>
      <c r="CIS11" s="3428"/>
      <c r="CIT11" s="3428"/>
      <c r="CIU11" s="3428"/>
      <c r="CIV11" s="3428"/>
      <c r="CIW11" s="3428"/>
      <c r="CIX11" s="3428"/>
      <c r="CIY11" s="3428"/>
      <c r="CIZ11" s="3428"/>
      <c r="CJA11" s="3428"/>
      <c r="CJB11" s="3428"/>
      <c r="CJC11" s="3428"/>
      <c r="CJD11" s="3428"/>
      <c r="CJE11" s="3428"/>
      <c r="CJF11" s="3428"/>
      <c r="CJG11" s="3428"/>
      <c r="CJH11" s="3428"/>
      <c r="CJI11" s="3428"/>
      <c r="CJJ11" s="3428"/>
      <c r="CJK11" s="3428"/>
      <c r="CJL11" s="3428"/>
      <c r="CJM11" s="3428"/>
      <c r="CJN11" s="3428"/>
      <c r="CJO11" s="3428"/>
      <c r="CJP11" s="3428"/>
      <c r="CJQ11" s="3428"/>
      <c r="CJR11" s="3428"/>
      <c r="CJS11" s="3428"/>
      <c r="CJT11" s="3428"/>
      <c r="CJU11" s="3428"/>
      <c r="CJV11" s="3428"/>
      <c r="CJW11" s="3428"/>
      <c r="CJX11" s="3428"/>
      <c r="CJY11" s="3428"/>
      <c r="CJZ11" s="3428"/>
      <c r="CKA11" s="3428"/>
      <c r="CKB11" s="3428"/>
      <c r="CKC11" s="3428"/>
      <c r="CKD11" s="3428"/>
      <c r="CKE11" s="3428"/>
      <c r="CKF11" s="3428"/>
      <c r="CKG11" s="3428"/>
      <c r="CKH11" s="3428"/>
      <c r="CKI11" s="3428"/>
      <c r="CKJ11" s="3428"/>
      <c r="CKK11" s="3428"/>
      <c r="CKL11" s="3428"/>
      <c r="CKM11" s="3428"/>
      <c r="CKN11" s="3428"/>
      <c r="CKO11" s="3428"/>
      <c r="CKP11" s="3428"/>
      <c r="CKQ11" s="3428"/>
      <c r="CKR11" s="3428"/>
      <c r="CKS11" s="3428"/>
      <c r="CKT11" s="3428"/>
      <c r="CKU11" s="3428"/>
      <c r="CKV11" s="3428"/>
      <c r="CKW11" s="3428"/>
      <c r="CKX11" s="3428"/>
      <c r="CKY11" s="3428"/>
      <c r="CKZ11" s="3428"/>
      <c r="CLA11" s="3428"/>
      <c r="CLB11" s="3428"/>
      <c r="CLC11" s="3428"/>
      <c r="CLD11" s="3428"/>
      <c r="CLE11" s="3428"/>
      <c r="CLF11" s="3428"/>
      <c r="CLG11" s="3428"/>
      <c r="CLH11" s="3428"/>
      <c r="CLI11" s="3428"/>
      <c r="CLJ11" s="3428"/>
      <c r="CLK11" s="3428"/>
      <c r="CLL11" s="3428"/>
      <c r="CLM11" s="3428"/>
      <c r="CLN11" s="3428"/>
      <c r="CLO11" s="3428"/>
      <c r="CLP11" s="3428"/>
      <c r="CLQ11" s="3428"/>
      <c r="CLR11" s="3428"/>
      <c r="CLS11" s="3428"/>
      <c r="CLT11" s="3428"/>
      <c r="CLU11" s="3428"/>
      <c r="CLV11" s="3428"/>
      <c r="CLW11" s="3428"/>
      <c r="CLX11" s="3428"/>
      <c r="CLY11" s="3428"/>
      <c r="CLZ11" s="3428"/>
      <c r="CMA11" s="3428"/>
      <c r="CMB11" s="3428"/>
      <c r="CMC11" s="3428"/>
      <c r="CMD11" s="3428"/>
      <c r="CME11" s="3428"/>
      <c r="CMF11" s="3428"/>
      <c r="CMG11" s="3428"/>
      <c r="CMH11" s="3428"/>
      <c r="CMI11" s="3428"/>
      <c r="CMJ11" s="3428"/>
      <c r="CMK11" s="3428"/>
      <c r="CML11" s="3428"/>
      <c r="CMM11" s="3428"/>
      <c r="CMN11" s="3428"/>
      <c r="CMO11" s="3428"/>
      <c r="CMP11" s="3428"/>
      <c r="CMQ11" s="3428"/>
      <c r="CMR11" s="3428"/>
      <c r="CMS11" s="3428"/>
      <c r="CMT11" s="3428"/>
      <c r="CMU11" s="3428"/>
      <c r="CMV11" s="3428"/>
      <c r="CMW11" s="3428"/>
      <c r="CMX11" s="3428"/>
      <c r="CMY11" s="3428"/>
      <c r="CMZ11" s="3428"/>
      <c r="CNA11" s="3428"/>
      <c r="CNB11" s="3428"/>
      <c r="CNC11" s="3428"/>
      <c r="CND11" s="3428"/>
      <c r="CNE11" s="3428"/>
      <c r="CNF11" s="3428"/>
      <c r="CNG11" s="3428"/>
      <c r="CNH11" s="3428"/>
      <c r="CNI11" s="3428"/>
      <c r="CNJ11" s="3428"/>
      <c r="CNK11" s="3428"/>
      <c r="CNL11" s="3428"/>
      <c r="CNM11" s="3428"/>
      <c r="CNN11" s="3428"/>
      <c r="CNO11" s="3428"/>
      <c r="CNP11" s="3428"/>
      <c r="CNQ11" s="3428"/>
      <c r="CNR11" s="3428"/>
      <c r="CNS11" s="3428"/>
      <c r="CNT11" s="3428"/>
      <c r="CNU11" s="3428"/>
      <c r="CNV11" s="3428"/>
      <c r="CNW11" s="3428"/>
      <c r="CNX11" s="3428"/>
      <c r="CNY11" s="3428"/>
      <c r="CNZ11" s="3428"/>
      <c r="COA11" s="3428"/>
      <c r="COB11" s="3428"/>
      <c r="COC11" s="3428"/>
      <c r="COD11" s="3428"/>
      <c r="COE11" s="3428"/>
      <c r="COF11" s="3428"/>
      <c r="COG11" s="3428"/>
      <c r="COH11" s="3428"/>
      <c r="COI11" s="3428"/>
      <c r="COJ11" s="3428"/>
      <c r="COK11" s="3428"/>
      <c r="COL11" s="3428"/>
      <c r="COM11" s="3428"/>
      <c r="CON11" s="3428"/>
      <c r="COO11" s="3428"/>
      <c r="COP11" s="3428"/>
      <c r="COQ11" s="3428"/>
      <c r="COR11" s="3428"/>
      <c r="COS11" s="3428"/>
      <c r="COT11" s="3428"/>
      <c r="COU11" s="3428"/>
      <c r="COV11" s="3428"/>
      <c r="COW11" s="3428"/>
      <c r="COX11" s="3428"/>
      <c r="COY11" s="3428"/>
      <c r="COZ11" s="3428"/>
      <c r="CPA11" s="3428"/>
      <c r="CPB11" s="3428"/>
      <c r="CPC11" s="3428"/>
      <c r="CPD11" s="3428"/>
      <c r="CPE11" s="3428"/>
      <c r="CPF11" s="3428"/>
      <c r="CPG11" s="3428"/>
      <c r="CPH11" s="3428"/>
      <c r="CPI11" s="3428"/>
      <c r="CPJ11" s="3428"/>
      <c r="CPK11" s="3428"/>
      <c r="CPL11" s="3428"/>
      <c r="CPM11" s="3428"/>
      <c r="CPN11" s="3428"/>
      <c r="CPO11" s="3428"/>
      <c r="CPP11" s="3428"/>
      <c r="CPQ11" s="3428"/>
      <c r="CPR11" s="3428"/>
      <c r="CPS11" s="3428"/>
      <c r="CPT11" s="3428"/>
      <c r="CPU11" s="3428"/>
      <c r="CPV11" s="3428"/>
      <c r="CPW11" s="3428"/>
      <c r="CPX11" s="3428"/>
      <c r="CPY11" s="3428"/>
      <c r="CPZ11" s="3428"/>
      <c r="CQA11" s="3428"/>
      <c r="CQB11" s="3428"/>
      <c r="CQC11" s="3428"/>
      <c r="CQD11" s="3428"/>
      <c r="CQE11" s="3428"/>
      <c r="CQF11" s="3428"/>
      <c r="CQG11" s="3428"/>
      <c r="CQH11" s="3428"/>
      <c r="CQI11" s="3428"/>
      <c r="CQJ11" s="3428"/>
      <c r="CQK11" s="3428"/>
      <c r="CQL11" s="3428"/>
      <c r="CQM11" s="3428"/>
      <c r="CQN11" s="3428"/>
      <c r="CQO11" s="3428"/>
      <c r="CQP11" s="3428"/>
      <c r="CQQ11" s="3428"/>
      <c r="CQR11" s="3428"/>
      <c r="CQS11" s="3428"/>
      <c r="CQT11" s="3428"/>
      <c r="CQU11" s="3428"/>
      <c r="CQV11" s="3428"/>
      <c r="CQW11" s="3428"/>
      <c r="CQX11" s="3428"/>
      <c r="CQY11" s="3428"/>
      <c r="CQZ11" s="3428"/>
      <c r="CRA11" s="3428"/>
      <c r="CRB11" s="3428"/>
      <c r="CRC11" s="3428"/>
      <c r="CRD11" s="3428"/>
      <c r="CRE11" s="3428"/>
      <c r="CRF11" s="3428"/>
      <c r="CRG11" s="3428"/>
      <c r="CRH11" s="3428"/>
      <c r="CRI11" s="3428"/>
      <c r="CRJ11" s="3428"/>
      <c r="CRK11" s="3428"/>
      <c r="CRL11" s="3428"/>
      <c r="CRM11" s="3428"/>
      <c r="CRN11" s="3428"/>
      <c r="CRO11" s="3428"/>
      <c r="CRP11" s="3428"/>
      <c r="CRQ11" s="3428"/>
      <c r="CRR11" s="3428"/>
      <c r="CRS11" s="3428"/>
      <c r="CRT11" s="3428"/>
      <c r="CRU11" s="3428"/>
      <c r="CRV11" s="3428"/>
      <c r="CRW11" s="3428"/>
      <c r="CRX11" s="3428"/>
      <c r="CRY11" s="3428"/>
      <c r="CRZ11" s="3428"/>
      <c r="CSA11" s="3428"/>
      <c r="CSB11" s="3428"/>
      <c r="CSC11" s="3428"/>
      <c r="CSD11" s="3428"/>
      <c r="CSE11" s="3428"/>
      <c r="CSF11" s="3428"/>
      <c r="CSG11" s="3428"/>
      <c r="CSH11" s="3428"/>
      <c r="CSI11" s="3428"/>
      <c r="CSJ11" s="3428"/>
      <c r="CSK11" s="3428"/>
      <c r="CSL11" s="3428"/>
      <c r="CSM11" s="3428"/>
      <c r="CSN11" s="3428"/>
      <c r="CSO11" s="3428"/>
      <c r="CSP11" s="3428"/>
      <c r="CSQ11" s="3428"/>
      <c r="CSR11" s="3428"/>
      <c r="CSS11" s="3428"/>
      <c r="CST11" s="3428"/>
      <c r="CSU11" s="3428"/>
      <c r="CSV11" s="3428"/>
      <c r="CSW11" s="3428"/>
      <c r="CSX11" s="3428"/>
      <c r="CSY11" s="3428"/>
      <c r="CSZ11" s="3428"/>
      <c r="CTA11" s="3428"/>
      <c r="CTB11" s="3428"/>
      <c r="CTC11" s="3428"/>
      <c r="CTD11" s="3428"/>
      <c r="CTE11" s="3428"/>
      <c r="CTF11" s="3428"/>
      <c r="CTG11" s="3428"/>
      <c r="CTH11" s="3428"/>
      <c r="CTI11" s="3428"/>
      <c r="CTJ11" s="3428"/>
      <c r="CTK11" s="3428"/>
      <c r="CTL11" s="3428"/>
      <c r="CTM11" s="3428"/>
      <c r="CTN11" s="3428"/>
      <c r="CTO11" s="3428"/>
      <c r="CTP11" s="3428"/>
      <c r="CTQ11" s="3428"/>
      <c r="CTR11" s="3428"/>
      <c r="CTS11" s="3428"/>
      <c r="CTT11" s="3428"/>
      <c r="CTU11" s="3428"/>
      <c r="CTV11" s="3428"/>
      <c r="CTW11" s="3428"/>
      <c r="CTX11" s="3428"/>
      <c r="CTY11" s="3428"/>
      <c r="CTZ11" s="3428"/>
      <c r="CUA11" s="3428"/>
      <c r="CUB11" s="3428"/>
      <c r="CUC11" s="3428"/>
      <c r="CUD11" s="3428"/>
      <c r="CUE11" s="3428"/>
      <c r="CUF11" s="3428"/>
      <c r="CUG11" s="3428"/>
      <c r="CUH11" s="3428"/>
      <c r="CUI11" s="3428"/>
      <c r="CUJ11" s="3428"/>
      <c r="CUK11" s="3428"/>
      <c r="CUL11" s="3428"/>
      <c r="CUM11" s="3428"/>
      <c r="CUN11" s="3428"/>
      <c r="CUO11" s="3428"/>
      <c r="CUP11" s="3428"/>
      <c r="CUQ11" s="3428"/>
      <c r="CUR11" s="3428"/>
      <c r="CUS11" s="3428"/>
      <c r="CUT11" s="3428"/>
      <c r="CUU11" s="3428"/>
      <c r="CUV11" s="3428"/>
      <c r="CUW11" s="3428"/>
      <c r="CUX11" s="3428"/>
      <c r="CUY11" s="3428"/>
      <c r="CUZ11" s="3428"/>
      <c r="CVA11" s="3428"/>
      <c r="CVB11" s="3428"/>
      <c r="CVC11" s="3428"/>
      <c r="CVD11" s="3428"/>
      <c r="CVE11" s="3428"/>
      <c r="CVF11" s="3428"/>
      <c r="CVG11" s="3428"/>
      <c r="CVH11" s="3428"/>
      <c r="CVI11" s="3428"/>
      <c r="CVJ11" s="3428"/>
      <c r="CVK11" s="3428"/>
      <c r="CVL11" s="3428"/>
      <c r="CVM11" s="3428"/>
      <c r="CVN11" s="3428"/>
      <c r="CVO11" s="3428"/>
      <c r="CVP11" s="3428"/>
      <c r="CVQ11" s="3428"/>
      <c r="CVR11" s="3428"/>
      <c r="CVS11" s="3428"/>
      <c r="CVT11" s="3428"/>
      <c r="CVU11" s="3428"/>
      <c r="CVV11" s="3428"/>
      <c r="CVW11" s="3428"/>
      <c r="CVX11" s="3428"/>
      <c r="CVY11" s="3428"/>
      <c r="CVZ11" s="3428"/>
      <c r="CWA11" s="3428"/>
      <c r="CWB11" s="3428"/>
      <c r="CWC11" s="3428"/>
      <c r="CWD11" s="3428"/>
      <c r="CWE11" s="3428"/>
      <c r="CWF11" s="3428"/>
      <c r="CWG11" s="3428"/>
      <c r="CWH11" s="3428"/>
      <c r="CWI11" s="3428"/>
      <c r="CWJ11" s="3428"/>
      <c r="CWK11" s="3428"/>
      <c r="CWL11" s="3428"/>
      <c r="CWM11" s="3428"/>
      <c r="CWN11" s="3428"/>
      <c r="CWO11" s="3428"/>
      <c r="CWP11" s="3428"/>
      <c r="CWQ11" s="3428"/>
      <c r="CWR11" s="3428"/>
      <c r="CWS11" s="3428"/>
      <c r="CWT11" s="3428"/>
      <c r="CWU11" s="3428"/>
      <c r="CWV11" s="3428"/>
      <c r="CWW11" s="3428"/>
      <c r="CWX11" s="3428"/>
      <c r="CWY11" s="3428"/>
      <c r="CWZ11" s="3428"/>
      <c r="CXA11" s="3428"/>
      <c r="CXB11" s="3428"/>
      <c r="CXC11" s="3428"/>
      <c r="CXD11" s="3428"/>
      <c r="CXE11" s="3428"/>
      <c r="CXF11" s="3428"/>
      <c r="CXG11" s="3428"/>
      <c r="CXH11" s="3428"/>
      <c r="CXI11" s="3428"/>
      <c r="CXJ11" s="3428"/>
      <c r="CXK11" s="3428"/>
      <c r="CXL11" s="3428"/>
      <c r="CXM11" s="3428"/>
      <c r="CXN11" s="3428"/>
      <c r="CXO11" s="3428"/>
      <c r="CXP11" s="3428"/>
      <c r="CXQ11" s="3428"/>
      <c r="CXR11" s="3428"/>
      <c r="CXS11" s="3428"/>
      <c r="CXT11" s="3428"/>
      <c r="CXU11" s="3428"/>
      <c r="CXV11" s="3428"/>
      <c r="CXW11" s="3428"/>
      <c r="CXX11" s="3428"/>
      <c r="CXY11" s="3428"/>
      <c r="CXZ11" s="3428"/>
      <c r="CYA11" s="3428"/>
      <c r="CYB11" s="3428"/>
      <c r="CYC11" s="3428"/>
      <c r="CYD11" s="3428"/>
      <c r="CYE11" s="3428"/>
      <c r="CYF11" s="3428"/>
      <c r="CYG11" s="3428"/>
      <c r="CYH11" s="3428"/>
      <c r="CYI11" s="3428"/>
      <c r="CYJ11" s="3428"/>
      <c r="CYK11" s="3428"/>
      <c r="CYL11" s="3428"/>
      <c r="CYM11" s="3428"/>
      <c r="CYN11" s="3428"/>
      <c r="CYO11" s="3428"/>
      <c r="CYP11" s="3428"/>
      <c r="CYQ11" s="3428"/>
      <c r="CYR11" s="3428"/>
      <c r="CYS11" s="3428"/>
      <c r="CYT11" s="3428"/>
      <c r="CYU11" s="3428"/>
      <c r="CYV11" s="3428"/>
      <c r="CYW11" s="3428"/>
      <c r="CYX11" s="3428"/>
      <c r="CYY11" s="3428"/>
      <c r="CYZ11" s="3428"/>
      <c r="CZA11" s="3428"/>
      <c r="CZB11" s="3428"/>
      <c r="CZC11" s="3428"/>
      <c r="CZD11" s="3428"/>
      <c r="CZE11" s="3428"/>
      <c r="CZF11" s="3428"/>
      <c r="CZG11" s="3428"/>
      <c r="CZH11" s="3428"/>
      <c r="CZI11" s="3428"/>
      <c r="CZJ11" s="3428"/>
      <c r="CZK11" s="3428"/>
      <c r="CZL11" s="3428"/>
      <c r="CZM11" s="3428"/>
      <c r="CZN11" s="3428"/>
      <c r="CZO11" s="3428"/>
      <c r="CZP11" s="3428"/>
      <c r="CZQ11" s="3428"/>
      <c r="CZR11" s="3428"/>
      <c r="CZS11" s="3428"/>
      <c r="CZT11" s="3428"/>
      <c r="CZU11" s="3428"/>
      <c r="CZV11" s="3428"/>
      <c r="CZW11" s="3428"/>
      <c r="CZX11" s="3428"/>
      <c r="CZY11" s="3428"/>
      <c r="CZZ11" s="3428"/>
      <c r="DAA11" s="3428"/>
      <c r="DAB11" s="3428"/>
      <c r="DAC11" s="3428"/>
      <c r="DAD11" s="3428"/>
      <c r="DAE11" s="3428"/>
      <c r="DAF11" s="3428"/>
      <c r="DAG11" s="3428"/>
      <c r="DAH11" s="3428"/>
      <c r="DAI11" s="3428"/>
      <c r="DAJ11" s="3428"/>
      <c r="DAK11" s="3428"/>
      <c r="DAL11" s="3428"/>
      <c r="DAM11" s="3428"/>
      <c r="DAN11" s="3428"/>
      <c r="DAO11" s="3428"/>
      <c r="DAP11" s="3428"/>
      <c r="DAQ11" s="3428"/>
      <c r="DAR11" s="3428"/>
      <c r="DAS11" s="3428"/>
      <c r="DAT11" s="3428"/>
      <c r="DAU11" s="3428"/>
      <c r="DAV11" s="3428"/>
      <c r="DAW11" s="3428"/>
      <c r="DAX11" s="3428"/>
      <c r="DAY11" s="3428"/>
      <c r="DAZ11" s="3428"/>
      <c r="DBA11" s="3428"/>
      <c r="DBB11" s="3428"/>
      <c r="DBC11" s="3428"/>
      <c r="DBD11" s="3428"/>
      <c r="DBE11" s="3428"/>
      <c r="DBF11" s="3428"/>
      <c r="DBG11" s="3428"/>
      <c r="DBH11" s="3428"/>
      <c r="DBI11" s="3428"/>
      <c r="DBJ11" s="3428"/>
      <c r="DBK11" s="3428"/>
      <c r="DBL11" s="3428"/>
      <c r="DBM11" s="3428"/>
      <c r="DBN11" s="3428"/>
      <c r="DBO11" s="3428"/>
      <c r="DBP11" s="3428"/>
      <c r="DBQ11" s="3428"/>
      <c r="DBR11" s="3428"/>
      <c r="DBS11" s="3428"/>
      <c r="DBT11" s="3428"/>
      <c r="DBU11" s="3428"/>
      <c r="DBV11" s="3428"/>
      <c r="DBW11" s="3428"/>
      <c r="DBX11" s="3428"/>
      <c r="DBY11" s="3428"/>
      <c r="DBZ11" s="3428"/>
      <c r="DCA11" s="3428"/>
      <c r="DCB11" s="3428"/>
      <c r="DCC11" s="3428"/>
      <c r="DCD11" s="3428"/>
      <c r="DCE11" s="3428"/>
      <c r="DCF11" s="3428"/>
      <c r="DCG11" s="3428"/>
      <c r="DCH11" s="3428"/>
      <c r="DCI11" s="3428"/>
      <c r="DCJ11" s="3428"/>
      <c r="DCK11" s="3428"/>
      <c r="DCL11" s="3428"/>
      <c r="DCM11" s="3428"/>
      <c r="DCN11" s="3428"/>
      <c r="DCO11" s="3428"/>
      <c r="DCP11" s="3428"/>
      <c r="DCQ11" s="3428"/>
      <c r="DCR11" s="3428"/>
      <c r="DCS11" s="3428"/>
      <c r="DCT11" s="3428"/>
      <c r="DCU11" s="3428"/>
      <c r="DCV11" s="3428"/>
      <c r="DCW11" s="3428"/>
      <c r="DCX11" s="3428"/>
      <c r="DCY11" s="3428"/>
      <c r="DCZ11" s="3428"/>
      <c r="DDA11" s="3428"/>
      <c r="DDB11" s="3428"/>
      <c r="DDC11" s="3428"/>
      <c r="DDD11" s="3428"/>
      <c r="DDE11" s="3428"/>
      <c r="DDF11" s="3428"/>
      <c r="DDG11" s="3428"/>
      <c r="DDH11" s="3428"/>
      <c r="DDI11" s="3428"/>
      <c r="DDJ11" s="3428"/>
      <c r="DDK11" s="3428"/>
      <c r="DDL11" s="3428"/>
      <c r="DDM11" s="3428"/>
      <c r="DDN11" s="3428"/>
      <c r="DDO11" s="3428"/>
      <c r="DDP11" s="3428"/>
      <c r="DDQ11" s="3428"/>
      <c r="DDR11" s="3428"/>
      <c r="DDS11" s="3428"/>
      <c r="DDT11" s="3428"/>
      <c r="DDU11" s="3428"/>
      <c r="DDV11" s="3428"/>
      <c r="DDW11" s="3428"/>
      <c r="DDX11" s="3428"/>
      <c r="DDY11" s="3428"/>
      <c r="DDZ11" s="3428"/>
      <c r="DEA11" s="3428"/>
      <c r="DEB11" s="3428"/>
      <c r="DEC11" s="3428"/>
      <c r="DED11" s="3428"/>
      <c r="DEE11" s="3428"/>
      <c r="DEF11" s="3428"/>
      <c r="DEG11" s="3428"/>
      <c r="DEH11" s="3428"/>
      <c r="DEI11" s="3428"/>
      <c r="DEJ11" s="3428"/>
      <c r="DEK11" s="3428"/>
      <c r="DEL11" s="3428"/>
      <c r="DEM11" s="3428"/>
      <c r="DEN11" s="3428"/>
      <c r="DEO11" s="3428"/>
      <c r="DEP11" s="3428"/>
      <c r="DEQ11" s="3428"/>
      <c r="DER11" s="3428"/>
      <c r="DES11" s="3428"/>
      <c r="DET11" s="3428"/>
      <c r="DEU11" s="3428"/>
      <c r="DEV11" s="3428"/>
      <c r="DEW11" s="3428"/>
      <c r="DEX11" s="3428"/>
      <c r="DEY11" s="3428"/>
      <c r="DEZ11" s="3428"/>
      <c r="DFA11" s="3428"/>
      <c r="DFB11" s="3428"/>
      <c r="DFC11" s="3428"/>
      <c r="DFD11" s="3428"/>
      <c r="DFE11" s="3428"/>
      <c r="DFF11" s="3428"/>
      <c r="DFG11" s="3428"/>
      <c r="DFH11" s="3428"/>
      <c r="DFI11" s="3428"/>
      <c r="DFJ11" s="3428"/>
      <c r="DFK11" s="3428"/>
      <c r="DFL11" s="3428"/>
      <c r="DFM11" s="3428"/>
      <c r="DFN11" s="3428"/>
      <c r="DFO11" s="3428"/>
      <c r="DFP11" s="3428"/>
      <c r="DFQ11" s="3428"/>
      <c r="DFR11" s="3428"/>
      <c r="DFS11" s="3428"/>
      <c r="DFT11" s="3428"/>
      <c r="DFU11" s="3428"/>
      <c r="DFV11" s="3428"/>
      <c r="DFW11" s="3428"/>
      <c r="DFX11" s="3428"/>
      <c r="DFY11" s="3428"/>
      <c r="DFZ11" s="3428"/>
      <c r="DGA11" s="3428"/>
      <c r="DGB11" s="3428"/>
      <c r="DGC11" s="3428"/>
      <c r="DGD11" s="3428"/>
      <c r="DGE11" s="3428"/>
      <c r="DGF11" s="3428"/>
      <c r="DGG11" s="3428"/>
      <c r="DGH11" s="3428"/>
      <c r="DGI11" s="3428"/>
      <c r="DGJ11" s="3428"/>
      <c r="DGK11" s="3428"/>
      <c r="DGL11" s="3428"/>
      <c r="DGM11" s="3428"/>
      <c r="DGN11" s="3428"/>
      <c r="DGO11" s="3428"/>
      <c r="DGP11" s="3428"/>
      <c r="DGQ11" s="3428"/>
      <c r="DGR11" s="3428"/>
      <c r="DGS11" s="3428"/>
      <c r="DGT11" s="3428"/>
      <c r="DGU11" s="3428"/>
      <c r="DGV11" s="3428"/>
      <c r="DGW11" s="3428"/>
      <c r="DGX11" s="3428"/>
      <c r="DGY11" s="3428"/>
      <c r="DGZ11" s="3428"/>
      <c r="DHA11" s="3428"/>
      <c r="DHB11" s="3428"/>
      <c r="DHC11" s="3428"/>
      <c r="DHD11" s="3428"/>
      <c r="DHE11" s="3428"/>
      <c r="DHF11" s="3428"/>
      <c r="DHG11" s="3428"/>
      <c r="DHH11" s="3428"/>
      <c r="DHI11" s="3428"/>
      <c r="DHJ11" s="3428"/>
      <c r="DHK11" s="3428"/>
      <c r="DHL11" s="3428"/>
      <c r="DHM11" s="3428"/>
      <c r="DHN11" s="3428"/>
      <c r="DHO11" s="3428"/>
      <c r="DHP11" s="3428"/>
      <c r="DHQ11" s="3428"/>
      <c r="DHR11" s="3428"/>
      <c r="DHS11" s="3428"/>
      <c r="DHT11" s="3428"/>
      <c r="DHU11" s="3428"/>
      <c r="DHV11" s="3428"/>
      <c r="DHW11" s="3428"/>
      <c r="DHX11" s="3428"/>
      <c r="DHY11" s="3428"/>
      <c r="DHZ11" s="3428"/>
      <c r="DIA11" s="3428"/>
      <c r="DIB11" s="3428"/>
      <c r="DIC11" s="3428"/>
      <c r="DID11" s="3428"/>
      <c r="DIE11" s="3428"/>
      <c r="DIF11" s="3428"/>
      <c r="DIG11" s="3428"/>
      <c r="DIH11" s="3428"/>
      <c r="DII11" s="3428"/>
      <c r="DIJ11" s="3428"/>
      <c r="DIK11" s="3428"/>
      <c r="DIL11" s="3428"/>
      <c r="DIM11" s="3428"/>
      <c r="DIN11" s="3428"/>
      <c r="DIO11" s="3428"/>
      <c r="DIP11" s="3428"/>
      <c r="DIQ11" s="3428"/>
      <c r="DIR11" s="3428"/>
      <c r="DIS11" s="3428"/>
      <c r="DIT11" s="3428"/>
      <c r="DIU11" s="3428"/>
      <c r="DIV11" s="3428"/>
      <c r="DIW11" s="3428"/>
      <c r="DIX11" s="3428"/>
      <c r="DIY11" s="3428"/>
      <c r="DIZ11" s="3428"/>
      <c r="DJA11" s="3428"/>
      <c r="DJB11" s="3428"/>
      <c r="DJC11" s="3428"/>
      <c r="DJD11" s="3428"/>
      <c r="DJE11" s="3428"/>
      <c r="DJF11" s="3428"/>
      <c r="DJG11" s="3428"/>
      <c r="DJH11" s="3428"/>
      <c r="DJI11" s="3428"/>
      <c r="DJJ11" s="3428"/>
      <c r="DJK11" s="3428"/>
      <c r="DJL11" s="3428"/>
      <c r="DJM11" s="3428"/>
      <c r="DJN11" s="3428"/>
      <c r="DJO11" s="3428"/>
      <c r="DJP11" s="3428"/>
      <c r="DJQ11" s="3428"/>
      <c r="DJR11" s="3428"/>
      <c r="DJS11" s="3428"/>
      <c r="DJT11" s="3428"/>
      <c r="DJU11" s="3428"/>
      <c r="DJV11" s="3428"/>
      <c r="DJW11" s="3428"/>
      <c r="DJX11" s="3428"/>
      <c r="DJY11" s="3428"/>
      <c r="DJZ11" s="3428"/>
      <c r="DKA11" s="3428"/>
      <c r="DKB11" s="3428"/>
      <c r="DKC11" s="3428"/>
      <c r="DKD11" s="3428"/>
      <c r="DKE11" s="3428"/>
      <c r="DKF11" s="3428"/>
      <c r="DKG11" s="3428"/>
      <c r="DKH11" s="3428"/>
      <c r="DKI11" s="3428"/>
      <c r="DKJ11" s="3428"/>
      <c r="DKK11" s="3428"/>
      <c r="DKL11" s="3428"/>
      <c r="DKM11" s="3428"/>
      <c r="DKN11" s="3428"/>
      <c r="DKO11" s="3428"/>
      <c r="DKP11" s="3428"/>
      <c r="DKQ11" s="3428"/>
      <c r="DKR11" s="3428"/>
      <c r="DKS11" s="3428"/>
      <c r="DKT11" s="3428"/>
      <c r="DKU11" s="3428"/>
      <c r="DKV11" s="3428"/>
      <c r="DKW11" s="3428"/>
      <c r="DKX11" s="3428"/>
      <c r="DKY11" s="3428"/>
      <c r="DKZ11" s="3428"/>
      <c r="DLA11" s="3428"/>
      <c r="DLB11" s="3428"/>
      <c r="DLC11" s="3428"/>
      <c r="DLD11" s="3428"/>
      <c r="DLE11" s="3428"/>
      <c r="DLF11" s="3428"/>
      <c r="DLG11" s="3428"/>
      <c r="DLH11" s="3428"/>
      <c r="DLI11" s="3428"/>
      <c r="DLJ11" s="3428"/>
      <c r="DLK11" s="3428"/>
      <c r="DLL11" s="3428"/>
      <c r="DLM11" s="3428"/>
      <c r="DLN11" s="3428"/>
      <c r="DLO11" s="3428"/>
      <c r="DLP11" s="3428"/>
      <c r="DLQ11" s="3428"/>
      <c r="DLR11" s="3428"/>
      <c r="DLS11" s="3428"/>
      <c r="DLT11" s="3428"/>
      <c r="DLU11" s="3428"/>
      <c r="DLV11" s="3428"/>
      <c r="DLW11" s="3428"/>
      <c r="DLX11" s="3428"/>
      <c r="DLY11" s="3428"/>
      <c r="DLZ11" s="3428"/>
      <c r="DMA11" s="3428"/>
      <c r="DMB11" s="3428"/>
      <c r="DMC11" s="3428"/>
      <c r="DMD11" s="3428"/>
      <c r="DME11" s="3428"/>
      <c r="DMF11" s="3428"/>
      <c r="DMG11" s="3428"/>
      <c r="DMH11" s="3428"/>
      <c r="DMI11" s="3428"/>
      <c r="DMJ11" s="3428"/>
      <c r="DMK11" s="3428"/>
      <c r="DML11" s="3428"/>
      <c r="DMM11" s="3428"/>
      <c r="DMN11" s="3428"/>
      <c r="DMO11" s="3428"/>
      <c r="DMP11" s="3428"/>
      <c r="DMQ11" s="3428"/>
      <c r="DMR11" s="3428"/>
      <c r="DMS11" s="3428"/>
      <c r="DMT11" s="3428"/>
      <c r="DMU11" s="3428"/>
      <c r="DMV11" s="3428"/>
      <c r="DMW11" s="3428"/>
      <c r="DMX11" s="3428"/>
      <c r="DMY11" s="3428"/>
      <c r="DMZ11" s="3428"/>
      <c r="DNA11" s="3428"/>
      <c r="DNB11" s="3428"/>
      <c r="DNC11" s="3428"/>
      <c r="DND11" s="3428"/>
      <c r="DNE11" s="3428"/>
      <c r="DNF11" s="3428"/>
      <c r="DNG11" s="3428"/>
      <c r="DNH11" s="3428"/>
      <c r="DNI11" s="3428"/>
      <c r="DNJ11" s="3428"/>
      <c r="DNK11" s="3428"/>
      <c r="DNL11" s="3428"/>
      <c r="DNM11" s="3428"/>
      <c r="DNN11" s="3428"/>
      <c r="DNO11" s="3428"/>
      <c r="DNP11" s="3428"/>
      <c r="DNQ11" s="3428"/>
      <c r="DNR11" s="3428"/>
      <c r="DNS11" s="3428"/>
      <c r="DNT11" s="3428"/>
      <c r="DNU11" s="3428"/>
      <c r="DNV11" s="3428"/>
      <c r="DNW11" s="3428"/>
      <c r="DNX11" s="3428"/>
      <c r="DNY11" s="3428"/>
      <c r="DNZ11" s="3428"/>
      <c r="DOA11" s="3428"/>
      <c r="DOB11" s="3428"/>
      <c r="DOC11" s="3428"/>
      <c r="DOD11" s="3428"/>
      <c r="DOE11" s="3428"/>
      <c r="DOF11" s="3428"/>
      <c r="DOG11" s="3428"/>
      <c r="DOH11" s="3428"/>
      <c r="DOI11" s="3428"/>
      <c r="DOJ11" s="3428"/>
      <c r="DOK11" s="3428"/>
      <c r="DOL11" s="3428"/>
      <c r="DOM11" s="3428"/>
      <c r="DON11" s="3428"/>
      <c r="DOO11" s="3428"/>
      <c r="DOP11" s="3428"/>
      <c r="DOQ11" s="3428"/>
      <c r="DOR11" s="3428"/>
      <c r="DOS11" s="3428"/>
      <c r="DOT11" s="3428"/>
      <c r="DOU11" s="3428"/>
      <c r="DOV11" s="3428"/>
      <c r="DOW11" s="3428"/>
      <c r="DOX11" s="3428"/>
      <c r="DOY11" s="3428"/>
      <c r="DOZ11" s="3428"/>
      <c r="DPA11" s="3428"/>
      <c r="DPB11" s="3428"/>
      <c r="DPC11" s="3428"/>
      <c r="DPD11" s="3428"/>
      <c r="DPE11" s="3428"/>
      <c r="DPF11" s="3428"/>
      <c r="DPG11" s="3428"/>
      <c r="DPH11" s="3428"/>
      <c r="DPI11" s="3428"/>
      <c r="DPJ11" s="3428"/>
      <c r="DPK11" s="3428"/>
      <c r="DPL11" s="3428"/>
      <c r="DPM11" s="3428"/>
      <c r="DPN11" s="3428"/>
      <c r="DPO11" s="3428"/>
      <c r="DPP11" s="3428"/>
      <c r="DPQ11" s="3428"/>
      <c r="DPR11" s="3428"/>
      <c r="DPS11" s="3428"/>
      <c r="DPT11" s="3428"/>
      <c r="DPU11" s="3428"/>
      <c r="DPV11" s="3428"/>
      <c r="DPW11" s="3428"/>
      <c r="DPX11" s="3428"/>
      <c r="DPY11" s="3428"/>
      <c r="DPZ11" s="3428"/>
      <c r="DQA11" s="3428"/>
      <c r="DQB11" s="3428"/>
      <c r="DQC11" s="3428"/>
      <c r="DQD11" s="3428"/>
      <c r="DQE11" s="3428"/>
      <c r="DQF11" s="3428"/>
      <c r="DQG11" s="3428"/>
      <c r="DQH11" s="3428"/>
      <c r="DQI11" s="3428"/>
      <c r="DQJ11" s="3428"/>
      <c r="DQK11" s="3428"/>
      <c r="DQL11" s="3428"/>
      <c r="DQM11" s="3428"/>
      <c r="DQN11" s="3428"/>
      <c r="DQO11" s="3428"/>
      <c r="DQP11" s="3428"/>
      <c r="DQQ11" s="3428"/>
      <c r="DQR11" s="3428"/>
      <c r="DQS11" s="3428"/>
      <c r="DQT11" s="3428"/>
      <c r="DQU11" s="3428"/>
      <c r="DQV11" s="3428"/>
      <c r="DQW11" s="3428"/>
      <c r="DQX11" s="3428"/>
      <c r="DQY11" s="3428"/>
      <c r="DQZ11" s="3428"/>
      <c r="DRA11" s="3428"/>
      <c r="DRB11" s="3428"/>
      <c r="DRC11" s="3428"/>
      <c r="DRD11" s="3428"/>
      <c r="DRE11" s="3428"/>
      <c r="DRF11" s="3428"/>
      <c r="DRG11" s="3428"/>
      <c r="DRH11" s="3428"/>
      <c r="DRI11" s="3428"/>
      <c r="DRJ11" s="3428"/>
      <c r="DRK11" s="3428"/>
      <c r="DRL11" s="3428"/>
      <c r="DRM11" s="3428"/>
      <c r="DRN11" s="3428"/>
      <c r="DRO11" s="3428"/>
      <c r="DRP11" s="3428"/>
      <c r="DRQ11" s="3428"/>
      <c r="DRR11" s="3428"/>
      <c r="DRS11" s="3428"/>
      <c r="DRT11" s="3428"/>
      <c r="DRU11" s="3428"/>
      <c r="DRV11" s="3428"/>
      <c r="DRW11" s="3428"/>
      <c r="DRX11" s="3428"/>
      <c r="DRY11" s="3428"/>
      <c r="DRZ11" s="3428"/>
      <c r="DSA11" s="3428"/>
      <c r="DSB11" s="3428"/>
      <c r="DSC11" s="3428"/>
      <c r="DSD11" s="3428"/>
      <c r="DSE11" s="3428"/>
      <c r="DSF11" s="3428"/>
      <c r="DSG11" s="3428"/>
      <c r="DSH11" s="3428"/>
      <c r="DSI11" s="3428"/>
      <c r="DSJ11" s="3428"/>
      <c r="DSK11" s="3428"/>
      <c r="DSL11" s="3428"/>
      <c r="DSM11" s="3428"/>
      <c r="DSN11" s="3428"/>
      <c r="DSO11" s="3428"/>
      <c r="DSP11" s="3428"/>
      <c r="DSQ11" s="3428"/>
      <c r="DSR11" s="3428"/>
      <c r="DSS11" s="3428"/>
      <c r="DST11" s="3428"/>
      <c r="DSU11" s="3428"/>
      <c r="DSV11" s="3428"/>
      <c r="DSW11" s="3428"/>
      <c r="DSX11" s="3428"/>
      <c r="DSY11" s="3428"/>
      <c r="DSZ11" s="3428"/>
      <c r="DTA11" s="3428"/>
      <c r="DTB11" s="3428"/>
      <c r="DTC11" s="3428"/>
      <c r="DTD11" s="3428"/>
      <c r="DTE11" s="3428"/>
      <c r="DTF11" s="3428"/>
      <c r="DTG11" s="3428"/>
      <c r="DTH11" s="3428"/>
      <c r="DTI11" s="3428"/>
      <c r="DTJ11" s="3428"/>
      <c r="DTK11" s="3428"/>
      <c r="DTL11" s="3428"/>
      <c r="DTM11" s="3428"/>
      <c r="DTN11" s="3428"/>
      <c r="DTO11" s="3428"/>
      <c r="DTP11" s="3428"/>
      <c r="DTQ11" s="3428"/>
      <c r="DTR11" s="3428"/>
      <c r="DTS11" s="3428"/>
      <c r="DTT11" s="3428"/>
      <c r="DTU11" s="3428"/>
      <c r="DTV11" s="3428"/>
      <c r="DTW11" s="3428"/>
      <c r="DTX11" s="3428"/>
      <c r="DTY11" s="3428"/>
      <c r="DTZ11" s="3428"/>
      <c r="DUA11" s="3428"/>
      <c r="DUB11" s="3428"/>
      <c r="DUC11" s="3428"/>
      <c r="DUD11" s="3428"/>
      <c r="DUE11" s="3428"/>
      <c r="DUF11" s="3428"/>
      <c r="DUG11" s="3428"/>
      <c r="DUH11" s="3428"/>
      <c r="DUI11" s="3428"/>
      <c r="DUJ11" s="3428"/>
      <c r="DUK11" s="3428"/>
      <c r="DUL11" s="3428"/>
      <c r="DUM11" s="3428"/>
      <c r="DUN11" s="3428"/>
      <c r="DUO11" s="3428"/>
      <c r="DUP11" s="3428"/>
      <c r="DUQ11" s="3428"/>
      <c r="DUR11" s="3428"/>
      <c r="DUS11" s="3428"/>
      <c r="DUT11" s="3428"/>
      <c r="DUU11" s="3428"/>
      <c r="DUV11" s="3428"/>
      <c r="DUW11" s="3428"/>
      <c r="DUX11" s="3428"/>
      <c r="DUY11" s="3428"/>
      <c r="DUZ11" s="3428"/>
      <c r="DVA11" s="3428"/>
      <c r="DVB11" s="3428"/>
      <c r="DVC11" s="3428"/>
      <c r="DVD11" s="3428"/>
      <c r="DVE11" s="3428"/>
      <c r="DVF11" s="3428"/>
      <c r="DVG11" s="3428"/>
      <c r="DVH11" s="3428"/>
      <c r="DVI11" s="3428"/>
      <c r="DVJ11" s="3428"/>
      <c r="DVK11" s="3428"/>
      <c r="DVL11" s="3428"/>
      <c r="DVM11" s="3428"/>
      <c r="DVN11" s="3428"/>
      <c r="DVO11" s="3428"/>
      <c r="DVP11" s="3428"/>
      <c r="DVQ11" s="3428"/>
      <c r="DVR11" s="3428"/>
      <c r="DVS11" s="3428"/>
      <c r="DVT11" s="3428"/>
      <c r="DVU11" s="3428"/>
      <c r="DVV11" s="3428"/>
      <c r="DVW11" s="3428"/>
      <c r="DVX11" s="3428"/>
      <c r="DVY11" s="3428"/>
      <c r="DVZ11" s="3428"/>
      <c r="DWA11" s="3428"/>
      <c r="DWB11" s="3428"/>
      <c r="DWC11" s="3428"/>
      <c r="DWD11" s="3428"/>
      <c r="DWE11" s="3428"/>
      <c r="DWF11" s="3428"/>
      <c r="DWG11" s="3428"/>
      <c r="DWH11" s="3428"/>
      <c r="DWI11" s="3428"/>
      <c r="DWJ11" s="3428"/>
      <c r="DWK11" s="3428"/>
      <c r="DWL11" s="3428"/>
      <c r="DWM11" s="3428"/>
      <c r="DWN11" s="3428"/>
      <c r="DWO11" s="3428"/>
      <c r="DWP11" s="3428"/>
      <c r="DWQ11" s="3428"/>
      <c r="DWR11" s="3428"/>
      <c r="DWS11" s="3428"/>
      <c r="DWT11" s="3428"/>
      <c r="DWU11" s="3428"/>
      <c r="DWV11" s="3428"/>
      <c r="DWW11" s="3428"/>
      <c r="DWX11" s="3428"/>
      <c r="DWY11" s="3428"/>
      <c r="DWZ11" s="3428"/>
      <c r="DXA11" s="3428"/>
      <c r="DXB11" s="3428"/>
      <c r="DXC11" s="3428"/>
      <c r="DXD11" s="3428"/>
      <c r="DXE11" s="3428"/>
      <c r="DXF11" s="3428"/>
      <c r="DXG11" s="3428"/>
      <c r="DXH11" s="3428"/>
      <c r="DXI11" s="3428"/>
      <c r="DXJ11" s="3428"/>
      <c r="DXK11" s="3428"/>
      <c r="DXL11" s="3428"/>
      <c r="DXM11" s="3428"/>
      <c r="DXN11" s="3428"/>
      <c r="DXO11" s="3428"/>
      <c r="DXP11" s="3428"/>
      <c r="DXQ11" s="3428"/>
      <c r="DXR11" s="3428"/>
      <c r="DXS11" s="3428"/>
      <c r="DXT11" s="3428"/>
      <c r="DXU11" s="3428"/>
      <c r="DXV11" s="3428"/>
      <c r="DXW11" s="3428"/>
      <c r="DXX11" s="3428"/>
      <c r="DXY11" s="3428"/>
      <c r="DXZ11" s="3428"/>
      <c r="DYA11" s="3428"/>
      <c r="DYB11" s="3428"/>
      <c r="DYC11" s="3428"/>
      <c r="DYD11" s="3428"/>
      <c r="DYE11" s="3428"/>
      <c r="DYF11" s="3428"/>
      <c r="DYG11" s="3428"/>
      <c r="DYH11" s="3428"/>
      <c r="DYI11" s="3428"/>
      <c r="DYJ11" s="3428"/>
      <c r="DYK11" s="3428"/>
      <c r="DYL11" s="3428"/>
      <c r="DYM11" s="3428"/>
      <c r="DYN11" s="3428"/>
      <c r="DYO11" s="3428"/>
      <c r="DYP11" s="3428"/>
      <c r="DYQ11" s="3428"/>
      <c r="DYR11" s="3428"/>
      <c r="DYS11" s="3428"/>
      <c r="DYT11" s="3428"/>
      <c r="DYU11" s="3428"/>
      <c r="DYV11" s="3428"/>
      <c r="DYW11" s="3428"/>
      <c r="DYX11" s="3428"/>
      <c r="DYY11" s="3428"/>
      <c r="DYZ11" s="3428"/>
      <c r="DZA11" s="3428"/>
      <c r="DZB11" s="3428"/>
      <c r="DZC11" s="3428"/>
      <c r="DZD11" s="3428"/>
      <c r="DZE11" s="3428"/>
      <c r="DZF11" s="3428"/>
      <c r="DZG11" s="3428"/>
      <c r="DZH11" s="3428"/>
      <c r="DZI11" s="3428"/>
      <c r="DZJ11" s="3428"/>
      <c r="DZK11" s="3428"/>
      <c r="DZL11" s="3428"/>
      <c r="DZM11" s="3428"/>
      <c r="DZN11" s="3428"/>
      <c r="DZO11" s="3428"/>
      <c r="DZP11" s="3428"/>
      <c r="DZQ11" s="3428"/>
      <c r="DZR11" s="3428"/>
      <c r="DZS11" s="3428"/>
      <c r="DZT11" s="3428"/>
      <c r="DZU11" s="3428"/>
      <c r="DZV11" s="3428"/>
      <c r="DZW11" s="3428"/>
      <c r="DZX11" s="3428"/>
      <c r="DZY11" s="3428"/>
      <c r="DZZ11" s="3428"/>
      <c r="EAA11" s="3428"/>
      <c r="EAB11" s="3428"/>
      <c r="EAC11" s="3428"/>
      <c r="EAD11" s="3428"/>
      <c r="EAE11" s="3428"/>
      <c r="EAF11" s="3428"/>
      <c r="EAG11" s="3428"/>
      <c r="EAH11" s="3428"/>
      <c r="EAI11" s="3428"/>
      <c r="EAJ11" s="3428"/>
      <c r="EAK11" s="3428"/>
      <c r="EAL11" s="3428"/>
      <c r="EAM11" s="3428"/>
      <c r="EAN11" s="3428"/>
      <c r="EAO11" s="3428"/>
      <c r="EAP11" s="3428"/>
      <c r="EAQ11" s="3428"/>
      <c r="EAR11" s="3428"/>
      <c r="EAS11" s="3428"/>
      <c r="EAT11" s="3428"/>
      <c r="EAU11" s="3428"/>
      <c r="EAV11" s="3428"/>
      <c r="EAW11" s="3428"/>
      <c r="EAX11" s="3428"/>
      <c r="EAY11" s="3428"/>
      <c r="EAZ11" s="3428"/>
      <c r="EBA11" s="3428"/>
      <c r="EBB11" s="3428"/>
      <c r="EBC11" s="3428"/>
      <c r="EBD11" s="3428"/>
      <c r="EBE11" s="3428"/>
      <c r="EBF11" s="3428"/>
      <c r="EBG11" s="3428"/>
      <c r="EBH11" s="3428"/>
      <c r="EBI11" s="3428"/>
      <c r="EBJ11" s="3428"/>
      <c r="EBK11" s="3428"/>
      <c r="EBL11" s="3428"/>
      <c r="EBM11" s="3428"/>
      <c r="EBN11" s="3428"/>
      <c r="EBO11" s="3428"/>
      <c r="EBP11" s="3428"/>
      <c r="EBQ11" s="3428"/>
      <c r="EBR11" s="3428"/>
      <c r="EBS11" s="3428"/>
      <c r="EBT11" s="3428"/>
      <c r="EBU11" s="3428"/>
      <c r="EBV11" s="3428"/>
      <c r="EBW11" s="3428"/>
      <c r="EBX11" s="3428"/>
      <c r="EBY11" s="3428"/>
      <c r="EBZ11" s="3428"/>
      <c r="ECA11" s="3428"/>
      <c r="ECB11" s="3428"/>
      <c r="ECC11" s="3428"/>
      <c r="ECD11" s="3428"/>
      <c r="ECE11" s="3428"/>
      <c r="ECF11" s="3428"/>
      <c r="ECG11" s="3428"/>
      <c r="ECH11" s="3428"/>
      <c r="ECI11" s="3428"/>
      <c r="ECJ11" s="3428"/>
      <c r="ECK11" s="3428"/>
      <c r="ECL11" s="3428"/>
      <c r="ECM11" s="3428"/>
      <c r="ECN11" s="3428"/>
      <c r="ECO11" s="3428"/>
      <c r="ECP11" s="3428"/>
      <c r="ECQ11" s="3428"/>
      <c r="ECR11" s="3428"/>
      <c r="ECS11" s="3428"/>
      <c r="ECT11" s="3428"/>
      <c r="ECU11" s="3428"/>
      <c r="ECV11" s="3428"/>
      <c r="ECW11" s="3428"/>
      <c r="ECX11" s="3428"/>
      <c r="ECY11" s="3428"/>
      <c r="ECZ11" s="3428"/>
      <c r="EDA11" s="3428"/>
      <c r="EDB11" s="3428"/>
      <c r="EDC11" s="3428"/>
      <c r="EDD11" s="3428"/>
      <c r="EDE11" s="3428"/>
      <c r="EDF11" s="3428"/>
      <c r="EDG11" s="3428"/>
      <c r="EDH11" s="3428"/>
      <c r="EDI11" s="3428"/>
      <c r="EDJ11" s="3428"/>
      <c r="EDK11" s="3428"/>
      <c r="EDL11" s="3428"/>
      <c r="EDM11" s="3428"/>
      <c r="EDN11" s="3428"/>
      <c r="EDO11" s="3428"/>
      <c r="EDP11" s="3428"/>
      <c r="EDQ11" s="3428"/>
      <c r="EDR11" s="3428"/>
      <c r="EDS11" s="3428"/>
      <c r="EDT11" s="3428"/>
      <c r="EDU11" s="3428"/>
      <c r="EDV11" s="3428"/>
      <c r="EDW11" s="3428"/>
      <c r="EDX11" s="3428"/>
      <c r="EDY11" s="3428"/>
      <c r="EDZ11" s="3428"/>
      <c r="EEA11" s="3428"/>
      <c r="EEB11" s="3428"/>
      <c r="EEC11" s="3428"/>
      <c r="EED11" s="3428"/>
      <c r="EEE11" s="3428"/>
      <c r="EEF11" s="3428"/>
      <c r="EEG11" s="3428"/>
      <c r="EEH11" s="3428"/>
      <c r="EEI11" s="3428"/>
      <c r="EEJ11" s="3428"/>
      <c r="EEK11" s="3428"/>
      <c r="EEL11" s="3428"/>
      <c r="EEM11" s="3428"/>
      <c r="EEN11" s="3428"/>
      <c r="EEO11" s="3428"/>
      <c r="EEP11" s="3428"/>
      <c r="EEQ11" s="3428"/>
      <c r="EER11" s="3428"/>
      <c r="EES11" s="3428"/>
      <c r="EET11" s="3428"/>
      <c r="EEU11" s="3428"/>
      <c r="EEV11" s="3428"/>
      <c r="EEW11" s="3428"/>
      <c r="EEX11" s="3428"/>
      <c r="EEY11" s="3428"/>
      <c r="EEZ11" s="3428"/>
      <c r="EFA11" s="3428"/>
      <c r="EFB11" s="3428"/>
      <c r="EFC11" s="3428"/>
      <c r="EFD11" s="3428"/>
      <c r="EFE11" s="3428"/>
      <c r="EFF11" s="3428"/>
      <c r="EFG11" s="3428"/>
      <c r="EFH11" s="3428"/>
      <c r="EFI11" s="3428"/>
      <c r="EFJ11" s="3428"/>
      <c r="EFK11" s="3428"/>
      <c r="EFL11" s="3428"/>
      <c r="EFM11" s="3428"/>
      <c r="EFN11" s="3428"/>
      <c r="EFO11" s="3428"/>
      <c r="EFP11" s="3428"/>
      <c r="EFQ11" s="3428"/>
      <c r="EFR11" s="3428"/>
      <c r="EFS11" s="3428"/>
      <c r="EFT11" s="3428"/>
      <c r="EFU11" s="3428"/>
      <c r="EFV11" s="3428"/>
      <c r="EFW11" s="3428"/>
      <c r="EFX11" s="3428"/>
      <c r="EFY11" s="3428"/>
      <c r="EFZ11" s="3428"/>
      <c r="EGA11" s="3428"/>
      <c r="EGB11" s="3428"/>
      <c r="EGC11" s="3428"/>
      <c r="EGD11" s="3428"/>
      <c r="EGE11" s="3428"/>
      <c r="EGF11" s="3428"/>
      <c r="EGG11" s="3428"/>
      <c r="EGH11" s="3428"/>
      <c r="EGI11" s="3428"/>
      <c r="EGJ11" s="3428"/>
      <c r="EGK11" s="3428"/>
      <c r="EGL11" s="3428"/>
      <c r="EGM11" s="3428"/>
      <c r="EGN11" s="3428"/>
      <c r="EGO11" s="3428"/>
      <c r="EGP11" s="3428"/>
      <c r="EGQ11" s="3428"/>
      <c r="EGR11" s="3428"/>
      <c r="EGS11" s="3428"/>
      <c r="EGT11" s="3428"/>
      <c r="EGU11" s="3428"/>
      <c r="EGV11" s="3428"/>
      <c r="EGW11" s="3428"/>
      <c r="EGX11" s="3428"/>
      <c r="EGY11" s="3428"/>
      <c r="EGZ11" s="3428"/>
      <c r="EHA11" s="3428"/>
      <c r="EHB11" s="3428"/>
      <c r="EHC11" s="3428"/>
      <c r="EHD11" s="3428"/>
      <c r="EHE11" s="3428"/>
      <c r="EHF11" s="3428"/>
      <c r="EHG11" s="3428"/>
      <c r="EHH11" s="3428"/>
      <c r="EHI11" s="3428"/>
      <c r="EHJ11" s="3428"/>
      <c r="EHK11" s="3428"/>
      <c r="EHL11" s="3428"/>
      <c r="EHM11" s="3428"/>
      <c r="EHN11" s="3428"/>
      <c r="EHO11" s="3428"/>
      <c r="EHP11" s="3428"/>
      <c r="EHQ11" s="3428"/>
      <c r="EHR11" s="3428"/>
      <c r="EHS11" s="3428"/>
      <c r="EHT11" s="3428"/>
      <c r="EHU11" s="3428"/>
      <c r="EHV11" s="3428"/>
      <c r="EHW11" s="3428"/>
      <c r="EHX11" s="3428"/>
      <c r="EHY11" s="3428"/>
      <c r="EHZ11" s="3428"/>
      <c r="EIA11" s="3428"/>
      <c r="EIB11" s="3428"/>
      <c r="EIC11" s="3428"/>
      <c r="EID11" s="3428"/>
      <c r="EIE11" s="3428"/>
      <c r="EIF11" s="3428"/>
      <c r="EIG11" s="3428"/>
      <c r="EIH11" s="3428"/>
      <c r="EII11" s="3428"/>
      <c r="EIJ11" s="3428"/>
      <c r="EIK11" s="3428"/>
      <c r="EIL11" s="3428"/>
      <c r="EIM11" s="3428"/>
      <c r="EIN11" s="3428"/>
      <c r="EIO11" s="3428"/>
      <c r="EIP11" s="3428"/>
      <c r="EIQ11" s="3428"/>
      <c r="EIR11" s="3428"/>
      <c r="EIS11" s="3428"/>
      <c r="EIT11" s="3428"/>
      <c r="EIU11" s="3428"/>
      <c r="EIV11" s="3428"/>
      <c r="EIW11" s="3428"/>
      <c r="EIX11" s="3428"/>
      <c r="EIY11" s="3428"/>
      <c r="EIZ11" s="3428"/>
      <c r="EJA11" s="3428"/>
      <c r="EJB11" s="3428"/>
      <c r="EJC11" s="3428"/>
      <c r="EJD11" s="3428"/>
      <c r="EJE11" s="3428"/>
      <c r="EJF11" s="3428"/>
      <c r="EJG11" s="3428"/>
      <c r="EJH11" s="3428"/>
      <c r="EJI11" s="3428"/>
      <c r="EJJ11" s="3428"/>
      <c r="EJK11" s="3428"/>
      <c r="EJL11" s="3428"/>
      <c r="EJM11" s="3428"/>
      <c r="EJN11" s="3428"/>
      <c r="EJO11" s="3428"/>
      <c r="EJP11" s="3428"/>
      <c r="EJQ11" s="3428"/>
      <c r="EJR11" s="3428"/>
      <c r="EJS11" s="3428"/>
      <c r="EJT11" s="3428"/>
      <c r="EJU11" s="3428"/>
      <c r="EJV11" s="3428"/>
      <c r="EJW11" s="3428"/>
      <c r="EJX11" s="3428"/>
      <c r="EJY11" s="3428"/>
      <c r="EJZ11" s="3428"/>
      <c r="EKA11" s="3428"/>
      <c r="EKB11" s="3428"/>
      <c r="EKC11" s="3428"/>
      <c r="EKD11" s="3428"/>
      <c r="EKE11" s="3428"/>
      <c r="EKF11" s="3428"/>
      <c r="EKG11" s="3428"/>
      <c r="EKH11" s="3428"/>
      <c r="EKI11" s="3428"/>
      <c r="EKJ11" s="3428"/>
      <c r="EKK11" s="3428"/>
      <c r="EKL11" s="3428"/>
      <c r="EKM11" s="3428"/>
      <c r="EKN11" s="3428"/>
      <c r="EKO11" s="3428"/>
      <c r="EKP11" s="3428"/>
      <c r="EKQ11" s="3428"/>
      <c r="EKR11" s="3428"/>
      <c r="EKS11" s="3428"/>
      <c r="EKT11" s="3428"/>
      <c r="EKU11" s="3428"/>
      <c r="EKV11" s="3428"/>
      <c r="EKW11" s="3428"/>
      <c r="EKX11" s="3428"/>
      <c r="EKY11" s="3428"/>
      <c r="EKZ11" s="3428"/>
      <c r="ELA11" s="3428"/>
      <c r="ELB11" s="3428"/>
      <c r="ELC11" s="3428"/>
      <c r="ELD11" s="3428"/>
      <c r="ELE11" s="3428"/>
      <c r="ELF11" s="3428"/>
      <c r="ELG11" s="3428"/>
      <c r="ELH11" s="3428"/>
      <c r="ELI11" s="3428"/>
      <c r="ELJ11" s="3428"/>
      <c r="ELK11" s="3428"/>
      <c r="ELL11" s="3428"/>
      <c r="ELM11" s="3428"/>
      <c r="ELN11" s="3428"/>
      <c r="ELO11" s="3428"/>
      <c r="ELP11" s="3428"/>
      <c r="ELQ11" s="3428"/>
      <c r="ELR11" s="3428"/>
      <c r="ELS11" s="3428"/>
      <c r="ELT11" s="3428"/>
      <c r="ELU11" s="3428"/>
      <c r="ELV11" s="3428"/>
      <c r="ELW11" s="3428"/>
      <c r="ELX11" s="3428"/>
      <c r="ELY11" s="3428"/>
      <c r="ELZ11" s="3428"/>
      <c r="EMA11" s="3428"/>
      <c r="EMB11" s="3428"/>
      <c r="EMC11" s="3428"/>
      <c r="EMD11" s="3428"/>
      <c r="EME11" s="3428"/>
      <c r="EMF11" s="3428"/>
      <c r="EMG11" s="3428"/>
      <c r="EMH11" s="3428"/>
      <c r="EMI11" s="3428"/>
      <c r="EMJ11" s="3428"/>
      <c r="EMK11" s="3428"/>
      <c r="EML11" s="3428"/>
      <c r="EMM11" s="3428"/>
      <c r="EMN11" s="3428"/>
      <c r="EMO11" s="3428"/>
      <c r="EMP11" s="3428"/>
      <c r="EMQ11" s="3428"/>
      <c r="EMR11" s="3428"/>
      <c r="EMS11" s="3428"/>
      <c r="EMT11" s="3428"/>
      <c r="EMU11" s="3428"/>
      <c r="EMV11" s="3428"/>
      <c r="EMW11" s="3428"/>
      <c r="EMX11" s="3428"/>
      <c r="EMY11" s="3428"/>
      <c r="EMZ11" s="3428"/>
      <c r="ENA11" s="3428"/>
      <c r="ENB11" s="3428"/>
      <c r="ENC11" s="3428"/>
      <c r="END11" s="3428"/>
      <c r="ENE11" s="3428"/>
      <c r="ENF11" s="3428"/>
      <c r="ENG11" s="3428"/>
      <c r="ENH11" s="3428"/>
      <c r="ENI11" s="3428"/>
      <c r="ENJ11" s="3428"/>
      <c r="ENK11" s="3428"/>
      <c r="ENL11" s="3428"/>
      <c r="ENM11" s="3428"/>
      <c r="ENN11" s="3428"/>
      <c r="ENO11" s="3428"/>
      <c r="ENP11" s="3428"/>
      <c r="ENQ11" s="3428"/>
      <c r="ENR11" s="3428"/>
      <c r="ENS11" s="3428"/>
      <c r="ENT11" s="3428"/>
      <c r="ENU11" s="3428"/>
      <c r="ENV11" s="3428"/>
      <c r="ENW11" s="3428"/>
      <c r="ENX11" s="3428"/>
      <c r="ENY11" s="3428"/>
      <c r="ENZ11" s="3428"/>
      <c r="EOA11" s="3428"/>
      <c r="EOB11" s="3428"/>
      <c r="EOC11" s="3428"/>
      <c r="EOD11" s="3428"/>
      <c r="EOE11" s="3428"/>
      <c r="EOF11" s="3428"/>
      <c r="EOG11" s="3428"/>
      <c r="EOH11" s="3428"/>
      <c r="EOI11" s="3428"/>
      <c r="EOJ11" s="3428"/>
      <c r="EOK11" s="3428"/>
      <c r="EOL11" s="3428"/>
      <c r="EOM11" s="3428"/>
      <c r="EON11" s="3428"/>
      <c r="EOO11" s="3428"/>
      <c r="EOP11" s="3428"/>
      <c r="EOQ11" s="3428"/>
      <c r="EOR11" s="3428"/>
      <c r="EOS11" s="3428"/>
      <c r="EOT11" s="3428"/>
      <c r="EOU11" s="3428"/>
      <c r="EOV11" s="3428"/>
      <c r="EOW11" s="3428"/>
      <c r="EOX11" s="3428"/>
      <c r="EOY11" s="3428"/>
      <c r="EOZ11" s="3428"/>
      <c r="EPA11" s="3428"/>
      <c r="EPB11" s="3428"/>
      <c r="EPC11" s="3428"/>
      <c r="EPD11" s="3428"/>
      <c r="EPE11" s="3428"/>
      <c r="EPF11" s="3428"/>
      <c r="EPG11" s="3428"/>
      <c r="EPH11" s="3428"/>
      <c r="EPI11" s="3428"/>
      <c r="EPJ11" s="3428"/>
      <c r="EPK11" s="3428"/>
      <c r="EPL11" s="3428"/>
      <c r="EPM11" s="3428"/>
      <c r="EPN11" s="3428"/>
      <c r="EPO11" s="3428"/>
      <c r="EPP11" s="3428"/>
      <c r="EPQ11" s="3428"/>
      <c r="EPR11" s="3428"/>
      <c r="EPS11" s="3428"/>
      <c r="EPT11" s="3428"/>
      <c r="EPU11" s="3428"/>
      <c r="EPV11" s="3428"/>
      <c r="EPW11" s="3428"/>
      <c r="EPX11" s="3428"/>
      <c r="EPY11" s="3428"/>
      <c r="EPZ11" s="3428"/>
      <c r="EQA11" s="3428"/>
      <c r="EQB11" s="3428"/>
      <c r="EQC11" s="3428"/>
      <c r="EQD11" s="3428"/>
      <c r="EQE11" s="3428"/>
      <c r="EQF11" s="3428"/>
      <c r="EQG11" s="3428"/>
      <c r="EQH11" s="3428"/>
      <c r="EQI11" s="3428"/>
      <c r="EQJ11" s="3428"/>
      <c r="EQK11" s="3428"/>
      <c r="EQL11" s="3428"/>
      <c r="EQM11" s="3428"/>
      <c r="EQN11" s="3428"/>
      <c r="EQO11" s="3428"/>
      <c r="EQP11" s="3428"/>
      <c r="EQQ11" s="3428"/>
      <c r="EQR11" s="3428"/>
      <c r="EQS11" s="3428"/>
      <c r="EQT11" s="3428"/>
      <c r="EQU11" s="3428"/>
      <c r="EQV11" s="3428"/>
      <c r="EQW11" s="3428"/>
      <c r="EQX11" s="3428"/>
      <c r="EQY11" s="3428"/>
      <c r="EQZ11" s="3428"/>
      <c r="ERA11" s="3428"/>
      <c r="ERB11" s="3428"/>
      <c r="ERC11" s="3428"/>
      <c r="ERD11" s="3428"/>
      <c r="ERE11" s="3428"/>
      <c r="ERF11" s="3428"/>
      <c r="ERG11" s="3428"/>
      <c r="ERH11" s="3428"/>
      <c r="ERI11" s="3428"/>
      <c r="ERJ11" s="3428"/>
      <c r="ERK11" s="3428"/>
      <c r="ERL11" s="3428"/>
      <c r="ERM11" s="3428"/>
      <c r="ERN11" s="3428"/>
      <c r="ERO11" s="3428"/>
      <c r="ERP11" s="3428"/>
      <c r="ERQ11" s="3428"/>
      <c r="ERR11" s="3428"/>
      <c r="ERS11" s="3428"/>
      <c r="ERT11" s="3428"/>
      <c r="ERU11" s="3428"/>
      <c r="ERV11" s="3428"/>
      <c r="ERW11" s="3428"/>
      <c r="ERX11" s="3428"/>
      <c r="ERY11" s="3428"/>
      <c r="ERZ11" s="3428"/>
      <c r="ESA11" s="3428"/>
      <c r="ESB11" s="3428"/>
      <c r="ESC11" s="3428"/>
      <c r="ESD11" s="3428"/>
      <c r="ESE11" s="3428"/>
      <c r="ESF11" s="3428"/>
      <c r="ESG11" s="3428"/>
      <c r="ESH11" s="3428"/>
      <c r="ESI11" s="3428"/>
      <c r="ESJ11" s="3428"/>
      <c r="ESK11" s="3428"/>
      <c r="ESL11" s="3428"/>
      <c r="ESM11" s="3428"/>
      <c r="ESN11" s="3428"/>
      <c r="ESO11" s="3428"/>
      <c r="ESP11" s="3428"/>
      <c r="ESQ11" s="3428"/>
      <c r="ESR11" s="3428"/>
      <c r="ESS11" s="3428"/>
      <c r="EST11" s="3428"/>
      <c r="ESU11" s="3428"/>
      <c r="ESV11" s="3428"/>
      <c r="ESW11" s="3428"/>
      <c r="ESX11" s="3428"/>
      <c r="ESY11" s="3428"/>
      <c r="ESZ11" s="3428"/>
      <c r="ETA11" s="3428"/>
      <c r="ETB11" s="3428"/>
      <c r="ETC11" s="3428"/>
      <c r="ETD11" s="3428"/>
      <c r="ETE11" s="3428"/>
      <c r="ETF11" s="3428"/>
      <c r="ETG11" s="3428"/>
      <c r="ETH11" s="3428"/>
      <c r="ETI11" s="3428"/>
      <c r="ETJ11" s="3428"/>
      <c r="ETK11" s="3428"/>
      <c r="ETL11" s="3428"/>
      <c r="ETM11" s="3428"/>
      <c r="ETN11" s="3428"/>
      <c r="ETO11" s="3428"/>
      <c r="ETP11" s="3428"/>
      <c r="ETQ11" s="3428"/>
      <c r="ETR11" s="3428"/>
      <c r="ETS11" s="3428"/>
      <c r="ETT11" s="3428"/>
      <c r="ETU11" s="3428"/>
      <c r="ETV11" s="3428"/>
      <c r="ETW11" s="3428"/>
      <c r="ETX11" s="3428"/>
      <c r="ETY11" s="3428"/>
      <c r="ETZ11" s="3428"/>
      <c r="EUA11" s="3428"/>
      <c r="EUB11" s="3428"/>
      <c r="EUC11" s="3428"/>
      <c r="EUD11" s="3428"/>
      <c r="EUE11" s="3428"/>
      <c r="EUF11" s="3428"/>
      <c r="EUG11" s="3428"/>
      <c r="EUH11" s="3428"/>
      <c r="EUI11" s="3428"/>
      <c r="EUJ11" s="3428"/>
      <c r="EUK11" s="3428"/>
      <c r="EUL11" s="3428"/>
      <c r="EUM11" s="3428"/>
      <c r="EUN11" s="3428"/>
      <c r="EUO11" s="3428"/>
      <c r="EUP11" s="3428"/>
      <c r="EUQ11" s="3428"/>
      <c r="EUR11" s="3428"/>
      <c r="EUS11" s="3428"/>
      <c r="EUT11" s="3428"/>
      <c r="EUU11" s="3428"/>
      <c r="EUV11" s="3428"/>
      <c r="EUW11" s="3428"/>
      <c r="EUX11" s="3428"/>
      <c r="EUY11" s="3428"/>
      <c r="EUZ11" s="3428"/>
      <c r="EVA11" s="3428"/>
      <c r="EVB11" s="3428"/>
      <c r="EVC11" s="3428"/>
      <c r="EVD11" s="3428"/>
      <c r="EVE11" s="3428"/>
      <c r="EVF11" s="3428"/>
      <c r="EVG11" s="3428"/>
      <c r="EVH11" s="3428"/>
      <c r="EVI11" s="3428"/>
      <c r="EVJ11" s="3428"/>
      <c r="EVK11" s="3428"/>
      <c r="EVL11" s="3428"/>
      <c r="EVM11" s="3428"/>
      <c r="EVN11" s="3428"/>
      <c r="EVO11" s="3428"/>
      <c r="EVP11" s="3428"/>
      <c r="EVQ11" s="3428"/>
      <c r="EVR11" s="3428"/>
      <c r="EVS11" s="3428"/>
      <c r="EVT11" s="3428"/>
      <c r="EVU11" s="3428"/>
      <c r="EVV11" s="3428"/>
      <c r="EVW11" s="3428"/>
      <c r="EVX11" s="3428"/>
      <c r="EVY11" s="3428"/>
      <c r="EVZ11" s="3428"/>
      <c r="EWA11" s="3428"/>
      <c r="EWB11" s="3428"/>
      <c r="EWC11" s="3428"/>
      <c r="EWD11" s="3428"/>
      <c r="EWE11" s="3428"/>
      <c r="EWF11" s="3428"/>
      <c r="EWG11" s="3428"/>
      <c r="EWH11" s="3428"/>
      <c r="EWI11" s="3428"/>
      <c r="EWJ11" s="3428"/>
      <c r="EWK11" s="3428"/>
      <c r="EWL11" s="3428"/>
      <c r="EWM11" s="3428"/>
      <c r="EWN11" s="3428"/>
      <c r="EWO11" s="3428"/>
      <c r="EWP11" s="3428"/>
      <c r="EWQ11" s="3428"/>
      <c r="EWR11" s="3428"/>
      <c r="EWS11" s="3428"/>
      <c r="EWT11" s="3428"/>
      <c r="EWU11" s="3428"/>
      <c r="EWV11" s="3428"/>
      <c r="EWW11" s="3428"/>
      <c r="EWX11" s="3428"/>
      <c r="EWY11" s="3428"/>
      <c r="EWZ11" s="3428"/>
      <c r="EXA11" s="3428"/>
      <c r="EXB11" s="3428"/>
      <c r="EXC11" s="3428"/>
      <c r="EXD11" s="3428"/>
      <c r="EXE11" s="3428"/>
      <c r="EXF11" s="3428"/>
      <c r="EXG11" s="3428"/>
      <c r="EXH11" s="3428"/>
      <c r="EXI11" s="3428"/>
      <c r="EXJ11" s="3428"/>
      <c r="EXK11" s="3428"/>
      <c r="EXL11" s="3428"/>
      <c r="EXM11" s="3428"/>
      <c r="EXN11" s="3428"/>
      <c r="EXO11" s="3428"/>
      <c r="EXP11" s="3428"/>
      <c r="EXQ11" s="3428"/>
      <c r="EXR11" s="3428"/>
      <c r="EXS11" s="3428"/>
      <c r="EXT11" s="3428"/>
      <c r="EXU11" s="3428"/>
      <c r="EXV11" s="3428"/>
      <c r="EXW11" s="3428"/>
      <c r="EXX11" s="3428"/>
      <c r="EXY11" s="3428"/>
      <c r="EXZ11" s="3428"/>
      <c r="EYA11" s="3428"/>
      <c r="EYB11" s="3428"/>
      <c r="EYC11" s="3428"/>
      <c r="EYD11" s="3428"/>
      <c r="EYE11" s="3428"/>
      <c r="EYF11" s="3428"/>
      <c r="EYG11" s="3428"/>
      <c r="EYH11" s="3428"/>
      <c r="EYI11" s="3428"/>
      <c r="EYJ11" s="3428"/>
      <c r="EYK11" s="3428"/>
      <c r="EYL11" s="3428"/>
      <c r="EYM11" s="3428"/>
      <c r="EYN11" s="3428"/>
      <c r="EYO11" s="3428"/>
      <c r="EYP11" s="3428"/>
      <c r="EYQ11" s="3428"/>
      <c r="EYR11" s="3428"/>
      <c r="EYS11" s="3428"/>
      <c r="EYT11" s="3428"/>
      <c r="EYU11" s="3428"/>
      <c r="EYV11" s="3428"/>
      <c r="EYW11" s="3428"/>
      <c r="EYX11" s="3428"/>
      <c r="EYY11" s="3428"/>
      <c r="EYZ11" s="3428"/>
      <c r="EZA11" s="3428"/>
      <c r="EZB11" s="3428"/>
      <c r="EZC11" s="3428"/>
      <c r="EZD11" s="3428"/>
      <c r="EZE11" s="3428"/>
      <c r="EZF11" s="3428"/>
      <c r="EZG11" s="3428"/>
      <c r="EZH11" s="3428"/>
      <c r="EZI11" s="3428"/>
      <c r="EZJ11" s="3428"/>
      <c r="EZK11" s="3428"/>
      <c r="EZL11" s="3428"/>
      <c r="EZM11" s="3428"/>
      <c r="EZN11" s="3428"/>
      <c r="EZO11" s="3428"/>
      <c r="EZP11" s="3428"/>
      <c r="EZQ11" s="3428"/>
      <c r="EZR11" s="3428"/>
      <c r="EZS11" s="3428"/>
      <c r="EZT11" s="3428"/>
      <c r="EZU11" s="3428"/>
      <c r="EZV11" s="3428"/>
      <c r="EZW11" s="3428"/>
      <c r="EZX11" s="3428"/>
      <c r="EZY11" s="3428"/>
      <c r="EZZ11" s="3428"/>
      <c r="FAA11" s="3428"/>
      <c r="FAB11" s="3428"/>
      <c r="FAC11" s="3428"/>
      <c r="FAD11" s="3428"/>
      <c r="FAE11" s="3428"/>
      <c r="FAF11" s="3428"/>
      <c r="FAG11" s="3428"/>
      <c r="FAH11" s="3428"/>
      <c r="FAI11" s="3428"/>
      <c r="FAJ11" s="3428"/>
      <c r="FAK11" s="3428"/>
      <c r="FAL11" s="3428"/>
      <c r="FAM11" s="3428"/>
      <c r="FAN11" s="3428"/>
      <c r="FAO11" s="3428"/>
      <c r="FAP11" s="3428"/>
      <c r="FAQ11" s="3428"/>
      <c r="FAR11" s="3428"/>
      <c r="FAS11" s="3428"/>
      <c r="FAT11" s="3428"/>
      <c r="FAU11" s="3428"/>
      <c r="FAV11" s="3428"/>
      <c r="FAW11" s="3428"/>
      <c r="FAX11" s="3428"/>
      <c r="FAY11" s="3428"/>
      <c r="FAZ11" s="3428"/>
      <c r="FBA11" s="3428"/>
      <c r="FBB11" s="3428"/>
      <c r="FBC11" s="3428"/>
      <c r="FBD11" s="3428"/>
      <c r="FBE11" s="3428"/>
      <c r="FBF11" s="3428"/>
      <c r="FBG11" s="3428"/>
      <c r="FBH11" s="3428"/>
      <c r="FBI11" s="3428"/>
      <c r="FBJ11" s="3428"/>
      <c r="FBK11" s="3428"/>
      <c r="FBL11" s="3428"/>
      <c r="FBM11" s="3428"/>
      <c r="FBN11" s="3428"/>
      <c r="FBO11" s="3428"/>
      <c r="FBP11" s="3428"/>
      <c r="FBQ11" s="3428"/>
      <c r="FBR11" s="3428"/>
      <c r="FBS11" s="3428"/>
      <c r="FBT11" s="3428"/>
      <c r="FBU11" s="3428"/>
      <c r="FBV11" s="3428"/>
      <c r="FBW11" s="3428"/>
      <c r="FBX11" s="3428"/>
      <c r="FBY11" s="3428"/>
      <c r="FBZ11" s="3428"/>
      <c r="FCA11" s="3428"/>
      <c r="FCB11" s="3428"/>
      <c r="FCC11" s="3428"/>
      <c r="FCD11" s="3428"/>
      <c r="FCE11" s="3428"/>
      <c r="FCF11" s="3428"/>
      <c r="FCG11" s="3428"/>
      <c r="FCH11" s="3428"/>
      <c r="FCI11" s="3428"/>
      <c r="FCJ11" s="3428"/>
      <c r="FCK11" s="3428"/>
      <c r="FCL11" s="3428"/>
      <c r="FCM11" s="3428"/>
      <c r="FCN11" s="3428"/>
      <c r="FCO11" s="3428"/>
      <c r="FCP11" s="3428"/>
      <c r="FCQ11" s="3428"/>
      <c r="FCR11" s="3428"/>
      <c r="FCS11" s="3428"/>
      <c r="FCT11" s="3428"/>
      <c r="FCU11" s="3428"/>
      <c r="FCV11" s="3428"/>
      <c r="FCW11" s="3428"/>
      <c r="FCX11" s="3428"/>
      <c r="FCY11" s="3428"/>
      <c r="FCZ11" s="3428"/>
      <c r="FDA11" s="3428"/>
      <c r="FDB11" s="3428"/>
      <c r="FDC11" s="3428"/>
      <c r="FDD11" s="3428"/>
      <c r="FDE11" s="3428"/>
      <c r="FDF11" s="3428"/>
      <c r="FDG11" s="3428"/>
      <c r="FDH11" s="3428"/>
      <c r="FDI11" s="3428"/>
      <c r="FDJ11" s="3428"/>
      <c r="FDK11" s="3428"/>
      <c r="FDL11" s="3428"/>
      <c r="FDM11" s="3428"/>
      <c r="FDN11" s="3428"/>
      <c r="FDO11" s="3428"/>
      <c r="FDP11" s="3428"/>
      <c r="FDQ11" s="3428"/>
      <c r="FDR11" s="3428"/>
      <c r="FDS11" s="3428"/>
      <c r="FDT11" s="3428"/>
      <c r="FDU11" s="3428"/>
      <c r="FDV11" s="3428"/>
      <c r="FDW11" s="3428"/>
      <c r="FDX11" s="3428"/>
      <c r="FDY11" s="3428"/>
      <c r="FDZ11" s="3428"/>
      <c r="FEA11" s="3428"/>
      <c r="FEB11" s="3428"/>
      <c r="FEC11" s="3428"/>
      <c r="FED11" s="3428"/>
      <c r="FEE11" s="3428"/>
      <c r="FEF11" s="3428"/>
      <c r="FEG11" s="3428"/>
      <c r="FEH11" s="3428"/>
      <c r="FEI11" s="3428"/>
      <c r="FEJ11" s="3428"/>
      <c r="FEK11" s="3428"/>
      <c r="FEL11" s="3428"/>
      <c r="FEM11" s="3428"/>
      <c r="FEN11" s="3428"/>
      <c r="FEO11" s="3428"/>
      <c r="FEP11" s="3428"/>
      <c r="FEQ11" s="3428"/>
      <c r="FER11" s="3428"/>
      <c r="FES11" s="3428"/>
      <c r="FET11" s="3428"/>
      <c r="FEU11" s="3428"/>
      <c r="FEV11" s="3428"/>
      <c r="FEW11" s="3428"/>
      <c r="FEX11" s="3428"/>
      <c r="FEY11" s="3428"/>
      <c r="FEZ11" s="3428"/>
      <c r="FFA11" s="3428"/>
      <c r="FFB11" s="3428"/>
      <c r="FFC11" s="3428"/>
      <c r="FFD11" s="3428"/>
      <c r="FFE11" s="3428"/>
      <c r="FFF11" s="3428"/>
      <c r="FFG11" s="3428"/>
      <c r="FFH11" s="3428"/>
      <c r="FFI11" s="3428"/>
      <c r="FFJ11" s="3428"/>
      <c r="FFK11" s="3428"/>
      <c r="FFL11" s="3428"/>
      <c r="FFM11" s="3428"/>
      <c r="FFN11" s="3428"/>
      <c r="FFO11" s="3428"/>
      <c r="FFP11" s="3428"/>
      <c r="FFQ11" s="3428"/>
      <c r="FFR11" s="3428"/>
      <c r="FFS11" s="3428"/>
      <c r="FFT11" s="3428"/>
      <c r="FFU11" s="3428"/>
      <c r="FFV11" s="3428"/>
      <c r="FFW11" s="3428"/>
      <c r="FFX11" s="3428"/>
      <c r="FFY11" s="3428"/>
      <c r="FFZ11" s="3428"/>
      <c r="FGA11" s="3428"/>
      <c r="FGB11" s="3428"/>
      <c r="FGC11" s="3428"/>
      <c r="FGD11" s="3428"/>
      <c r="FGE11" s="3428"/>
      <c r="FGF11" s="3428"/>
      <c r="FGG11" s="3428"/>
      <c r="FGH11" s="3428"/>
      <c r="FGI11" s="3428"/>
      <c r="FGJ11" s="3428"/>
      <c r="FGK11" s="3428"/>
      <c r="FGL11" s="3428"/>
      <c r="FGM11" s="3428"/>
      <c r="FGN11" s="3428"/>
      <c r="FGO11" s="3428"/>
      <c r="FGP11" s="3428"/>
      <c r="FGQ11" s="3428"/>
      <c r="FGR11" s="3428"/>
      <c r="FGS11" s="3428"/>
      <c r="FGT11" s="3428"/>
      <c r="FGU11" s="3428"/>
      <c r="FGV11" s="3428"/>
      <c r="FGW11" s="3428"/>
      <c r="FGX11" s="3428"/>
      <c r="FGY11" s="3428"/>
      <c r="FGZ11" s="3428"/>
      <c r="FHA11" s="3428"/>
      <c r="FHB11" s="3428"/>
      <c r="FHC11" s="3428"/>
      <c r="FHD11" s="3428"/>
      <c r="FHE11" s="3428"/>
      <c r="FHF11" s="3428"/>
      <c r="FHG11" s="3428"/>
      <c r="FHH11" s="3428"/>
      <c r="FHI11" s="3428"/>
      <c r="FHJ11" s="3428"/>
      <c r="FHK11" s="3428"/>
      <c r="FHL11" s="3428"/>
      <c r="FHM11" s="3428"/>
      <c r="FHN11" s="3428"/>
      <c r="FHO11" s="3428"/>
      <c r="FHP11" s="3428"/>
      <c r="FHQ11" s="3428"/>
      <c r="FHR11" s="3428"/>
      <c r="FHS11" s="3428"/>
      <c r="FHT11" s="3428"/>
      <c r="FHU11" s="3428"/>
      <c r="FHV11" s="3428"/>
      <c r="FHW11" s="3428"/>
      <c r="FHX11" s="3428"/>
      <c r="FHY11" s="3428"/>
      <c r="FHZ11" s="3428"/>
      <c r="FIA11" s="3428"/>
      <c r="FIB11" s="3428"/>
      <c r="FIC11" s="3428"/>
      <c r="FID11" s="3428"/>
      <c r="FIE11" s="3428"/>
      <c r="FIF11" s="3428"/>
      <c r="FIG11" s="3428"/>
      <c r="FIH11" s="3428"/>
      <c r="FII11" s="3428"/>
      <c r="FIJ11" s="3428"/>
      <c r="FIK11" s="3428"/>
      <c r="FIL11" s="3428"/>
      <c r="FIM11" s="3428"/>
      <c r="FIN11" s="3428"/>
      <c r="FIO11" s="3428"/>
      <c r="FIP11" s="3428"/>
      <c r="FIQ11" s="3428"/>
      <c r="FIR11" s="3428"/>
      <c r="FIS11" s="3428"/>
      <c r="FIT11" s="3428"/>
      <c r="FIU11" s="3428"/>
      <c r="FIV11" s="3428"/>
      <c r="FIW11" s="3428"/>
      <c r="FIX11" s="3428"/>
      <c r="FIY11" s="3428"/>
      <c r="FIZ11" s="3428"/>
      <c r="FJA11" s="3428"/>
      <c r="FJB11" s="3428"/>
      <c r="FJC11" s="3428"/>
      <c r="FJD11" s="3428"/>
      <c r="FJE11" s="3428"/>
      <c r="FJF11" s="3428"/>
      <c r="FJG11" s="3428"/>
      <c r="FJH11" s="3428"/>
      <c r="FJI11" s="3428"/>
      <c r="FJJ11" s="3428"/>
      <c r="FJK11" s="3428"/>
      <c r="FJL11" s="3428"/>
      <c r="FJM11" s="3428"/>
      <c r="FJN11" s="3428"/>
      <c r="FJO11" s="3428"/>
      <c r="FJP11" s="3428"/>
      <c r="FJQ11" s="3428"/>
      <c r="FJR11" s="3428"/>
      <c r="FJS11" s="3428"/>
      <c r="FJT11" s="3428"/>
      <c r="FJU11" s="3428"/>
      <c r="FJV11" s="3428"/>
      <c r="FJW11" s="3428"/>
      <c r="FJX11" s="3428"/>
      <c r="FJY11" s="3428"/>
      <c r="FJZ11" s="3428"/>
      <c r="FKA11" s="3428"/>
      <c r="FKB11" s="3428"/>
      <c r="FKC11" s="3428"/>
      <c r="FKD11" s="3428"/>
      <c r="FKE11" s="3428"/>
      <c r="FKF11" s="3428"/>
      <c r="FKG11" s="3428"/>
      <c r="FKH11" s="3428"/>
      <c r="FKI11" s="3428"/>
      <c r="FKJ11" s="3428"/>
      <c r="FKK11" s="3428"/>
      <c r="FKL11" s="3428"/>
      <c r="FKM11" s="3428"/>
      <c r="FKN11" s="3428"/>
      <c r="FKO11" s="3428"/>
      <c r="FKP11" s="3428"/>
      <c r="FKQ11" s="3428"/>
      <c r="FKR11" s="3428"/>
      <c r="FKS11" s="3428"/>
      <c r="FKT11" s="3428"/>
      <c r="FKU11" s="3428"/>
      <c r="FKV11" s="3428"/>
      <c r="FKW11" s="3428"/>
      <c r="FKX11" s="3428"/>
      <c r="FKY11" s="3428"/>
      <c r="FKZ11" s="3428"/>
      <c r="FLA11" s="3428"/>
      <c r="FLB11" s="3428"/>
      <c r="FLC11" s="3428"/>
      <c r="FLD11" s="3428"/>
      <c r="FLE11" s="3428"/>
      <c r="FLF11" s="3428"/>
      <c r="FLG11" s="3428"/>
      <c r="FLH11" s="3428"/>
      <c r="FLI11" s="3428"/>
      <c r="FLJ11" s="3428"/>
      <c r="FLK11" s="3428"/>
      <c r="FLL11" s="3428"/>
      <c r="FLM11" s="3428"/>
      <c r="FLN11" s="3428"/>
      <c r="FLO11" s="3428"/>
      <c r="FLP11" s="3428"/>
      <c r="FLQ11" s="3428"/>
      <c r="FLR11" s="3428"/>
      <c r="FLS11" s="3428"/>
      <c r="FLT11" s="3428"/>
      <c r="FLU11" s="3428"/>
      <c r="FLV11" s="3428"/>
      <c r="FLW11" s="3428"/>
      <c r="FLX11" s="3428"/>
      <c r="FLY11" s="3428"/>
      <c r="FLZ11" s="3428"/>
      <c r="FMA11" s="3428"/>
      <c r="FMB11" s="3428"/>
      <c r="FMC11" s="3428"/>
      <c r="FMD11" s="3428"/>
      <c r="FME11" s="3428"/>
      <c r="FMF11" s="3428"/>
      <c r="FMG11" s="3428"/>
      <c r="FMH11" s="3428"/>
      <c r="FMI11" s="3428"/>
      <c r="FMJ11" s="3428"/>
      <c r="FMK11" s="3428"/>
      <c r="FML11" s="3428"/>
      <c r="FMM11" s="3428"/>
      <c r="FMN11" s="3428"/>
      <c r="FMO11" s="3428"/>
      <c r="FMP11" s="3428"/>
      <c r="FMQ11" s="3428"/>
      <c r="FMR11" s="3428"/>
      <c r="FMS11" s="3428"/>
      <c r="FMT11" s="3428"/>
      <c r="FMU11" s="3428"/>
      <c r="FMV11" s="3428"/>
      <c r="FMW11" s="3428"/>
      <c r="FMX11" s="3428"/>
      <c r="FMY11" s="3428"/>
      <c r="FMZ11" s="3428"/>
      <c r="FNA11" s="3428"/>
      <c r="FNB11" s="3428"/>
      <c r="FNC11" s="3428"/>
      <c r="FND11" s="3428"/>
      <c r="FNE11" s="3428"/>
      <c r="FNF11" s="3428"/>
      <c r="FNG11" s="3428"/>
      <c r="FNH11" s="3428"/>
      <c r="FNI11" s="3428"/>
      <c r="FNJ11" s="3428"/>
      <c r="FNK11" s="3428"/>
      <c r="FNL11" s="3428"/>
      <c r="FNM11" s="3428"/>
      <c r="FNN11" s="3428"/>
      <c r="FNO11" s="3428"/>
      <c r="FNP11" s="3428"/>
      <c r="FNQ11" s="3428"/>
      <c r="FNR11" s="3428"/>
      <c r="FNS11" s="3428"/>
      <c r="FNT11" s="3428"/>
      <c r="FNU11" s="3428"/>
      <c r="FNV11" s="3428"/>
      <c r="FNW11" s="3428"/>
      <c r="FNX11" s="3428"/>
      <c r="FNY11" s="3428"/>
      <c r="FNZ11" s="3428"/>
      <c r="FOA11" s="3428"/>
      <c r="FOB11" s="3428"/>
      <c r="FOC11" s="3428"/>
      <c r="FOD11" s="3428"/>
      <c r="FOE11" s="3428"/>
      <c r="FOF11" s="3428"/>
      <c r="FOG11" s="3428"/>
      <c r="FOH11" s="3428"/>
      <c r="FOI11" s="3428"/>
      <c r="FOJ11" s="3428"/>
      <c r="FOK11" s="3428"/>
      <c r="FOL11" s="3428"/>
      <c r="FOM11" s="3428"/>
      <c r="FON11" s="3428"/>
      <c r="FOO11" s="3428"/>
      <c r="FOP11" s="3428"/>
      <c r="FOQ11" s="3428"/>
      <c r="FOR11" s="3428"/>
      <c r="FOS11" s="3428"/>
      <c r="FOT11" s="3428"/>
      <c r="FOU11" s="3428"/>
      <c r="FOV11" s="3428"/>
      <c r="FOW11" s="3428"/>
      <c r="FOX11" s="3428"/>
      <c r="FOY11" s="3428"/>
      <c r="FOZ11" s="3428"/>
      <c r="FPA11" s="3428"/>
      <c r="FPB11" s="3428"/>
      <c r="FPC11" s="3428"/>
      <c r="FPD11" s="3428"/>
      <c r="FPE11" s="3428"/>
      <c r="FPF11" s="3428"/>
      <c r="FPG11" s="3428"/>
      <c r="FPH11" s="3428"/>
      <c r="FPI11" s="3428"/>
      <c r="FPJ11" s="3428"/>
      <c r="FPK11" s="3428"/>
      <c r="FPL11" s="3428"/>
      <c r="FPM11" s="3428"/>
      <c r="FPN11" s="3428"/>
      <c r="FPO11" s="3428"/>
      <c r="FPP11" s="3428"/>
      <c r="FPQ11" s="3428"/>
      <c r="FPR11" s="3428"/>
      <c r="FPS11" s="3428"/>
      <c r="FPT11" s="3428"/>
      <c r="FPU11" s="3428"/>
      <c r="FPV11" s="3428"/>
      <c r="FPW11" s="3428"/>
      <c r="FPX11" s="3428"/>
      <c r="FPY11" s="3428"/>
      <c r="FPZ11" s="3428"/>
      <c r="FQA11" s="3428"/>
      <c r="FQB11" s="3428"/>
      <c r="FQC11" s="3428"/>
      <c r="FQD11" s="3428"/>
      <c r="FQE11" s="3428"/>
      <c r="FQF11" s="3428"/>
      <c r="FQG11" s="3428"/>
      <c r="FQH11" s="3428"/>
      <c r="FQI11" s="3428"/>
      <c r="FQJ11" s="3428"/>
      <c r="FQK11" s="3428"/>
      <c r="FQL11" s="3428"/>
      <c r="FQM11" s="3428"/>
      <c r="FQN11" s="3428"/>
      <c r="FQO11" s="3428"/>
      <c r="FQP11" s="3428"/>
      <c r="FQQ11" s="3428"/>
      <c r="FQR11" s="3428"/>
      <c r="FQS11" s="3428"/>
      <c r="FQT11" s="3428"/>
      <c r="FQU11" s="3428"/>
      <c r="FQV11" s="3428"/>
      <c r="FQW11" s="3428"/>
      <c r="FQX11" s="3428"/>
      <c r="FQY11" s="3428"/>
      <c r="FQZ11" s="3428"/>
      <c r="FRA11" s="3428"/>
      <c r="FRB11" s="3428"/>
      <c r="FRC11" s="3428"/>
      <c r="FRD11" s="3428"/>
      <c r="FRE11" s="3428"/>
      <c r="FRF11" s="3428"/>
      <c r="FRG11" s="3428"/>
      <c r="FRH11" s="3428"/>
      <c r="FRI11" s="3428"/>
      <c r="FRJ11" s="3428"/>
      <c r="FRK11" s="3428"/>
      <c r="FRL11" s="3428"/>
      <c r="FRM11" s="3428"/>
      <c r="FRN11" s="3428"/>
      <c r="FRO11" s="3428"/>
      <c r="FRP11" s="3428"/>
      <c r="FRQ11" s="3428"/>
      <c r="FRR11" s="3428"/>
      <c r="FRS11" s="3428"/>
      <c r="FRT11" s="3428"/>
      <c r="FRU11" s="3428"/>
      <c r="FRV11" s="3428"/>
      <c r="FRW11" s="3428"/>
      <c r="FRX11" s="3428"/>
      <c r="FRY11" s="3428"/>
      <c r="FRZ11" s="3428"/>
      <c r="FSA11" s="3428"/>
      <c r="FSB11" s="3428"/>
      <c r="FSC11" s="3428"/>
      <c r="FSD11" s="3428"/>
      <c r="FSE11" s="3428"/>
      <c r="FSF11" s="3428"/>
      <c r="FSG11" s="3428"/>
      <c r="FSH11" s="3428"/>
      <c r="FSI11" s="3428"/>
      <c r="FSJ11" s="3428"/>
      <c r="FSK11" s="3428"/>
      <c r="FSL11" s="3428"/>
      <c r="FSM11" s="3428"/>
      <c r="FSN11" s="3428"/>
      <c r="FSO11" s="3428"/>
      <c r="FSP11" s="3428"/>
      <c r="FSQ11" s="3428"/>
      <c r="FSR11" s="3428"/>
      <c r="FSS11" s="3428"/>
      <c r="FST11" s="3428"/>
      <c r="FSU11" s="3428"/>
      <c r="FSV11" s="3428"/>
      <c r="FSW11" s="3428"/>
      <c r="FSX11" s="3428"/>
      <c r="FSY11" s="3428"/>
      <c r="FSZ11" s="3428"/>
      <c r="FTA11" s="3428"/>
      <c r="FTB11" s="3428"/>
      <c r="FTC11" s="3428"/>
      <c r="FTD11" s="3428"/>
      <c r="FTE11" s="3428"/>
      <c r="FTF11" s="3428"/>
      <c r="FTG11" s="3428"/>
      <c r="FTH11" s="3428"/>
      <c r="FTI11" s="3428"/>
      <c r="FTJ11" s="3428"/>
      <c r="FTK11" s="3428"/>
      <c r="FTL11" s="3428"/>
      <c r="FTM11" s="3428"/>
      <c r="FTN11" s="3428"/>
      <c r="FTO11" s="3428"/>
      <c r="FTP11" s="3428"/>
      <c r="FTQ11" s="3428"/>
      <c r="FTR11" s="3428"/>
      <c r="FTS11" s="3428"/>
      <c r="FTT11" s="3428"/>
      <c r="FTU11" s="3428"/>
      <c r="FTV11" s="3428"/>
      <c r="FTW11" s="3428"/>
      <c r="FTX11" s="3428"/>
      <c r="FTY11" s="3428"/>
      <c r="FTZ11" s="3428"/>
      <c r="FUA11" s="3428"/>
      <c r="FUB11" s="3428"/>
      <c r="FUC11" s="3428"/>
      <c r="FUD11" s="3428"/>
      <c r="FUE11" s="3428"/>
      <c r="FUF11" s="3428"/>
      <c r="FUG11" s="3428"/>
      <c r="FUH11" s="3428"/>
      <c r="FUI11" s="3428"/>
      <c r="FUJ11" s="3428"/>
      <c r="FUK11" s="3428"/>
      <c r="FUL11" s="3428"/>
      <c r="FUM11" s="3428"/>
      <c r="FUN11" s="3428"/>
      <c r="FUO11" s="3428"/>
      <c r="FUP11" s="3428"/>
      <c r="FUQ11" s="3428"/>
      <c r="FUR11" s="3428"/>
      <c r="FUS11" s="3428"/>
      <c r="FUT11" s="3428"/>
      <c r="FUU11" s="3428"/>
      <c r="FUV11" s="3428"/>
      <c r="FUW11" s="3428"/>
      <c r="FUX11" s="3428"/>
      <c r="FUY11" s="3428"/>
      <c r="FUZ11" s="3428"/>
      <c r="FVA11" s="3428"/>
      <c r="FVB11" s="3428"/>
      <c r="FVC11" s="3428"/>
      <c r="FVD11" s="3428"/>
      <c r="FVE11" s="3428"/>
      <c r="FVF11" s="3428"/>
      <c r="FVG11" s="3428"/>
      <c r="FVH11" s="3428"/>
      <c r="FVI11" s="3428"/>
      <c r="FVJ11" s="3428"/>
      <c r="FVK11" s="3428"/>
      <c r="FVL11" s="3428"/>
      <c r="FVM11" s="3428"/>
      <c r="FVN11" s="3428"/>
      <c r="FVO11" s="3428"/>
      <c r="FVP11" s="3428"/>
      <c r="FVQ11" s="3428"/>
      <c r="FVR11" s="3428"/>
      <c r="FVS11" s="3428"/>
      <c r="FVT11" s="3428"/>
      <c r="FVU11" s="3428"/>
      <c r="FVV11" s="3428"/>
      <c r="FVW11" s="3428"/>
      <c r="FVX11" s="3428"/>
      <c r="FVY11" s="3428"/>
      <c r="FVZ11" s="3428"/>
      <c r="FWA11" s="3428"/>
      <c r="FWB11" s="3428"/>
      <c r="FWC11" s="3428"/>
      <c r="FWD11" s="3428"/>
      <c r="FWE11" s="3428"/>
      <c r="FWF11" s="3428"/>
      <c r="FWG11" s="3428"/>
      <c r="FWH11" s="3428"/>
      <c r="FWI11" s="3428"/>
      <c r="FWJ11" s="3428"/>
      <c r="FWK11" s="3428"/>
      <c r="FWL11" s="3428"/>
      <c r="FWM11" s="3428"/>
      <c r="FWN11" s="3428"/>
      <c r="FWO11" s="3428"/>
      <c r="FWP11" s="3428"/>
      <c r="FWQ11" s="3428"/>
      <c r="FWR11" s="3428"/>
      <c r="FWS11" s="3428"/>
      <c r="FWT11" s="3428"/>
      <c r="FWU11" s="3428"/>
      <c r="FWV11" s="3428"/>
      <c r="FWW11" s="3428"/>
      <c r="FWX11" s="3428"/>
      <c r="FWY11" s="3428"/>
      <c r="FWZ11" s="3428"/>
      <c r="FXA11" s="3428"/>
      <c r="FXB11" s="3428"/>
      <c r="FXC11" s="3428"/>
      <c r="FXD11" s="3428"/>
      <c r="FXE11" s="3428"/>
      <c r="FXF11" s="3428"/>
      <c r="FXG11" s="3428"/>
      <c r="FXH11" s="3428"/>
      <c r="FXI11" s="3428"/>
      <c r="FXJ11" s="3428"/>
      <c r="FXK11" s="3428"/>
      <c r="FXL11" s="3428"/>
      <c r="FXM11" s="3428"/>
      <c r="FXN11" s="3428"/>
      <c r="FXO11" s="3428"/>
      <c r="FXP11" s="3428"/>
      <c r="FXQ11" s="3428"/>
      <c r="FXR11" s="3428"/>
      <c r="FXS11" s="3428"/>
      <c r="FXT11" s="3428"/>
      <c r="FXU11" s="3428"/>
      <c r="FXV11" s="3428"/>
      <c r="FXW11" s="3428"/>
      <c r="FXX11" s="3428"/>
      <c r="FXY11" s="3428"/>
      <c r="FXZ11" s="3428"/>
      <c r="FYA11" s="3428"/>
      <c r="FYB11" s="3428"/>
      <c r="FYC11" s="3428"/>
      <c r="FYD11" s="3428"/>
      <c r="FYE11" s="3428"/>
      <c r="FYF11" s="3428"/>
      <c r="FYG11" s="3428"/>
      <c r="FYH11" s="3428"/>
      <c r="FYI11" s="3428"/>
      <c r="FYJ11" s="3428"/>
      <c r="FYK11" s="3428"/>
      <c r="FYL11" s="3428"/>
      <c r="FYM11" s="3428"/>
      <c r="FYN11" s="3428"/>
      <c r="FYO11" s="3428"/>
      <c r="FYP11" s="3428"/>
      <c r="FYQ11" s="3428"/>
      <c r="FYR11" s="3428"/>
      <c r="FYS11" s="3428"/>
      <c r="FYT11" s="3428"/>
      <c r="FYU11" s="3428"/>
      <c r="FYV11" s="3428"/>
      <c r="FYW11" s="3428"/>
      <c r="FYX11" s="3428"/>
      <c r="FYY11" s="3428"/>
      <c r="FYZ11" s="3428"/>
      <c r="FZA11" s="3428"/>
      <c r="FZB11" s="3428"/>
      <c r="FZC11" s="3428"/>
      <c r="FZD11" s="3428"/>
      <c r="FZE11" s="3428"/>
      <c r="FZF11" s="3428"/>
      <c r="FZG11" s="3428"/>
      <c r="FZH11" s="3428"/>
      <c r="FZI11" s="3428"/>
      <c r="FZJ11" s="3428"/>
      <c r="FZK11" s="3428"/>
      <c r="FZL11" s="3428"/>
      <c r="FZM11" s="3428"/>
      <c r="FZN11" s="3428"/>
      <c r="FZO11" s="3428"/>
      <c r="FZP11" s="3428"/>
      <c r="FZQ11" s="3428"/>
      <c r="FZR11" s="3428"/>
      <c r="FZS11" s="3428"/>
      <c r="FZT11" s="3428"/>
      <c r="FZU11" s="3428"/>
      <c r="FZV11" s="3428"/>
      <c r="FZW11" s="3428"/>
      <c r="FZX11" s="3428"/>
      <c r="FZY11" s="3428"/>
      <c r="FZZ11" s="3428"/>
      <c r="GAA11" s="3428"/>
      <c r="GAB11" s="3428"/>
      <c r="GAC11" s="3428"/>
      <c r="GAD11" s="3428"/>
      <c r="GAE11" s="3428"/>
      <c r="GAF11" s="3428"/>
      <c r="GAG11" s="3428"/>
      <c r="GAH11" s="3428"/>
      <c r="GAI11" s="3428"/>
      <c r="GAJ11" s="3428"/>
      <c r="GAK11" s="3428"/>
      <c r="GAL11" s="3428"/>
      <c r="GAM11" s="3428"/>
      <c r="GAN11" s="3428"/>
      <c r="GAO11" s="3428"/>
      <c r="GAP11" s="3428"/>
      <c r="GAQ11" s="3428"/>
      <c r="GAR11" s="3428"/>
      <c r="GAS11" s="3428"/>
      <c r="GAT11" s="3428"/>
      <c r="GAU11" s="3428"/>
      <c r="GAV11" s="3428"/>
      <c r="GAW11" s="3428"/>
      <c r="GAX11" s="3428"/>
      <c r="GAY11" s="3428"/>
      <c r="GAZ11" s="3428"/>
      <c r="GBA11" s="3428"/>
      <c r="GBB11" s="3428"/>
      <c r="GBC11" s="3428"/>
      <c r="GBD11" s="3428"/>
      <c r="GBE11" s="3428"/>
      <c r="GBF11" s="3428"/>
      <c r="GBG11" s="3428"/>
      <c r="GBH11" s="3428"/>
      <c r="GBI11" s="3428"/>
      <c r="GBJ11" s="3428"/>
      <c r="GBK11" s="3428"/>
      <c r="GBL11" s="3428"/>
      <c r="GBM11" s="3428"/>
      <c r="GBN11" s="3428"/>
      <c r="GBO11" s="3428"/>
      <c r="GBP11" s="3428"/>
      <c r="GBQ11" s="3428"/>
      <c r="GBR11" s="3428"/>
      <c r="GBS11" s="3428"/>
      <c r="GBT11" s="3428"/>
      <c r="GBU11" s="3428"/>
      <c r="GBV11" s="3428"/>
      <c r="GBW11" s="3428"/>
      <c r="GBX11" s="3428"/>
      <c r="GBY11" s="3428"/>
      <c r="GBZ11" s="3428"/>
      <c r="GCA11" s="3428"/>
      <c r="GCB11" s="3428"/>
      <c r="GCC11" s="3428"/>
      <c r="GCD11" s="3428"/>
      <c r="GCE11" s="3428"/>
      <c r="GCF11" s="3428"/>
      <c r="GCG11" s="3428"/>
      <c r="GCH11" s="3428"/>
      <c r="GCI11" s="3428"/>
      <c r="GCJ11" s="3428"/>
      <c r="GCK11" s="3428"/>
      <c r="GCL11" s="3428"/>
      <c r="GCM11" s="3428"/>
      <c r="GCN11" s="3428"/>
      <c r="GCO11" s="3428"/>
      <c r="GCP11" s="3428"/>
      <c r="GCQ11" s="3428"/>
      <c r="GCR11" s="3428"/>
      <c r="GCS11" s="3428"/>
      <c r="GCT11" s="3428"/>
      <c r="GCU11" s="3428"/>
      <c r="GCV11" s="3428"/>
      <c r="GCW11" s="3428"/>
      <c r="GCX11" s="3428"/>
      <c r="GCY11" s="3428"/>
      <c r="GCZ11" s="3428"/>
      <c r="GDA11" s="3428"/>
      <c r="GDB11" s="3428"/>
      <c r="GDC11" s="3428"/>
      <c r="GDD11" s="3428"/>
      <c r="GDE11" s="3428"/>
      <c r="GDF11" s="3428"/>
      <c r="GDG11" s="3428"/>
      <c r="GDH11" s="3428"/>
      <c r="GDI11" s="3428"/>
      <c r="GDJ11" s="3428"/>
      <c r="GDK11" s="3428"/>
      <c r="GDL11" s="3428"/>
      <c r="GDM11" s="3428"/>
      <c r="GDN11" s="3428"/>
      <c r="GDO11" s="3428"/>
      <c r="GDP11" s="3428"/>
      <c r="GDQ11" s="3428"/>
      <c r="GDR11" s="3428"/>
      <c r="GDS11" s="3428"/>
      <c r="GDT11" s="3428"/>
      <c r="GDU11" s="3428"/>
      <c r="GDV11" s="3428"/>
      <c r="GDW11" s="3428"/>
      <c r="GDX11" s="3428"/>
      <c r="GDY11" s="3428"/>
      <c r="GDZ11" s="3428"/>
      <c r="GEA11" s="3428"/>
      <c r="GEB11" s="3428"/>
      <c r="GEC11" s="3428"/>
      <c r="GED11" s="3428"/>
      <c r="GEE11" s="3428"/>
      <c r="GEF11" s="3428"/>
      <c r="GEG11" s="3428"/>
      <c r="GEH11" s="3428"/>
      <c r="GEI11" s="3428"/>
      <c r="GEJ11" s="3428"/>
      <c r="GEK11" s="3428"/>
      <c r="GEL11" s="3428"/>
      <c r="GEM11" s="3428"/>
      <c r="GEN11" s="3428"/>
      <c r="GEO11" s="3428"/>
      <c r="GEP11" s="3428"/>
      <c r="GEQ11" s="3428"/>
      <c r="GER11" s="3428"/>
      <c r="GES11" s="3428"/>
      <c r="GET11" s="3428"/>
      <c r="GEU11" s="3428"/>
      <c r="GEV11" s="3428"/>
      <c r="GEW11" s="3428"/>
      <c r="GEX11" s="3428"/>
      <c r="GEY11" s="3428"/>
      <c r="GEZ11" s="3428"/>
      <c r="GFA11" s="3428"/>
      <c r="GFB11" s="3428"/>
      <c r="GFC11" s="3428"/>
      <c r="GFD11" s="3428"/>
      <c r="GFE11" s="3428"/>
      <c r="GFF11" s="3428"/>
      <c r="GFG11" s="3428"/>
      <c r="GFH11" s="3428"/>
      <c r="GFI11" s="3428"/>
      <c r="GFJ11" s="3428"/>
      <c r="GFK11" s="3428"/>
      <c r="GFL11" s="3428"/>
      <c r="GFM11" s="3428"/>
      <c r="GFN11" s="3428"/>
      <c r="GFO11" s="3428"/>
      <c r="GFP11" s="3428"/>
      <c r="GFQ11" s="3428"/>
      <c r="GFR11" s="3428"/>
      <c r="GFS11" s="3428"/>
      <c r="GFT11" s="3428"/>
      <c r="GFU11" s="3428"/>
      <c r="GFV11" s="3428"/>
      <c r="GFW11" s="3428"/>
      <c r="GFX11" s="3428"/>
      <c r="GFY11" s="3428"/>
      <c r="GFZ11" s="3428"/>
      <c r="GGA11" s="3428"/>
      <c r="GGB11" s="3428"/>
      <c r="GGC11" s="3428"/>
      <c r="GGD11" s="3428"/>
      <c r="GGE11" s="3428"/>
      <c r="GGF11" s="3428"/>
      <c r="GGG11" s="3428"/>
      <c r="GGH11" s="3428"/>
      <c r="GGI11" s="3428"/>
      <c r="GGJ11" s="3428"/>
      <c r="GGK11" s="3428"/>
      <c r="GGL11" s="3428"/>
      <c r="GGM11" s="3428"/>
      <c r="GGN11" s="3428"/>
      <c r="GGO11" s="3428"/>
      <c r="GGP11" s="3428"/>
      <c r="GGQ11" s="3428"/>
      <c r="GGR11" s="3428"/>
      <c r="GGS11" s="3428"/>
      <c r="GGT11" s="3428"/>
      <c r="GGU11" s="3428"/>
      <c r="GGV11" s="3428"/>
      <c r="GGW11" s="3428"/>
      <c r="GGX11" s="3428"/>
      <c r="GGY11" s="3428"/>
      <c r="GGZ11" s="3428"/>
      <c r="GHA11" s="3428"/>
      <c r="GHB11" s="3428"/>
      <c r="GHC11" s="3428"/>
      <c r="GHD11" s="3428"/>
      <c r="GHE11" s="3428"/>
      <c r="GHF11" s="3428"/>
      <c r="GHG11" s="3428"/>
      <c r="GHH11" s="3428"/>
      <c r="GHI11" s="3428"/>
      <c r="GHJ11" s="3428"/>
      <c r="GHK11" s="3428"/>
      <c r="GHL11" s="3428"/>
      <c r="GHM11" s="3428"/>
      <c r="GHN11" s="3428"/>
      <c r="GHO11" s="3428"/>
      <c r="GHP11" s="3428"/>
      <c r="GHQ11" s="3428"/>
      <c r="GHR11" s="3428"/>
      <c r="GHS11" s="3428"/>
      <c r="GHT11" s="3428"/>
      <c r="GHU11" s="3428"/>
      <c r="GHV11" s="3428"/>
      <c r="GHW11" s="3428"/>
      <c r="GHX11" s="3428"/>
      <c r="GHY11" s="3428"/>
      <c r="GHZ11" s="3428"/>
      <c r="GIA11" s="3428"/>
      <c r="GIB11" s="3428"/>
      <c r="GIC11" s="3428"/>
      <c r="GID11" s="3428"/>
      <c r="GIE11" s="3428"/>
      <c r="GIF11" s="3428"/>
      <c r="GIG11" s="3428"/>
      <c r="GIH11" s="3428"/>
      <c r="GII11" s="3428"/>
      <c r="GIJ11" s="3428"/>
      <c r="GIK11" s="3428"/>
      <c r="GIL11" s="3428"/>
      <c r="GIM11" s="3428"/>
      <c r="GIN11" s="3428"/>
      <c r="GIO11" s="3428"/>
      <c r="GIP11" s="3428"/>
      <c r="GIQ11" s="3428"/>
      <c r="GIR11" s="3428"/>
      <c r="GIS11" s="3428"/>
      <c r="GIT11" s="3428"/>
      <c r="GIU11" s="3428"/>
      <c r="GIV11" s="3428"/>
      <c r="GIW11" s="3428"/>
      <c r="GIX11" s="3428"/>
      <c r="GIY11" s="3428"/>
      <c r="GIZ11" s="3428"/>
      <c r="GJA11" s="3428"/>
      <c r="GJB11" s="3428"/>
      <c r="GJC11" s="3428"/>
      <c r="GJD11" s="3428"/>
      <c r="GJE11" s="3428"/>
      <c r="GJF11" s="3428"/>
      <c r="GJG11" s="3428"/>
      <c r="GJH11" s="3428"/>
      <c r="GJI11" s="3428"/>
      <c r="GJJ11" s="3428"/>
      <c r="GJK11" s="3428"/>
      <c r="GJL11" s="3428"/>
      <c r="GJM11" s="3428"/>
      <c r="GJN11" s="3428"/>
      <c r="GJO11" s="3428"/>
      <c r="GJP11" s="3428"/>
      <c r="GJQ11" s="3428"/>
      <c r="GJR11" s="3428"/>
      <c r="GJS11" s="3428"/>
      <c r="GJT11" s="3428"/>
      <c r="GJU11" s="3428"/>
      <c r="GJV11" s="3428"/>
      <c r="GJW11" s="3428"/>
      <c r="GJX11" s="3428"/>
      <c r="GJY11" s="3428"/>
      <c r="GJZ11" s="3428"/>
      <c r="GKA11" s="3428"/>
      <c r="GKB11" s="3428"/>
      <c r="GKC11" s="3428"/>
      <c r="GKD11" s="3428"/>
      <c r="GKE11" s="3428"/>
      <c r="GKF11" s="3428"/>
      <c r="GKG11" s="3428"/>
      <c r="GKH11" s="3428"/>
      <c r="GKI11" s="3428"/>
      <c r="GKJ11" s="3428"/>
      <c r="GKK11" s="3428"/>
      <c r="GKL11" s="3428"/>
      <c r="GKM11" s="3428"/>
      <c r="GKN11" s="3428"/>
      <c r="GKO11" s="3428"/>
      <c r="GKP11" s="3428"/>
      <c r="GKQ11" s="3428"/>
      <c r="GKR11" s="3428"/>
      <c r="GKS11" s="3428"/>
      <c r="GKT11" s="3428"/>
      <c r="GKU11" s="3428"/>
      <c r="GKV11" s="3428"/>
      <c r="GKW11" s="3428"/>
      <c r="GKX11" s="3428"/>
      <c r="GKY11" s="3428"/>
      <c r="GKZ11" s="3428"/>
      <c r="GLA11" s="3428"/>
      <c r="GLB11" s="3428"/>
      <c r="GLC11" s="3428"/>
      <c r="GLD11" s="3428"/>
      <c r="GLE11" s="3428"/>
      <c r="GLF11" s="3428"/>
      <c r="GLG11" s="3428"/>
      <c r="GLH11" s="3428"/>
      <c r="GLI11" s="3428"/>
      <c r="GLJ11" s="3428"/>
      <c r="GLK11" s="3428"/>
      <c r="GLL11" s="3428"/>
      <c r="GLM11" s="3428"/>
      <c r="GLN11" s="3428"/>
      <c r="GLO11" s="3428"/>
      <c r="GLP11" s="3428"/>
      <c r="GLQ11" s="3428"/>
      <c r="GLR11" s="3428"/>
      <c r="GLS11" s="3428"/>
      <c r="GLT11" s="3428"/>
      <c r="GLU11" s="3428"/>
      <c r="GLV11" s="3428"/>
      <c r="GLW11" s="3428"/>
      <c r="GLX11" s="3428"/>
      <c r="GLY11" s="3428"/>
      <c r="GLZ11" s="3428"/>
      <c r="GMA11" s="3428"/>
      <c r="GMB11" s="3428"/>
      <c r="GMC11" s="3428"/>
      <c r="GMD11" s="3428"/>
      <c r="GME11" s="3428"/>
      <c r="GMF11" s="3428"/>
      <c r="GMG11" s="3428"/>
      <c r="GMH11" s="3428"/>
      <c r="GMI11" s="3428"/>
      <c r="GMJ11" s="3428"/>
      <c r="GMK11" s="3428"/>
      <c r="GML11" s="3428"/>
      <c r="GMM11" s="3428"/>
      <c r="GMN11" s="3428"/>
      <c r="GMO11" s="3428"/>
      <c r="GMP11" s="3428"/>
      <c r="GMQ11" s="3428"/>
      <c r="GMR11" s="3428"/>
      <c r="GMS11" s="3428"/>
      <c r="GMT11" s="3428"/>
      <c r="GMU11" s="3428"/>
      <c r="GMV11" s="3428"/>
      <c r="GMW11" s="3428"/>
      <c r="GMX11" s="3428"/>
      <c r="GMY11" s="3428"/>
      <c r="GMZ11" s="3428"/>
      <c r="GNA11" s="3428"/>
      <c r="GNB11" s="3428"/>
      <c r="GNC11" s="3428"/>
      <c r="GND11" s="3428"/>
      <c r="GNE11" s="3428"/>
      <c r="GNF11" s="3428"/>
      <c r="GNG11" s="3428"/>
      <c r="GNH11" s="3428"/>
      <c r="GNI11" s="3428"/>
      <c r="GNJ11" s="3428"/>
      <c r="GNK11" s="3428"/>
      <c r="GNL11" s="3428"/>
      <c r="GNM11" s="3428"/>
      <c r="GNN11" s="3428"/>
      <c r="GNO11" s="3428"/>
      <c r="GNP11" s="3428"/>
      <c r="GNQ11" s="3428"/>
      <c r="GNR11" s="3428"/>
      <c r="GNS11" s="3428"/>
      <c r="GNT11" s="3428"/>
      <c r="GNU11" s="3428"/>
      <c r="GNV11" s="3428"/>
      <c r="GNW11" s="3428"/>
      <c r="GNX11" s="3428"/>
      <c r="GNY11" s="3428"/>
      <c r="GNZ11" s="3428"/>
      <c r="GOA11" s="3428"/>
      <c r="GOB11" s="3428"/>
      <c r="GOC11" s="3428"/>
      <c r="GOD11" s="3428"/>
      <c r="GOE11" s="3428"/>
      <c r="GOF11" s="3428"/>
      <c r="GOG11" s="3428"/>
      <c r="GOH11" s="3428"/>
      <c r="GOI11" s="3428"/>
      <c r="GOJ11" s="3428"/>
      <c r="GOK11" s="3428"/>
      <c r="GOL11" s="3428"/>
      <c r="GOM11" s="3428"/>
      <c r="GON11" s="3428"/>
      <c r="GOO11" s="3428"/>
      <c r="GOP11" s="3428"/>
      <c r="GOQ11" s="3428"/>
      <c r="GOR11" s="3428"/>
      <c r="GOS11" s="3428"/>
      <c r="GOT11" s="3428"/>
      <c r="GOU11" s="3428"/>
      <c r="GOV11" s="3428"/>
      <c r="GOW11" s="3428"/>
      <c r="GOX11" s="3428"/>
      <c r="GOY11" s="3428"/>
      <c r="GOZ11" s="3428"/>
      <c r="GPA11" s="3428"/>
      <c r="GPB11" s="3428"/>
      <c r="GPC11" s="3428"/>
      <c r="GPD11" s="3428"/>
      <c r="GPE11" s="3428"/>
      <c r="GPF11" s="3428"/>
      <c r="GPG11" s="3428"/>
      <c r="GPH11" s="3428"/>
      <c r="GPI11" s="3428"/>
      <c r="GPJ11" s="3428"/>
      <c r="GPK11" s="3428"/>
      <c r="GPL11" s="3428"/>
      <c r="GPM11" s="3428"/>
      <c r="GPN11" s="3428"/>
      <c r="GPO11" s="3428"/>
      <c r="GPP11" s="3428"/>
      <c r="GPQ11" s="3428"/>
      <c r="GPR11" s="3428"/>
      <c r="GPS11" s="3428"/>
      <c r="GPT11" s="3428"/>
      <c r="GPU11" s="3428"/>
      <c r="GPV11" s="3428"/>
      <c r="GPW11" s="3428"/>
      <c r="GPX11" s="3428"/>
      <c r="GPY11" s="3428"/>
      <c r="GPZ11" s="3428"/>
      <c r="GQA11" s="3428"/>
      <c r="GQB11" s="3428"/>
      <c r="GQC11" s="3428"/>
      <c r="GQD11" s="3428"/>
      <c r="GQE11" s="3428"/>
      <c r="GQF11" s="3428"/>
      <c r="GQG11" s="3428"/>
      <c r="GQH11" s="3428"/>
      <c r="GQI11" s="3428"/>
      <c r="GQJ11" s="3428"/>
      <c r="GQK11" s="3428"/>
      <c r="GQL11" s="3428"/>
      <c r="GQM11" s="3428"/>
      <c r="GQN11" s="3428"/>
      <c r="GQO11" s="3428"/>
      <c r="GQP11" s="3428"/>
      <c r="GQQ11" s="3428"/>
      <c r="GQR11" s="3428"/>
      <c r="GQS11" s="3428"/>
      <c r="GQT11" s="3428"/>
      <c r="GQU11" s="3428"/>
      <c r="GQV11" s="3428"/>
      <c r="GQW11" s="3428"/>
      <c r="GQX11" s="3428"/>
      <c r="GQY11" s="3428"/>
      <c r="GQZ11" s="3428"/>
      <c r="GRA11" s="3428"/>
      <c r="GRB11" s="3428"/>
      <c r="GRC11" s="3428"/>
      <c r="GRD11" s="3428"/>
      <c r="GRE11" s="3428"/>
      <c r="GRF11" s="3428"/>
      <c r="GRG11" s="3428"/>
      <c r="GRH11" s="3428"/>
      <c r="GRI11" s="3428"/>
      <c r="GRJ11" s="3428"/>
      <c r="GRK11" s="3428"/>
      <c r="GRL11" s="3428"/>
      <c r="GRM11" s="3428"/>
      <c r="GRN11" s="3428"/>
      <c r="GRO11" s="3428"/>
      <c r="GRP11" s="3428"/>
      <c r="GRQ11" s="3428"/>
      <c r="GRR11" s="3428"/>
      <c r="GRS11" s="3428"/>
      <c r="GRT11" s="3428"/>
      <c r="GRU11" s="3428"/>
      <c r="GRV11" s="3428"/>
      <c r="GRW11" s="3428"/>
      <c r="GRX11" s="3428"/>
      <c r="GRY11" s="3428"/>
      <c r="GRZ11" s="3428"/>
      <c r="GSA11" s="3428"/>
      <c r="GSB11" s="3428"/>
      <c r="GSC11" s="3428"/>
      <c r="GSD11" s="3428"/>
      <c r="GSE11" s="3428"/>
      <c r="GSF11" s="3428"/>
      <c r="GSG11" s="3428"/>
      <c r="GSH11" s="3428"/>
      <c r="GSI11" s="3428"/>
      <c r="GSJ11" s="3428"/>
      <c r="GSK11" s="3428"/>
      <c r="GSL11" s="3428"/>
      <c r="GSM11" s="3428"/>
      <c r="GSN11" s="3428"/>
      <c r="GSO11" s="3428"/>
      <c r="GSP11" s="3428"/>
      <c r="GSQ11" s="3428"/>
      <c r="GSR11" s="3428"/>
      <c r="GSS11" s="3428"/>
      <c r="GST11" s="3428"/>
      <c r="GSU11" s="3428"/>
      <c r="GSV11" s="3428"/>
      <c r="GSW11" s="3428"/>
      <c r="GSX11" s="3428"/>
      <c r="GSY11" s="3428"/>
      <c r="GSZ11" s="3428"/>
      <c r="GTA11" s="3428"/>
      <c r="GTB11" s="3428"/>
      <c r="GTC11" s="3428"/>
      <c r="GTD11" s="3428"/>
      <c r="GTE11" s="3428"/>
      <c r="GTF11" s="3428"/>
      <c r="GTG11" s="3428"/>
      <c r="GTH11" s="3428"/>
      <c r="GTI11" s="3428"/>
      <c r="GTJ11" s="3428"/>
      <c r="GTK11" s="3428"/>
      <c r="GTL11" s="3428"/>
      <c r="GTM11" s="3428"/>
      <c r="GTN11" s="3428"/>
      <c r="GTO11" s="3428"/>
      <c r="GTP11" s="3428"/>
      <c r="GTQ11" s="3428"/>
      <c r="GTR11" s="3428"/>
      <c r="GTS11" s="3428"/>
      <c r="GTT11" s="3428"/>
      <c r="GTU11" s="3428"/>
      <c r="GTV11" s="3428"/>
      <c r="GTW11" s="3428"/>
      <c r="GTX11" s="3428"/>
      <c r="GTY11" s="3428"/>
      <c r="GTZ11" s="3428"/>
      <c r="GUA11" s="3428"/>
      <c r="GUB11" s="3428"/>
      <c r="GUC11" s="3428"/>
      <c r="GUD11" s="3428"/>
      <c r="GUE11" s="3428"/>
      <c r="GUF11" s="3428"/>
      <c r="GUG11" s="3428"/>
      <c r="GUH11" s="3428"/>
      <c r="GUI11" s="3428"/>
      <c r="GUJ11" s="3428"/>
      <c r="GUK11" s="3428"/>
      <c r="GUL11" s="3428"/>
      <c r="GUM11" s="3428"/>
      <c r="GUN11" s="3428"/>
      <c r="GUO11" s="3428"/>
      <c r="GUP11" s="3428"/>
      <c r="GUQ11" s="3428"/>
      <c r="GUR11" s="3428"/>
      <c r="GUS11" s="3428"/>
      <c r="GUT11" s="3428"/>
      <c r="GUU11" s="3428"/>
      <c r="GUV11" s="3428"/>
      <c r="GUW11" s="3428"/>
      <c r="GUX11" s="3428"/>
      <c r="GUY11" s="3428"/>
      <c r="GUZ11" s="3428"/>
      <c r="GVA11" s="3428"/>
      <c r="GVB11" s="3428"/>
      <c r="GVC11" s="3428"/>
      <c r="GVD11" s="3428"/>
      <c r="GVE11" s="3428"/>
      <c r="GVF11" s="3428"/>
      <c r="GVG11" s="3428"/>
      <c r="GVH11" s="3428"/>
      <c r="GVI11" s="3428"/>
      <c r="GVJ11" s="3428"/>
      <c r="GVK11" s="3428"/>
      <c r="GVL11" s="3428"/>
      <c r="GVM11" s="3428"/>
      <c r="GVN11" s="3428"/>
      <c r="GVO11" s="3428"/>
      <c r="GVP11" s="3428"/>
      <c r="GVQ11" s="3428"/>
      <c r="GVR11" s="3428"/>
      <c r="GVS11" s="3428"/>
      <c r="GVT11" s="3428"/>
      <c r="GVU11" s="3428"/>
      <c r="GVV11" s="3428"/>
      <c r="GVW11" s="3428"/>
      <c r="GVX11" s="3428"/>
      <c r="GVY11" s="3428"/>
      <c r="GVZ11" s="3428"/>
      <c r="GWA11" s="3428"/>
      <c r="GWB11" s="3428"/>
      <c r="GWC11" s="3428"/>
      <c r="GWD11" s="3428"/>
      <c r="GWE11" s="3428"/>
      <c r="GWF11" s="3428"/>
      <c r="GWG11" s="3428"/>
      <c r="GWH11" s="3428"/>
      <c r="GWI11" s="3428"/>
      <c r="GWJ11" s="3428"/>
      <c r="GWK11" s="3428"/>
      <c r="GWL11" s="3428"/>
      <c r="GWM11" s="3428"/>
      <c r="GWN11" s="3428"/>
      <c r="GWO11" s="3428"/>
      <c r="GWP11" s="3428"/>
      <c r="GWQ11" s="3428"/>
      <c r="GWR11" s="3428"/>
      <c r="GWS11" s="3428"/>
      <c r="GWT11" s="3428"/>
      <c r="GWU11" s="3428"/>
      <c r="GWV11" s="3428"/>
      <c r="GWW11" s="3428"/>
      <c r="GWX11" s="3428"/>
      <c r="GWY11" s="3428"/>
      <c r="GWZ11" s="3428"/>
      <c r="GXA11" s="3428"/>
      <c r="GXB11" s="3428"/>
      <c r="GXC11" s="3428"/>
      <c r="GXD11" s="3428"/>
      <c r="GXE11" s="3428"/>
      <c r="GXF11" s="3428"/>
      <c r="GXG11" s="3428"/>
      <c r="GXH11" s="3428"/>
      <c r="GXI11" s="3428"/>
      <c r="GXJ11" s="3428"/>
      <c r="GXK11" s="3428"/>
      <c r="GXL11" s="3428"/>
      <c r="GXM11" s="3428"/>
      <c r="GXN11" s="3428"/>
      <c r="GXO11" s="3428"/>
      <c r="GXP11" s="3428"/>
      <c r="GXQ11" s="3428"/>
      <c r="GXR11" s="3428"/>
      <c r="GXS11" s="3428"/>
      <c r="GXT11" s="3428"/>
      <c r="GXU11" s="3428"/>
      <c r="GXV11" s="3428"/>
      <c r="GXW11" s="3428"/>
      <c r="GXX11" s="3428"/>
      <c r="GXY11" s="3428"/>
      <c r="GXZ11" s="3428"/>
      <c r="GYA11" s="3428"/>
      <c r="GYB11" s="3428"/>
      <c r="GYC11" s="3428"/>
      <c r="GYD11" s="3428"/>
      <c r="GYE11" s="3428"/>
      <c r="GYF11" s="3428"/>
      <c r="GYG11" s="3428"/>
      <c r="GYH11" s="3428"/>
      <c r="GYI11" s="3428"/>
      <c r="GYJ11" s="3428"/>
      <c r="GYK11" s="3428"/>
      <c r="GYL11" s="3428"/>
      <c r="GYM11" s="3428"/>
      <c r="GYN11" s="3428"/>
      <c r="GYO11" s="3428"/>
      <c r="GYP11" s="3428"/>
      <c r="GYQ11" s="3428"/>
      <c r="GYR11" s="3428"/>
      <c r="GYS11" s="3428"/>
      <c r="GYT11" s="3428"/>
      <c r="GYU11" s="3428"/>
      <c r="GYV11" s="3428"/>
      <c r="GYW11" s="3428"/>
      <c r="GYX11" s="3428"/>
      <c r="GYY11" s="3428"/>
      <c r="GYZ11" s="3428"/>
      <c r="GZA11" s="3428"/>
      <c r="GZB11" s="3428"/>
      <c r="GZC11" s="3428"/>
      <c r="GZD11" s="3428"/>
      <c r="GZE11" s="3428"/>
      <c r="GZF11" s="3428"/>
      <c r="GZG11" s="3428"/>
      <c r="GZH11" s="3428"/>
      <c r="GZI11" s="3428"/>
      <c r="GZJ11" s="3428"/>
      <c r="GZK11" s="3428"/>
      <c r="GZL11" s="3428"/>
      <c r="GZM11" s="3428"/>
      <c r="GZN11" s="3428"/>
      <c r="GZO11" s="3428"/>
      <c r="GZP11" s="3428"/>
      <c r="GZQ11" s="3428"/>
      <c r="GZR11" s="3428"/>
      <c r="GZS11" s="3428"/>
      <c r="GZT11" s="3428"/>
      <c r="GZU11" s="3428"/>
      <c r="GZV11" s="3428"/>
      <c r="GZW11" s="3428"/>
      <c r="GZX11" s="3428"/>
      <c r="GZY11" s="3428"/>
      <c r="GZZ11" s="3428"/>
      <c r="HAA11" s="3428"/>
      <c r="HAB11" s="3428"/>
      <c r="HAC11" s="3428"/>
      <c r="HAD11" s="3428"/>
      <c r="HAE11" s="3428"/>
      <c r="HAF11" s="3428"/>
      <c r="HAG11" s="3428"/>
      <c r="HAH11" s="3428"/>
      <c r="HAI11" s="3428"/>
      <c r="HAJ11" s="3428"/>
      <c r="HAK11" s="3428"/>
      <c r="HAL11" s="3428"/>
      <c r="HAM11" s="3428"/>
      <c r="HAN11" s="3428"/>
      <c r="HAO11" s="3428"/>
      <c r="HAP11" s="3428"/>
      <c r="HAQ11" s="3428"/>
      <c r="HAR11" s="3428"/>
      <c r="HAS11" s="3428"/>
      <c r="HAT11" s="3428"/>
      <c r="HAU11" s="3428"/>
      <c r="HAV11" s="3428"/>
      <c r="HAW11" s="3428"/>
      <c r="HAX11" s="3428"/>
      <c r="HAY11" s="3428"/>
      <c r="HAZ11" s="3428"/>
      <c r="HBA11" s="3428"/>
      <c r="HBB11" s="3428"/>
      <c r="HBC11" s="3428"/>
      <c r="HBD11" s="3428"/>
      <c r="HBE11" s="3428"/>
      <c r="HBF11" s="3428"/>
      <c r="HBG11" s="3428"/>
      <c r="HBH11" s="3428"/>
      <c r="HBI11" s="3428"/>
      <c r="HBJ11" s="3428"/>
      <c r="HBK11" s="3428"/>
      <c r="HBL11" s="3428"/>
      <c r="HBM11" s="3428"/>
      <c r="HBN11" s="3428"/>
      <c r="HBO11" s="3428"/>
      <c r="HBP11" s="3428"/>
      <c r="HBQ11" s="3428"/>
      <c r="HBR11" s="3428"/>
      <c r="HBS11" s="3428"/>
      <c r="HBT11" s="3428"/>
      <c r="HBU11" s="3428"/>
      <c r="HBV11" s="3428"/>
      <c r="HBW11" s="3428"/>
      <c r="HBX11" s="3428"/>
      <c r="HBY11" s="3428"/>
      <c r="HBZ11" s="3428"/>
      <c r="HCA11" s="3428"/>
      <c r="HCB11" s="3428"/>
      <c r="HCC11" s="3428"/>
      <c r="HCD11" s="3428"/>
      <c r="HCE11" s="3428"/>
      <c r="HCF11" s="3428"/>
      <c r="HCG11" s="3428"/>
      <c r="HCH11" s="3428"/>
      <c r="HCI11" s="3428"/>
      <c r="HCJ11" s="3428"/>
      <c r="HCK11" s="3428"/>
      <c r="HCL11" s="3428"/>
      <c r="HCM11" s="3428"/>
      <c r="HCN11" s="3428"/>
      <c r="HCO11" s="3428"/>
      <c r="HCP11" s="3428"/>
      <c r="HCQ11" s="3428"/>
      <c r="HCR11" s="3428"/>
      <c r="HCS11" s="3428"/>
      <c r="HCT11" s="3428"/>
      <c r="HCU11" s="3428"/>
      <c r="HCV11" s="3428"/>
      <c r="HCW11" s="3428"/>
      <c r="HCX11" s="3428"/>
      <c r="HCY11" s="3428"/>
      <c r="HCZ11" s="3428"/>
      <c r="HDA11" s="3428"/>
      <c r="HDB11" s="3428"/>
      <c r="HDC11" s="3428"/>
      <c r="HDD11" s="3428"/>
      <c r="HDE11" s="3428"/>
      <c r="HDF11" s="3428"/>
      <c r="HDG11" s="3428"/>
      <c r="HDH11" s="3428"/>
      <c r="HDI11" s="3428"/>
      <c r="HDJ11" s="3428"/>
      <c r="HDK11" s="3428"/>
      <c r="HDL11" s="3428"/>
      <c r="HDM11" s="3428"/>
      <c r="HDN11" s="3428"/>
      <c r="HDO11" s="3428"/>
      <c r="HDP11" s="3428"/>
      <c r="HDQ11" s="3428"/>
      <c r="HDR11" s="3428"/>
      <c r="HDS11" s="3428"/>
      <c r="HDT11" s="3428"/>
      <c r="HDU11" s="3428"/>
      <c r="HDV11" s="3428"/>
      <c r="HDW11" s="3428"/>
      <c r="HDX11" s="3428"/>
      <c r="HDY11" s="3428"/>
      <c r="HDZ11" s="3428"/>
      <c r="HEA11" s="3428"/>
      <c r="HEB11" s="3428"/>
      <c r="HEC11" s="3428"/>
      <c r="HED11" s="3428"/>
      <c r="HEE11" s="3428"/>
      <c r="HEF11" s="3428"/>
      <c r="HEG11" s="3428"/>
      <c r="HEH11" s="3428"/>
      <c r="HEI11" s="3428"/>
      <c r="HEJ11" s="3428"/>
      <c r="HEK11" s="3428"/>
      <c r="HEL11" s="3428"/>
      <c r="HEM11" s="3428"/>
      <c r="HEN11" s="3428"/>
      <c r="HEO11" s="3428"/>
      <c r="HEP11" s="3428"/>
      <c r="HEQ11" s="3428"/>
      <c r="HER11" s="3428"/>
      <c r="HES11" s="3428"/>
      <c r="HET11" s="3428"/>
      <c r="HEU11" s="3428"/>
      <c r="HEV11" s="3428"/>
      <c r="HEW11" s="3428"/>
      <c r="HEX11" s="3428"/>
      <c r="HEY11" s="3428"/>
      <c r="HEZ11" s="3428"/>
      <c r="HFA11" s="3428"/>
      <c r="HFB11" s="3428"/>
      <c r="HFC11" s="3428"/>
      <c r="HFD11" s="3428"/>
      <c r="HFE11" s="3428"/>
      <c r="HFF11" s="3428"/>
      <c r="HFG11" s="3428"/>
      <c r="HFH11" s="3428"/>
      <c r="HFI11" s="3428"/>
      <c r="HFJ11" s="3428"/>
      <c r="HFK11" s="3428"/>
      <c r="HFL11" s="3428"/>
      <c r="HFM11" s="3428"/>
      <c r="HFN11" s="3428"/>
      <c r="HFO11" s="3428"/>
      <c r="HFP11" s="3428"/>
      <c r="HFQ11" s="3428"/>
      <c r="HFR11" s="3428"/>
      <c r="HFS11" s="3428"/>
      <c r="HFT11" s="3428"/>
      <c r="HFU11" s="3428"/>
      <c r="HFV11" s="3428"/>
      <c r="HFW11" s="3428"/>
      <c r="HFX11" s="3428"/>
      <c r="HFY11" s="3428"/>
      <c r="HFZ11" s="3428"/>
      <c r="HGA11" s="3428"/>
      <c r="HGB11" s="3428"/>
      <c r="HGC11" s="3428"/>
      <c r="HGD11" s="3428"/>
      <c r="HGE11" s="3428"/>
      <c r="HGF11" s="3428"/>
      <c r="HGG11" s="3428"/>
      <c r="HGH11" s="3428"/>
      <c r="HGI11" s="3428"/>
      <c r="HGJ11" s="3428"/>
      <c r="HGK11" s="3428"/>
      <c r="HGL11" s="3428"/>
      <c r="HGM11" s="3428"/>
      <c r="HGN11" s="3428"/>
      <c r="HGO11" s="3428"/>
      <c r="HGP11" s="3428"/>
      <c r="HGQ11" s="3428"/>
      <c r="HGR11" s="3428"/>
      <c r="HGS11" s="3428"/>
      <c r="HGT11" s="3428"/>
      <c r="HGU11" s="3428"/>
      <c r="HGV11" s="3428"/>
      <c r="HGW11" s="3428"/>
      <c r="HGX11" s="3428"/>
      <c r="HGY11" s="3428"/>
      <c r="HGZ11" s="3428"/>
      <c r="HHA11" s="3428"/>
      <c r="HHB11" s="3428"/>
      <c r="HHC11" s="3428"/>
      <c r="HHD11" s="3428"/>
      <c r="HHE11" s="3428"/>
      <c r="HHF11" s="3428"/>
      <c r="HHG11" s="3428"/>
      <c r="HHH11" s="3428"/>
      <c r="HHI11" s="3428"/>
      <c r="HHJ11" s="3428"/>
      <c r="HHK11" s="3428"/>
      <c r="HHL11" s="3428"/>
      <c r="HHM11" s="3428"/>
      <c r="HHN11" s="3428"/>
      <c r="HHO11" s="3428"/>
      <c r="HHP11" s="3428"/>
      <c r="HHQ11" s="3428"/>
      <c r="HHR11" s="3428"/>
      <c r="HHS11" s="3428"/>
      <c r="HHT11" s="3428"/>
      <c r="HHU11" s="3428"/>
      <c r="HHV11" s="3428"/>
      <c r="HHW11" s="3428"/>
      <c r="HHX11" s="3428"/>
      <c r="HHY11" s="3428"/>
      <c r="HHZ11" s="3428"/>
      <c r="HIA11" s="3428"/>
      <c r="HIB11" s="3428"/>
      <c r="HIC11" s="3428"/>
      <c r="HID11" s="3428"/>
      <c r="HIE11" s="3428"/>
      <c r="HIF11" s="3428"/>
      <c r="HIG11" s="3428"/>
      <c r="HIH11" s="3428"/>
      <c r="HII11" s="3428"/>
      <c r="HIJ11" s="3428"/>
      <c r="HIK11" s="3428"/>
      <c r="HIL11" s="3428"/>
      <c r="HIM11" s="3428"/>
      <c r="HIN11" s="3428"/>
      <c r="HIO11" s="3428"/>
      <c r="HIP11" s="3428"/>
      <c r="HIQ11" s="3428"/>
      <c r="HIR11" s="3428"/>
      <c r="HIS11" s="3428"/>
      <c r="HIT11" s="3428"/>
      <c r="HIU11" s="3428"/>
      <c r="HIV11" s="3428"/>
      <c r="HIW11" s="3428"/>
      <c r="HIX11" s="3428"/>
      <c r="HIY11" s="3428"/>
      <c r="HIZ11" s="3428"/>
      <c r="HJA11" s="3428"/>
      <c r="HJB11" s="3428"/>
      <c r="HJC11" s="3428"/>
      <c r="HJD11" s="3428"/>
      <c r="HJE11" s="3428"/>
      <c r="HJF11" s="3428"/>
      <c r="HJG11" s="3428"/>
      <c r="HJH11" s="3428"/>
      <c r="HJI11" s="3428"/>
      <c r="HJJ11" s="3428"/>
      <c r="HJK11" s="3428"/>
      <c r="HJL11" s="3428"/>
      <c r="HJM11" s="3428"/>
      <c r="HJN11" s="3428"/>
      <c r="HJO11" s="3428"/>
      <c r="HJP11" s="3428"/>
      <c r="HJQ11" s="3428"/>
      <c r="HJR11" s="3428"/>
      <c r="HJS11" s="3428"/>
      <c r="HJT11" s="3428"/>
      <c r="HJU11" s="3428"/>
      <c r="HJV11" s="3428"/>
      <c r="HJW11" s="3428"/>
      <c r="HJX11" s="3428"/>
      <c r="HJY11" s="3428"/>
      <c r="HJZ11" s="3428"/>
      <c r="HKA11" s="3428"/>
      <c r="HKB11" s="3428"/>
      <c r="HKC11" s="3428"/>
      <c r="HKD11" s="3428"/>
      <c r="HKE11" s="3428"/>
      <c r="HKF11" s="3428"/>
      <c r="HKG11" s="3428"/>
      <c r="HKH11" s="3428"/>
      <c r="HKI11" s="3428"/>
      <c r="HKJ11" s="3428"/>
      <c r="HKK11" s="3428"/>
      <c r="HKL11" s="3428"/>
      <c r="HKM11" s="3428"/>
      <c r="HKN11" s="3428"/>
      <c r="HKO11" s="3428"/>
      <c r="HKP11" s="3428"/>
      <c r="HKQ11" s="3428"/>
      <c r="HKR11" s="3428"/>
      <c r="HKS11" s="3428"/>
      <c r="HKT11" s="3428"/>
      <c r="HKU11" s="3428"/>
      <c r="HKV11" s="3428"/>
      <c r="HKW11" s="3428"/>
      <c r="HKX11" s="3428"/>
      <c r="HKY11" s="3428"/>
      <c r="HKZ11" s="3428"/>
      <c r="HLA11" s="3428"/>
      <c r="HLB11" s="3428"/>
      <c r="HLC11" s="3428"/>
      <c r="HLD11" s="3428"/>
      <c r="HLE11" s="3428"/>
      <c r="HLF11" s="3428"/>
      <c r="HLG11" s="3428"/>
      <c r="HLH11" s="3428"/>
      <c r="HLI11" s="3428"/>
      <c r="HLJ11" s="3428"/>
      <c r="HLK11" s="3428"/>
      <c r="HLL11" s="3428"/>
      <c r="HLM11" s="3428"/>
      <c r="HLN11" s="3428"/>
      <c r="HLO11" s="3428"/>
      <c r="HLP11" s="3428"/>
      <c r="HLQ11" s="3428"/>
      <c r="HLR11" s="3428"/>
      <c r="HLS11" s="3428"/>
      <c r="HLT11" s="3428"/>
      <c r="HLU11" s="3428"/>
      <c r="HLV11" s="3428"/>
      <c r="HLW11" s="3428"/>
      <c r="HLX11" s="3428"/>
      <c r="HLY11" s="3428"/>
      <c r="HLZ11" s="3428"/>
      <c r="HMA11" s="3428"/>
      <c r="HMB11" s="3428"/>
      <c r="HMC11" s="3428"/>
      <c r="HMD11" s="3428"/>
      <c r="HME11" s="3428"/>
      <c r="HMF11" s="3428"/>
      <c r="HMG11" s="3428"/>
      <c r="HMH11" s="3428"/>
      <c r="HMI11" s="3428"/>
      <c r="HMJ11" s="3428"/>
      <c r="HMK11" s="3428"/>
      <c r="HML11" s="3428"/>
      <c r="HMM11" s="3428"/>
      <c r="HMN11" s="3428"/>
      <c r="HMO11" s="3428"/>
      <c r="HMP11" s="3428"/>
      <c r="HMQ11" s="3428"/>
      <c r="HMR11" s="3428"/>
      <c r="HMS11" s="3428"/>
      <c r="HMT11" s="3428"/>
      <c r="HMU11" s="3428"/>
      <c r="HMV11" s="3428"/>
      <c r="HMW11" s="3428"/>
      <c r="HMX11" s="3428"/>
      <c r="HMY11" s="3428"/>
      <c r="HMZ11" s="3428"/>
      <c r="HNA11" s="3428"/>
      <c r="HNB11" s="3428"/>
      <c r="HNC11" s="3428"/>
      <c r="HND11" s="3428"/>
      <c r="HNE11" s="3428"/>
      <c r="HNF11" s="3428"/>
      <c r="HNG11" s="3428"/>
      <c r="HNH11" s="3428"/>
      <c r="HNI11" s="3428"/>
      <c r="HNJ11" s="3428"/>
      <c r="HNK11" s="3428"/>
      <c r="HNL11" s="3428"/>
      <c r="HNM11" s="3428"/>
      <c r="HNN11" s="3428"/>
      <c r="HNO11" s="3428"/>
      <c r="HNP11" s="3428"/>
      <c r="HNQ11" s="3428"/>
      <c r="HNR11" s="3428"/>
      <c r="HNS11" s="3428"/>
      <c r="HNT11" s="3428"/>
      <c r="HNU11" s="3428"/>
      <c r="HNV11" s="3428"/>
      <c r="HNW11" s="3428"/>
      <c r="HNX11" s="3428"/>
      <c r="HNY11" s="3428"/>
      <c r="HNZ11" s="3428"/>
      <c r="HOA11" s="3428"/>
      <c r="HOB11" s="3428"/>
      <c r="HOC11" s="3428"/>
      <c r="HOD11" s="3428"/>
      <c r="HOE11" s="3428"/>
      <c r="HOF11" s="3428"/>
      <c r="HOG11" s="3428"/>
      <c r="HOH11" s="3428"/>
      <c r="HOI11" s="3428"/>
      <c r="HOJ11" s="3428"/>
      <c r="HOK11" s="3428"/>
      <c r="HOL11" s="3428"/>
      <c r="HOM11" s="3428"/>
      <c r="HON11" s="3428"/>
      <c r="HOO11" s="3428"/>
      <c r="HOP11" s="3428"/>
      <c r="HOQ11" s="3428"/>
      <c r="HOR11" s="3428"/>
      <c r="HOS11" s="3428"/>
      <c r="HOT11" s="3428"/>
      <c r="HOU11" s="3428"/>
      <c r="HOV11" s="3428"/>
      <c r="HOW11" s="3428"/>
      <c r="HOX11" s="3428"/>
      <c r="HOY11" s="3428"/>
      <c r="HOZ11" s="3428"/>
      <c r="HPA11" s="3428"/>
      <c r="HPB11" s="3428"/>
      <c r="HPC11" s="3428"/>
      <c r="HPD11" s="3428"/>
      <c r="HPE11" s="3428"/>
      <c r="HPF11" s="3428"/>
      <c r="HPG11" s="3428"/>
      <c r="HPH11" s="3428"/>
      <c r="HPI11" s="3428"/>
      <c r="HPJ11" s="3428"/>
      <c r="HPK11" s="3428"/>
      <c r="HPL11" s="3428"/>
      <c r="HPM11" s="3428"/>
      <c r="HPN11" s="3428"/>
      <c r="HPO11" s="3428"/>
      <c r="HPP11" s="3428"/>
      <c r="HPQ11" s="3428"/>
      <c r="HPR11" s="3428"/>
      <c r="HPS11" s="3428"/>
      <c r="HPT11" s="3428"/>
      <c r="HPU11" s="3428"/>
      <c r="HPV11" s="3428"/>
      <c r="HPW11" s="3428"/>
      <c r="HPX11" s="3428"/>
      <c r="HPY11" s="3428"/>
      <c r="HPZ11" s="3428"/>
      <c r="HQA11" s="3428"/>
      <c r="HQB11" s="3428"/>
      <c r="HQC11" s="3428"/>
      <c r="HQD11" s="3428"/>
      <c r="HQE11" s="3428"/>
      <c r="HQF11" s="3428"/>
      <c r="HQG11" s="3428"/>
      <c r="HQH11" s="3428"/>
      <c r="HQI11" s="3428"/>
      <c r="HQJ11" s="3428"/>
      <c r="HQK11" s="3428"/>
      <c r="HQL11" s="3428"/>
      <c r="HQM11" s="3428"/>
      <c r="HQN11" s="3428"/>
      <c r="HQO11" s="3428"/>
      <c r="HQP11" s="3428"/>
      <c r="HQQ11" s="3428"/>
      <c r="HQR11" s="3428"/>
      <c r="HQS11" s="3428"/>
      <c r="HQT11" s="3428"/>
      <c r="HQU11" s="3428"/>
      <c r="HQV11" s="3428"/>
      <c r="HQW11" s="3428"/>
      <c r="HQX11" s="3428"/>
      <c r="HQY11" s="3428"/>
      <c r="HQZ11" s="3428"/>
      <c r="HRA11" s="3428"/>
      <c r="HRB11" s="3428"/>
      <c r="HRC11" s="3428"/>
      <c r="HRD11" s="3428"/>
      <c r="HRE11" s="3428"/>
      <c r="HRF11" s="3428"/>
      <c r="HRG11" s="3428"/>
      <c r="HRH11" s="3428"/>
      <c r="HRI11" s="3428"/>
      <c r="HRJ11" s="3428"/>
      <c r="HRK11" s="3428"/>
      <c r="HRL11" s="3428"/>
      <c r="HRM11" s="3428"/>
      <c r="HRN11" s="3428"/>
      <c r="HRO11" s="3428"/>
      <c r="HRP11" s="3428"/>
      <c r="HRQ11" s="3428"/>
      <c r="HRR11" s="3428"/>
      <c r="HRS11" s="3428"/>
      <c r="HRT11" s="3428"/>
      <c r="HRU11" s="3428"/>
      <c r="HRV11" s="3428"/>
      <c r="HRW11" s="3428"/>
      <c r="HRX11" s="3428"/>
      <c r="HRY11" s="3428"/>
      <c r="HRZ11" s="3428"/>
      <c r="HSA11" s="3428"/>
      <c r="HSB11" s="3428"/>
      <c r="HSC11" s="3428"/>
      <c r="HSD11" s="3428"/>
      <c r="HSE11" s="3428"/>
      <c r="HSF11" s="3428"/>
      <c r="HSG11" s="3428"/>
      <c r="HSH11" s="3428"/>
      <c r="HSI11" s="3428"/>
      <c r="HSJ11" s="3428"/>
      <c r="HSK11" s="3428"/>
      <c r="HSL11" s="3428"/>
      <c r="HSM11" s="3428"/>
      <c r="HSN11" s="3428"/>
      <c r="HSO11" s="3428"/>
      <c r="HSP11" s="3428"/>
      <c r="HSQ11" s="3428"/>
      <c r="HSR11" s="3428"/>
      <c r="HSS11" s="3428"/>
      <c r="HST11" s="3428"/>
      <c r="HSU11" s="3428"/>
      <c r="HSV11" s="3428"/>
      <c r="HSW11" s="3428"/>
      <c r="HSX11" s="3428"/>
      <c r="HSY11" s="3428"/>
      <c r="HSZ11" s="3428"/>
      <c r="HTA11" s="3428"/>
      <c r="HTB11" s="3428"/>
      <c r="HTC11" s="3428"/>
      <c r="HTD11" s="3428"/>
      <c r="HTE11" s="3428"/>
      <c r="HTF11" s="3428"/>
      <c r="HTG11" s="3428"/>
      <c r="HTH11" s="3428"/>
      <c r="HTI11" s="3428"/>
      <c r="HTJ11" s="3428"/>
      <c r="HTK11" s="3428"/>
      <c r="HTL11" s="3428"/>
      <c r="HTM11" s="3428"/>
      <c r="HTN11" s="3428"/>
      <c r="HTO11" s="3428"/>
      <c r="HTP11" s="3428"/>
      <c r="HTQ11" s="3428"/>
      <c r="HTR11" s="3428"/>
      <c r="HTS11" s="3428"/>
      <c r="HTT11" s="3428"/>
      <c r="HTU11" s="3428"/>
      <c r="HTV11" s="3428"/>
      <c r="HTW11" s="3428"/>
      <c r="HTX11" s="3428"/>
      <c r="HTY11" s="3428"/>
      <c r="HTZ11" s="3428"/>
      <c r="HUA11" s="3428"/>
      <c r="HUB11" s="3428"/>
      <c r="HUC11" s="3428"/>
      <c r="HUD11" s="3428"/>
      <c r="HUE11" s="3428"/>
      <c r="HUF11" s="3428"/>
      <c r="HUG11" s="3428"/>
      <c r="HUH11" s="3428"/>
      <c r="HUI11" s="3428"/>
      <c r="HUJ11" s="3428"/>
      <c r="HUK11" s="3428"/>
      <c r="HUL11" s="3428"/>
      <c r="HUM11" s="3428"/>
      <c r="HUN11" s="3428"/>
      <c r="HUO11" s="3428"/>
      <c r="HUP11" s="3428"/>
      <c r="HUQ11" s="3428"/>
      <c r="HUR11" s="3428"/>
      <c r="HUS11" s="3428"/>
      <c r="HUT11" s="3428"/>
      <c r="HUU11" s="3428"/>
      <c r="HUV11" s="3428"/>
      <c r="HUW11" s="3428"/>
      <c r="HUX11" s="3428"/>
      <c r="HUY11" s="3428"/>
      <c r="HUZ11" s="3428"/>
      <c r="HVA11" s="3428"/>
      <c r="HVB11" s="3428"/>
      <c r="HVC11" s="3428"/>
      <c r="HVD11" s="3428"/>
      <c r="HVE11" s="3428"/>
      <c r="HVF11" s="3428"/>
      <c r="HVG11" s="3428"/>
      <c r="HVH11" s="3428"/>
      <c r="HVI11" s="3428"/>
      <c r="HVJ11" s="3428"/>
      <c r="HVK11" s="3428"/>
      <c r="HVL11" s="3428"/>
      <c r="HVM11" s="3428"/>
      <c r="HVN11" s="3428"/>
      <c r="HVO11" s="3428"/>
      <c r="HVP11" s="3428"/>
      <c r="HVQ11" s="3428"/>
      <c r="HVR11" s="3428"/>
      <c r="HVS11" s="3428"/>
      <c r="HVT11" s="3428"/>
      <c r="HVU11" s="3428"/>
      <c r="HVV11" s="3428"/>
      <c r="HVW11" s="3428"/>
      <c r="HVX11" s="3428"/>
      <c r="HVY11" s="3428"/>
      <c r="HVZ11" s="3428"/>
      <c r="HWA11" s="3428"/>
      <c r="HWB11" s="3428"/>
      <c r="HWC11" s="3428"/>
      <c r="HWD11" s="3428"/>
      <c r="HWE11" s="3428"/>
      <c r="HWF11" s="3428"/>
      <c r="HWG11" s="3428"/>
      <c r="HWH11" s="3428"/>
      <c r="HWI11" s="3428"/>
      <c r="HWJ11" s="3428"/>
      <c r="HWK11" s="3428"/>
      <c r="HWL11" s="3428"/>
      <c r="HWM11" s="3428"/>
      <c r="HWN11" s="3428"/>
      <c r="HWO11" s="3428"/>
      <c r="HWP11" s="3428"/>
      <c r="HWQ11" s="3428"/>
      <c r="HWR11" s="3428"/>
      <c r="HWS11" s="3428"/>
      <c r="HWT11" s="3428"/>
      <c r="HWU11" s="3428"/>
      <c r="HWV11" s="3428"/>
      <c r="HWW11" s="3428"/>
      <c r="HWX11" s="3428"/>
      <c r="HWY11" s="3428"/>
      <c r="HWZ11" s="3428"/>
      <c r="HXA11" s="3428"/>
      <c r="HXB11" s="3428"/>
      <c r="HXC11" s="3428"/>
      <c r="HXD11" s="3428"/>
      <c r="HXE11" s="3428"/>
      <c r="HXF11" s="3428"/>
      <c r="HXG11" s="3428"/>
      <c r="HXH11" s="3428"/>
      <c r="HXI11" s="3428"/>
      <c r="HXJ11" s="3428"/>
      <c r="HXK11" s="3428"/>
      <c r="HXL11" s="3428"/>
      <c r="HXM11" s="3428"/>
      <c r="HXN11" s="3428"/>
      <c r="HXO11" s="3428"/>
      <c r="HXP11" s="3428"/>
      <c r="HXQ11" s="3428"/>
      <c r="HXR11" s="3428"/>
      <c r="HXS11" s="3428"/>
      <c r="HXT11" s="3428"/>
      <c r="HXU11" s="3428"/>
      <c r="HXV11" s="3428"/>
      <c r="HXW11" s="3428"/>
      <c r="HXX11" s="3428"/>
      <c r="HXY11" s="3428"/>
      <c r="HXZ11" s="3428"/>
      <c r="HYA11" s="3428"/>
      <c r="HYB11" s="3428"/>
      <c r="HYC11" s="3428"/>
      <c r="HYD11" s="3428"/>
      <c r="HYE11" s="3428"/>
      <c r="HYF11" s="3428"/>
      <c r="HYG11" s="3428"/>
      <c r="HYH11" s="3428"/>
      <c r="HYI11" s="3428"/>
      <c r="HYJ11" s="3428"/>
      <c r="HYK11" s="3428"/>
      <c r="HYL11" s="3428"/>
      <c r="HYM11" s="3428"/>
      <c r="HYN11" s="3428"/>
      <c r="HYO11" s="3428"/>
      <c r="HYP11" s="3428"/>
      <c r="HYQ11" s="3428"/>
      <c r="HYR11" s="3428"/>
      <c r="HYS11" s="3428"/>
      <c r="HYT11" s="3428"/>
      <c r="HYU11" s="3428"/>
      <c r="HYV11" s="3428"/>
      <c r="HYW11" s="3428"/>
      <c r="HYX11" s="3428"/>
      <c r="HYY11" s="3428"/>
      <c r="HYZ11" s="3428"/>
      <c r="HZA11" s="3428"/>
      <c r="HZB11" s="3428"/>
      <c r="HZC11" s="3428"/>
      <c r="HZD11" s="3428"/>
      <c r="HZE11" s="3428"/>
      <c r="HZF11" s="3428"/>
      <c r="HZG11" s="3428"/>
      <c r="HZH11" s="3428"/>
      <c r="HZI11" s="3428"/>
      <c r="HZJ11" s="3428"/>
      <c r="HZK11" s="3428"/>
      <c r="HZL11" s="3428"/>
      <c r="HZM11" s="3428"/>
      <c r="HZN11" s="3428"/>
      <c r="HZO11" s="3428"/>
      <c r="HZP11" s="3428"/>
      <c r="HZQ11" s="3428"/>
      <c r="HZR11" s="3428"/>
      <c r="HZS11" s="3428"/>
      <c r="HZT11" s="3428"/>
      <c r="HZU11" s="3428"/>
      <c r="HZV11" s="3428"/>
      <c r="HZW11" s="3428"/>
      <c r="HZX11" s="3428"/>
      <c r="HZY11" s="3428"/>
      <c r="HZZ11" s="3428"/>
      <c r="IAA11" s="3428"/>
      <c r="IAB11" s="3428"/>
      <c r="IAC11" s="3428"/>
      <c r="IAD11" s="3428"/>
      <c r="IAE11" s="3428"/>
      <c r="IAF11" s="3428"/>
      <c r="IAG11" s="3428"/>
      <c r="IAH11" s="3428"/>
      <c r="IAI11" s="3428"/>
      <c r="IAJ11" s="3428"/>
      <c r="IAK11" s="3428"/>
      <c r="IAL11" s="3428"/>
      <c r="IAM11" s="3428"/>
      <c r="IAN11" s="3428"/>
      <c r="IAO11" s="3428"/>
      <c r="IAP11" s="3428"/>
      <c r="IAQ11" s="3428"/>
      <c r="IAR11" s="3428"/>
      <c r="IAS11" s="3428"/>
      <c r="IAT11" s="3428"/>
      <c r="IAU11" s="3428"/>
      <c r="IAV11" s="3428"/>
      <c r="IAW11" s="3428"/>
      <c r="IAX11" s="3428"/>
      <c r="IAY11" s="3428"/>
      <c r="IAZ11" s="3428"/>
      <c r="IBA11" s="3428"/>
      <c r="IBB11" s="3428"/>
      <c r="IBC11" s="3428"/>
      <c r="IBD11" s="3428"/>
      <c r="IBE11" s="3428"/>
      <c r="IBF11" s="3428"/>
      <c r="IBG11" s="3428"/>
      <c r="IBH11" s="3428"/>
      <c r="IBI11" s="3428"/>
      <c r="IBJ11" s="3428"/>
      <c r="IBK11" s="3428"/>
      <c r="IBL11" s="3428"/>
      <c r="IBM11" s="3428"/>
      <c r="IBN11" s="3428"/>
      <c r="IBO11" s="3428"/>
      <c r="IBP11" s="3428"/>
      <c r="IBQ11" s="3428"/>
      <c r="IBR11" s="3428"/>
      <c r="IBS11" s="3428"/>
      <c r="IBT11" s="3428"/>
      <c r="IBU11" s="3428"/>
      <c r="IBV11" s="3428"/>
      <c r="IBW11" s="3428"/>
      <c r="IBX11" s="3428"/>
      <c r="IBY11" s="3428"/>
      <c r="IBZ11" s="3428"/>
      <c r="ICA11" s="3428"/>
      <c r="ICB11" s="3428"/>
      <c r="ICC11" s="3428"/>
      <c r="ICD11" s="3428"/>
      <c r="ICE11" s="3428"/>
      <c r="ICF11" s="3428"/>
      <c r="ICG11" s="3428"/>
      <c r="ICH11" s="3428"/>
      <c r="ICI11" s="3428"/>
      <c r="ICJ11" s="3428"/>
      <c r="ICK11" s="3428"/>
      <c r="ICL11" s="3428"/>
      <c r="ICM11" s="3428"/>
      <c r="ICN11" s="3428"/>
      <c r="ICO11" s="3428"/>
      <c r="ICP11" s="3428"/>
      <c r="ICQ11" s="3428"/>
      <c r="ICR11" s="3428"/>
      <c r="ICS11" s="3428"/>
      <c r="ICT11" s="3428"/>
      <c r="ICU11" s="3428"/>
      <c r="ICV11" s="3428"/>
      <c r="ICW11" s="3428"/>
      <c r="ICX11" s="3428"/>
      <c r="ICY11" s="3428"/>
      <c r="ICZ11" s="3428"/>
      <c r="IDA11" s="3428"/>
      <c r="IDB11" s="3428"/>
      <c r="IDC11" s="3428"/>
      <c r="IDD11" s="3428"/>
      <c r="IDE11" s="3428"/>
      <c r="IDF11" s="3428"/>
      <c r="IDG11" s="3428"/>
      <c r="IDH11" s="3428"/>
      <c r="IDI11" s="3428"/>
      <c r="IDJ11" s="3428"/>
      <c r="IDK11" s="3428"/>
      <c r="IDL11" s="3428"/>
      <c r="IDM11" s="3428"/>
      <c r="IDN11" s="3428"/>
      <c r="IDO11" s="3428"/>
      <c r="IDP11" s="3428"/>
      <c r="IDQ11" s="3428"/>
      <c r="IDR11" s="3428"/>
      <c r="IDS11" s="3428"/>
      <c r="IDT11" s="3428"/>
      <c r="IDU11" s="3428"/>
      <c r="IDV11" s="3428"/>
      <c r="IDW11" s="3428"/>
      <c r="IDX11" s="3428"/>
      <c r="IDY11" s="3428"/>
      <c r="IDZ11" s="3428"/>
      <c r="IEA11" s="3428"/>
      <c r="IEB11" s="3428"/>
      <c r="IEC11" s="3428"/>
      <c r="IED11" s="3428"/>
      <c r="IEE11" s="3428"/>
      <c r="IEF11" s="3428"/>
      <c r="IEG11" s="3428"/>
      <c r="IEH11" s="3428"/>
      <c r="IEI11" s="3428"/>
      <c r="IEJ11" s="3428"/>
      <c r="IEK11" s="3428"/>
      <c r="IEL11" s="3428"/>
      <c r="IEM11" s="3428"/>
      <c r="IEN11" s="3428"/>
      <c r="IEO11" s="3428"/>
      <c r="IEP11" s="3428"/>
      <c r="IEQ11" s="3428"/>
      <c r="IER11" s="3428"/>
      <c r="IES11" s="3428"/>
      <c r="IET11" s="3428"/>
      <c r="IEU11" s="3428"/>
      <c r="IEV11" s="3428"/>
      <c r="IEW11" s="3428"/>
      <c r="IEX11" s="3428"/>
      <c r="IEY11" s="3428"/>
      <c r="IEZ11" s="3428"/>
      <c r="IFA11" s="3428"/>
      <c r="IFB11" s="3428"/>
      <c r="IFC11" s="3428"/>
      <c r="IFD11" s="3428"/>
      <c r="IFE11" s="3428"/>
      <c r="IFF11" s="3428"/>
      <c r="IFG11" s="3428"/>
      <c r="IFH11" s="3428"/>
      <c r="IFI11" s="3428"/>
      <c r="IFJ11" s="3428"/>
      <c r="IFK11" s="3428"/>
      <c r="IFL11" s="3428"/>
      <c r="IFM11" s="3428"/>
      <c r="IFN11" s="3428"/>
      <c r="IFO11" s="3428"/>
      <c r="IFP11" s="3428"/>
      <c r="IFQ11" s="3428"/>
      <c r="IFR11" s="3428"/>
      <c r="IFS11" s="3428"/>
      <c r="IFT11" s="3428"/>
      <c r="IFU11" s="3428"/>
      <c r="IFV11" s="3428"/>
      <c r="IFW11" s="3428"/>
      <c r="IFX11" s="3428"/>
      <c r="IFY11" s="3428"/>
      <c r="IFZ11" s="3428"/>
      <c r="IGA11" s="3428"/>
      <c r="IGB11" s="3428"/>
      <c r="IGC11" s="3428"/>
      <c r="IGD11" s="3428"/>
      <c r="IGE11" s="3428"/>
      <c r="IGF11" s="3428"/>
      <c r="IGG11" s="3428"/>
      <c r="IGH11" s="3428"/>
      <c r="IGI11" s="3428"/>
      <c r="IGJ11" s="3428"/>
      <c r="IGK11" s="3428"/>
      <c r="IGL11" s="3428"/>
      <c r="IGM11" s="3428"/>
      <c r="IGN11" s="3428"/>
      <c r="IGO11" s="3428"/>
      <c r="IGP11" s="3428"/>
      <c r="IGQ11" s="3428"/>
      <c r="IGR11" s="3428"/>
      <c r="IGS11" s="3428"/>
      <c r="IGT11" s="3428"/>
      <c r="IGU11" s="3428"/>
      <c r="IGV11" s="3428"/>
      <c r="IGW11" s="3428"/>
      <c r="IGX11" s="3428"/>
      <c r="IGY11" s="3428"/>
      <c r="IGZ11" s="3428"/>
      <c r="IHA11" s="3428"/>
      <c r="IHB11" s="3428"/>
      <c r="IHC11" s="3428"/>
      <c r="IHD11" s="3428"/>
      <c r="IHE11" s="3428"/>
      <c r="IHF11" s="3428"/>
      <c r="IHG11" s="3428"/>
      <c r="IHH11" s="3428"/>
      <c r="IHI11" s="3428"/>
      <c r="IHJ11" s="3428"/>
      <c r="IHK11" s="3428"/>
      <c r="IHL11" s="3428"/>
      <c r="IHM11" s="3428"/>
      <c r="IHN11" s="3428"/>
      <c r="IHO11" s="3428"/>
      <c r="IHP11" s="3428"/>
      <c r="IHQ11" s="3428"/>
      <c r="IHR11" s="3428"/>
      <c r="IHS11" s="3428"/>
      <c r="IHT11" s="3428"/>
      <c r="IHU11" s="3428"/>
      <c r="IHV11" s="3428"/>
      <c r="IHW11" s="3428"/>
      <c r="IHX11" s="3428"/>
      <c r="IHY11" s="3428"/>
      <c r="IHZ11" s="3428"/>
      <c r="IIA11" s="3428"/>
      <c r="IIB11" s="3428"/>
      <c r="IIC11" s="3428"/>
      <c r="IID11" s="3428"/>
      <c r="IIE11" s="3428"/>
      <c r="IIF11" s="3428"/>
      <c r="IIG11" s="3428"/>
      <c r="IIH11" s="3428"/>
      <c r="III11" s="3428"/>
      <c r="IIJ11" s="3428"/>
      <c r="IIK11" s="3428"/>
      <c r="IIL11" s="3428"/>
      <c r="IIM11" s="3428"/>
      <c r="IIN11" s="3428"/>
      <c r="IIO11" s="3428"/>
      <c r="IIP11" s="3428"/>
      <c r="IIQ11" s="3428"/>
      <c r="IIR11" s="3428"/>
      <c r="IIS11" s="3428"/>
      <c r="IIT11" s="3428"/>
      <c r="IIU11" s="3428"/>
      <c r="IIV11" s="3428"/>
      <c r="IIW11" s="3428"/>
      <c r="IIX11" s="3428"/>
      <c r="IIY11" s="3428"/>
      <c r="IIZ11" s="3428"/>
      <c r="IJA11" s="3428"/>
      <c r="IJB11" s="3428"/>
      <c r="IJC11" s="3428"/>
      <c r="IJD11" s="3428"/>
      <c r="IJE11" s="3428"/>
      <c r="IJF11" s="3428"/>
      <c r="IJG11" s="3428"/>
      <c r="IJH11" s="3428"/>
      <c r="IJI11" s="3428"/>
      <c r="IJJ11" s="3428"/>
      <c r="IJK11" s="3428"/>
      <c r="IJL11" s="3428"/>
      <c r="IJM11" s="3428"/>
      <c r="IJN11" s="3428"/>
      <c r="IJO11" s="3428"/>
      <c r="IJP11" s="3428"/>
      <c r="IJQ11" s="3428"/>
      <c r="IJR11" s="3428"/>
      <c r="IJS11" s="3428"/>
      <c r="IJT11" s="3428"/>
      <c r="IJU11" s="3428"/>
      <c r="IJV11" s="3428"/>
      <c r="IJW11" s="3428"/>
      <c r="IJX11" s="3428"/>
      <c r="IJY11" s="3428"/>
      <c r="IJZ11" s="3428"/>
      <c r="IKA11" s="3428"/>
      <c r="IKB11" s="3428"/>
      <c r="IKC11" s="3428"/>
      <c r="IKD11" s="3428"/>
      <c r="IKE11" s="3428"/>
      <c r="IKF11" s="3428"/>
      <c r="IKG11" s="3428"/>
      <c r="IKH11" s="3428"/>
      <c r="IKI11" s="3428"/>
      <c r="IKJ11" s="3428"/>
      <c r="IKK11" s="3428"/>
      <c r="IKL11" s="3428"/>
      <c r="IKM11" s="3428"/>
      <c r="IKN11" s="3428"/>
      <c r="IKO11" s="3428"/>
      <c r="IKP11" s="3428"/>
      <c r="IKQ11" s="3428"/>
      <c r="IKR11" s="3428"/>
      <c r="IKS11" s="3428"/>
      <c r="IKT11" s="3428"/>
      <c r="IKU11" s="3428"/>
      <c r="IKV11" s="3428"/>
      <c r="IKW11" s="3428"/>
      <c r="IKX11" s="3428"/>
      <c r="IKY11" s="3428"/>
      <c r="IKZ11" s="3428"/>
      <c r="ILA11" s="3428"/>
      <c r="ILB11" s="3428"/>
      <c r="ILC11" s="3428"/>
      <c r="ILD11" s="3428"/>
      <c r="ILE11" s="3428"/>
      <c r="ILF11" s="3428"/>
      <c r="ILG11" s="3428"/>
      <c r="ILH11" s="3428"/>
      <c r="ILI11" s="3428"/>
      <c r="ILJ11" s="3428"/>
      <c r="ILK11" s="3428"/>
      <c r="ILL11" s="3428"/>
      <c r="ILM11" s="3428"/>
      <c r="ILN11" s="3428"/>
      <c r="ILO11" s="3428"/>
      <c r="ILP11" s="3428"/>
      <c r="ILQ11" s="3428"/>
      <c r="ILR11" s="3428"/>
      <c r="ILS11" s="3428"/>
      <c r="ILT11" s="3428"/>
      <c r="ILU11" s="3428"/>
      <c r="ILV11" s="3428"/>
      <c r="ILW11" s="3428"/>
      <c r="ILX11" s="3428"/>
      <c r="ILY11" s="3428"/>
      <c r="ILZ11" s="3428"/>
      <c r="IMA11" s="3428"/>
      <c r="IMB11" s="3428"/>
      <c r="IMC11" s="3428"/>
      <c r="IMD11" s="3428"/>
      <c r="IME11" s="3428"/>
      <c r="IMF11" s="3428"/>
      <c r="IMG11" s="3428"/>
      <c r="IMH11" s="3428"/>
      <c r="IMI11" s="3428"/>
      <c r="IMJ11" s="3428"/>
      <c r="IMK11" s="3428"/>
      <c r="IML11" s="3428"/>
      <c r="IMM11" s="3428"/>
      <c r="IMN11" s="3428"/>
      <c r="IMO11" s="3428"/>
      <c r="IMP11" s="3428"/>
      <c r="IMQ11" s="3428"/>
      <c r="IMR11" s="3428"/>
      <c r="IMS11" s="3428"/>
      <c r="IMT11" s="3428"/>
      <c r="IMU11" s="3428"/>
      <c r="IMV11" s="3428"/>
      <c r="IMW11" s="3428"/>
      <c r="IMX11" s="3428"/>
      <c r="IMY11" s="3428"/>
      <c r="IMZ11" s="3428"/>
      <c r="INA11" s="3428"/>
      <c r="INB11" s="3428"/>
      <c r="INC11" s="3428"/>
      <c r="IND11" s="3428"/>
      <c r="INE11" s="3428"/>
      <c r="INF11" s="3428"/>
      <c r="ING11" s="3428"/>
      <c r="INH11" s="3428"/>
      <c r="INI11" s="3428"/>
      <c r="INJ11" s="3428"/>
      <c r="INK11" s="3428"/>
      <c r="INL11" s="3428"/>
      <c r="INM11" s="3428"/>
      <c r="INN11" s="3428"/>
      <c r="INO11" s="3428"/>
      <c r="INP11" s="3428"/>
      <c r="INQ11" s="3428"/>
      <c r="INR11" s="3428"/>
      <c r="INS11" s="3428"/>
      <c r="INT11" s="3428"/>
      <c r="INU11" s="3428"/>
      <c r="INV11" s="3428"/>
      <c r="INW11" s="3428"/>
      <c r="INX11" s="3428"/>
      <c r="INY11" s="3428"/>
      <c r="INZ11" s="3428"/>
      <c r="IOA11" s="3428"/>
      <c r="IOB11" s="3428"/>
      <c r="IOC11" s="3428"/>
      <c r="IOD11" s="3428"/>
      <c r="IOE11" s="3428"/>
      <c r="IOF11" s="3428"/>
      <c r="IOG11" s="3428"/>
      <c r="IOH11" s="3428"/>
      <c r="IOI11" s="3428"/>
      <c r="IOJ11" s="3428"/>
      <c r="IOK11" s="3428"/>
      <c r="IOL11" s="3428"/>
      <c r="IOM11" s="3428"/>
      <c r="ION11" s="3428"/>
      <c r="IOO11" s="3428"/>
      <c r="IOP11" s="3428"/>
      <c r="IOQ11" s="3428"/>
      <c r="IOR11" s="3428"/>
      <c r="IOS11" s="3428"/>
      <c r="IOT11" s="3428"/>
      <c r="IOU11" s="3428"/>
      <c r="IOV11" s="3428"/>
      <c r="IOW11" s="3428"/>
      <c r="IOX11" s="3428"/>
      <c r="IOY11" s="3428"/>
      <c r="IOZ11" s="3428"/>
      <c r="IPA11" s="3428"/>
      <c r="IPB11" s="3428"/>
      <c r="IPC11" s="3428"/>
      <c r="IPD11" s="3428"/>
      <c r="IPE11" s="3428"/>
      <c r="IPF11" s="3428"/>
      <c r="IPG11" s="3428"/>
      <c r="IPH11" s="3428"/>
      <c r="IPI11" s="3428"/>
      <c r="IPJ11" s="3428"/>
      <c r="IPK11" s="3428"/>
      <c r="IPL11" s="3428"/>
      <c r="IPM11" s="3428"/>
      <c r="IPN11" s="3428"/>
      <c r="IPO11" s="3428"/>
      <c r="IPP11" s="3428"/>
      <c r="IPQ11" s="3428"/>
      <c r="IPR11" s="3428"/>
      <c r="IPS11" s="3428"/>
      <c r="IPT11" s="3428"/>
      <c r="IPU11" s="3428"/>
      <c r="IPV11" s="3428"/>
      <c r="IPW11" s="3428"/>
      <c r="IPX11" s="3428"/>
      <c r="IPY11" s="3428"/>
      <c r="IPZ11" s="3428"/>
      <c r="IQA11" s="3428"/>
      <c r="IQB11" s="3428"/>
      <c r="IQC11" s="3428"/>
      <c r="IQD11" s="3428"/>
      <c r="IQE11" s="3428"/>
      <c r="IQF11" s="3428"/>
      <c r="IQG11" s="3428"/>
      <c r="IQH11" s="3428"/>
      <c r="IQI11" s="3428"/>
      <c r="IQJ11" s="3428"/>
      <c r="IQK11" s="3428"/>
      <c r="IQL11" s="3428"/>
      <c r="IQM11" s="3428"/>
      <c r="IQN11" s="3428"/>
      <c r="IQO11" s="3428"/>
      <c r="IQP11" s="3428"/>
      <c r="IQQ11" s="3428"/>
      <c r="IQR11" s="3428"/>
      <c r="IQS11" s="3428"/>
      <c r="IQT11" s="3428"/>
      <c r="IQU11" s="3428"/>
      <c r="IQV11" s="3428"/>
      <c r="IQW11" s="3428"/>
      <c r="IQX11" s="3428"/>
      <c r="IQY11" s="3428"/>
      <c r="IQZ11" s="3428"/>
      <c r="IRA11" s="3428"/>
      <c r="IRB11" s="3428"/>
      <c r="IRC11" s="3428"/>
      <c r="IRD11" s="3428"/>
      <c r="IRE11" s="3428"/>
      <c r="IRF11" s="3428"/>
      <c r="IRG11" s="3428"/>
      <c r="IRH11" s="3428"/>
      <c r="IRI11" s="3428"/>
      <c r="IRJ11" s="3428"/>
      <c r="IRK11" s="3428"/>
      <c r="IRL11" s="3428"/>
      <c r="IRM11" s="3428"/>
      <c r="IRN11" s="3428"/>
      <c r="IRO11" s="3428"/>
      <c r="IRP11" s="3428"/>
      <c r="IRQ11" s="3428"/>
      <c r="IRR11" s="3428"/>
      <c r="IRS11" s="3428"/>
      <c r="IRT11" s="3428"/>
      <c r="IRU11" s="3428"/>
      <c r="IRV11" s="3428"/>
      <c r="IRW11" s="3428"/>
      <c r="IRX11" s="3428"/>
      <c r="IRY11" s="3428"/>
      <c r="IRZ11" s="3428"/>
      <c r="ISA11" s="3428"/>
      <c r="ISB11" s="3428"/>
      <c r="ISC11" s="3428"/>
      <c r="ISD11" s="3428"/>
      <c r="ISE11" s="3428"/>
      <c r="ISF11" s="3428"/>
      <c r="ISG11" s="3428"/>
      <c r="ISH11" s="3428"/>
      <c r="ISI11" s="3428"/>
      <c r="ISJ11" s="3428"/>
      <c r="ISK11" s="3428"/>
      <c r="ISL11" s="3428"/>
      <c r="ISM11" s="3428"/>
      <c r="ISN11" s="3428"/>
      <c r="ISO11" s="3428"/>
      <c r="ISP11" s="3428"/>
      <c r="ISQ11" s="3428"/>
      <c r="ISR11" s="3428"/>
      <c r="ISS11" s="3428"/>
      <c r="IST11" s="3428"/>
      <c r="ISU11" s="3428"/>
      <c r="ISV11" s="3428"/>
      <c r="ISW11" s="3428"/>
      <c r="ISX11" s="3428"/>
      <c r="ISY11" s="3428"/>
      <c r="ISZ11" s="3428"/>
      <c r="ITA11" s="3428"/>
      <c r="ITB11" s="3428"/>
      <c r="ITC11" s="3428"/>
      <c r="ITD11" s="3428"/>
      <c r="ITE11" s="3428"/>
      <c r="ITF11" s="3428"/>
      <c r="ITG11" s="3428"/>
      <c r="ITH11" s="3428"/>
      <c r="ITI11" s="3428"/>
      <c r="ITJ11" s="3428"/>
      <c r="ITK11" s="3428"/>
      <c r="ITL11" s="3428"/>
      <c r="ITM11" s="3428"/>
      <c r="ITN11" s="3428"/>
      <c r="ITO11" s="3428"/>
      <c r="ITP11" s="3428"/>
      <c r="ITQ11" s="3428"/>
      <c r="ITR11" s="3428"/>
      <c r="ITS11" s="3428"/>
      <c r="ITT11" s="3428"/>
      <c r="ITU11" s="3428"/>
      <c r="ITV11" s="3428"/>
      <c r="ITW11" s="3428"/>
      <c r="ITX11" s="3428"/>
      <c r="ITY11" s="3428"/>
      <c r="ITZ11" s="3428"/>
      <c r="IUA11" s="3428"/>
      <c r="IUB11" s="3428"/>
      <c r="IUC11" s="3428"/>
      <c r="IUD11" s="3428"/>
      <c r="IUE11" s="3428"/>
      <c r="IUF11" s="3428"/>
      <c r="IUG11" s="3428"/>
      <c r="IUH11" s="3428"/>
      <c r="IUI11" s="3428"/>
      <c r="IUJ11" s="3428"/>
      <c r="IUK11" s="3428"/>
      <c r="IUL11" s="3428"/>
      <c r="IUM11" s="3428"/>
      <c r="IUN11" s="3428"/>
      <c r="IUO11" s="3428"/>
      <c r="IUP11" s="3428"/>
      <c r="IUQ11" s="3428"/>
      <c r="IUR11" s="3428"/>
      <c r="IUS11" s="3428"/>
      <c r="IUT11" s="3428"/>
      <c r="IUU11" s="3428"/>
      <c r="IUV11" s="3428"/>
      <c r="IUW11" s="3428"/>
      <c r="IUX11" s="3428"/>
      <c r="IUY11" s="3428"/>
      <c r="IUZ11" s="3428"/>
      <c r="IVA11" s="3428"/>
      <c r="IVB11" s="3428"/>
      <c r="IVC11" s="3428"/>
      <c r="IVD11" s="3428"/>
      <c r="IVE11" s="3428"/>
      <c r="IVF11" s="3428"/>
      <c r="IVG11" s="3428"/>
      <c r="IVH11" s="3428"/>
      <c r="IVI11" s="3428"/>
      <c r="IVJ11" s="3428"/>
      <c r="IVK11" s="3428"/>
      <c r="IVL11" s="3428"/>
      <c r="IVM11" s="3428"/>
      <c r="IVN11" s="3428"/>
      <c r="IVO11" s="3428"/>
      <c r="IVP11" s="3428"/>
      <c r="IVQ11" s="3428"/>
      <c r="IVR11" s="3428"/>
      <c r="IVS11" s="3428"/>
      <c r="IVT11" s="3428"/>
      <c r="IVU11" s="3428"/>
      <c r="IVV11" s="3428"/>
      <c r="IVW11" s="3428"/>
      <c r="IVX11" s="3428"/>
      <c r="IVY11" s="3428"/>
      <c r="IVZ11" s="3428"/>
      <c r="IWA11" s="3428"/>
      <c r="IWB11" s="3428"/>
      <c r="IWC11" s="3428"/>
      <c r="IWD11" s="3428"/>
      <c r="IWE11" s="3428"/>
      <c r="IWF11" s="3428"/>
      <c r="IWG11" s="3428"/>
      <c r="IWH11" s="3428"/>
      <c r="IWI11" s="3428"/>
      <c r="IWJ11" s="3428"/>
      <c r="IWK11" s="3428"/>
      <c r="IWL11" s="3428"/>
      <c r="IWM11" s="3428"/>
      <c r="IWN11" s="3428"/>
      <c r="IWO11" s="3428"/>
      <c r="IWP11" s="3428"/>
      <c r="IWQ11" s="3428"/>
      <c r="IWR11" s="3428"/>
      <c r="IWS11" s="3428"/>
      <c r="IWT11" s="3428"/>
      <c r="IWU11" s="3428"/>
      <c r="IWV11" s="3428"/>
      <c r="IWW11" s="3428"/>
      <c r="IWX11" s="3428"/>
      <c r="IWY11" s="3428"/>
      <c r="IWZ11" s="3428"/>
      <c r="IXA11" s="3428"/>
      <c r="IXB11" s="3428"/>
      <c r="IXC11" s="3428"/>
      <c r="IXD11" s="3428"/>
      <c r="IXE11" s="3428"/>
      <c r="IXF11" s="3428"/>
      <c r="IXG11" s="3428"/>
      <c r="IXH11" s="3428"/>
      <c r="IXI11" s="3428"/>
      <c r="IXJ11" s="3428"/>
      <c r="IXK11" s="3428"/>
      <c r="IXL11" s="3428"/>
      <c r="IXM11" s="3428"/>
      <c r="IXN11" s="3428"/>
      <c r="IXO11" s="3428"/>
      <c r="IXP11" s="3428"/>
      <c r="IXQ11" s="3428"/>
      <c r="IXR11" s="3428"/>
      <c r="IXS11" s="3428"/>
      <c r="IXT11" s="3428"/>
      <c r="IXU11" s="3428"/>
      <c r="IXV11" s="3428"/>
      <c r="IXW11" s="3428"/>
      <c r="IXX11" s="3428"/>
      <c r="IXY11" s="3428"/>
      <c r="IXZ11" s="3428"/>
      <c r="IYA11" s="3428"/>
      <c r="IYB11" s="3428"/>
      <c r="IYC11" s="3428"/>
      <c r="IYD11" s="3428"/>
      <c r="IYE11" s="3428"/>
      <c r="IYF11" s="3428"/>
      <c r="IYG11" s="3428"/>
      <c r="IYH11" s="3428"/>
      <c r="IYI11" s="3428"/>
      <c r="IYJ11" s="3428"/>
      <c r="IYK11" s="3428"/>
      <c r="IYL11" s="3428"/>
      <c r="IYM11" s="3428"/>
      <c r="IYN11" s="3428"/>
      <c r="IYO11" s="3428"/>
      <c r="IYP11" s="3428"/>
      <c r="IYQ11" s="3428"/>
      <c r="IYR11" s="3428"/>
      <c r="IYS11" s="3428"/>
      <c r="IYT11" s="3428"/>
      <c r="IYU11" s="3428"/>
      <c r="IYV11" s="3428"/>
      <c r="IYW11" s="3428"/>
      <c r="IYX11" s="3428"/>
      <c r="IYY11" s="3428"/>
      <c r="IYZ11" s="3428"/>
      <c r="IZA11" s="3428"/>
      <c r="IZB11" s="3428"/>
      <c r="IZC11" s="3428"/>
      <c r="IZD11" s="3428"/>
      <c r="IZE11" s="3428"/>
      <c r="IZF11" s="3428"/>
      <c r="IZG11" s="3428"/>
      <c r="IZH11" s="3428"/>
      <c r="IZI11" s="3428"/>
      <c r="IZJ11" s="3428"/>
      <c r="IZK11" s="3428"/>
      <c r="IZL11" s="3428"/>
      <c r="IZM11" s="3428"/>
      <c r="IZN11" s="3428"/>
      <c r="IZO11" s="3428"/>
      <c r="IZP11" s="3428"/>
      <c r="IZQ11" s="3428"/>
      <c r="IZR11" s="3428"/>
      <c r="IZS11" s="3428"/>
      <c r="IZT11" s="3428"/>
      <c r="IZU11" s="3428"/>
      <c r="IZV11" s="3428"/>
      <c r="IZW11" s="3428"/>
      <c r="IZX11" s="3428"/>
      <c r="IZY11" s="3428"/>
      <c r="IZZ11" s="3428"/>
      <c r="JAA11" s="3428"/>
      <c r="JAB11" s="3428"/>
      <c r="JAC11" s="3428"/>
      <c r="JAD11" s="3428"/>
      <c r="JAE11" s="3428"/>
      <c r="JAF11" s="3428"/>
      <c r="JAG11" s="3428"/>
      <c r="JAH11" s="3428"/>
      <c r="JAI11" s="3428"/>
      <c r="JAJ11" s="3428"/>
      <c r="JAK11" s="3428"/>
      <c r="JAL11" s="3428"/>
      <c r="JAM11" s="3428"/>
      <c r="JAN11" s="3428"/>
      <c r="JAO11" s="3428"/>
      <c r="JAP11" s="3428"/>
      <c r="JAQ11" s="3428"/>
      <c r="JAR11" s="3428"/>
      <c r="JAS11" s="3428"/>
      <c r="JAT11" s="3428"/>
      <c r="JAU11" s="3428"/>
      <c r="JAV11" s="3428"/>
      <c r="JAW11" s="3428"/>
      <c r="JAX11" s="3428"/>
      <c r="JAY11" s="3428"/>
      <c r="JAZ11" s="3428"/>
      <c r="JBA11" s="3428"/>
      <c r="JBB11" s="3428"/>
      <c r="JBC11" s="3428"/>
      <c r="JBD11" s="3428"/>
      <c r="JBE11" s="3428"/>
      <c r="JBF11" s="3428"/>
      <c r="JBG11" s="3428"/>
      <c r="JBH11" s="3428"/>
      <c r="JBI11" s="3428"/>
      <c r="JBJ11" s="3428"/>
      <c r="JBK11" s="3428"/>
      <c r="JBL11" s="3428"/>
      <c r="JBM11" s="3428"/>
      <c r="JBN11" s="3428"/>
      <c r="JBO11" s="3428"/>
      <c r="JBP11" s="3428"/>
      <c r="JBQ11" s="3428"/>
      <c r="JBR11" s="3428"/>
      <c r="JBS11" s="3428"/>
      <c r="JBT11" s="3428"/>
      <c r="JBU11" s="3428"/>
      <c r="JBV11" s="3428"/>
      <c r="JBW11" s="3428"/>
      <c r="JBX11" s="3428"/>
      <c r="JBY11" s="3428"/>
      <c r="JBZ11" s="3428"/>
      <c r="JCA11" s="3428"/>
      <c r="JCB11" s="3428"/>
      <c r="JCC11" s="3428"/>
      <c r="JCD11" s="3428"/>
      <c r="JCE11" s="3428"/>
      <c r="JCF11" s="3428"/>
      <c r="JCG11" s="3428"/>
      <c r="JCH11" s="3428"/>
      <c r="JCI11" s="3428"/>
      <c r="JCJ11" s="3428"/>
      <c r="JCK11" s="3428"/>
      <c r="JCL11" s="3428"/>
      <c r="JCM11" s="3428"/>
      <c r="JCN11" s="3428"/>
      <c r="JCO11" s="3428"/>
      <c r="JCP11" s="3428"/>
      <c r="JCQ11" s="3428"/>
      <c r="JCR11" s="3428"/>
      <c r="JCS11" s="3428"/>
      <c r="JCT11" s="3428"/>
      <c r="JCU11" s="3428"/>
      <c r="JCV11" s="3428"/>
      <c r="JCW11" s="3428"/>
      <c r="JCX11" s="3428"/>
      <c r="JCY11" s="3428"/>
      <c r="JCZ11" s="3428"/>
      <c r="JDA11" s="3428"/>
      <c r="JDB11" s="3428"/>
      <c r="JDC11" s="3428"/>
      <c r="JDD11" s="3428"/>
      <c r="JDE11" s="3428"/>
      <c r="JDF11" s="3428"/>
      <c r="JDG11" s="3428"/>
      <c r="JDH11" s="3428"/>
      <c r="JDI11" s="3428"/>
      <c r="JDJ11" s="3428"/>
      <c r="JDK11" s="3428"/>
      <c r="JDL11" s="3428"/>
      <c r="JDM11" s="3428"/>
      <c r="JDN11" s="3428"/>
      <c r="JDO11" s="3428"/>
      <c r="JDP11" s="3428"/>
      <c r="JDQ11" s="3428"/>
      <c r="JDR11" s="3428"/>
      <c r="JDS11" s="3428"/>
      <c r="JDT11" s="3428"/>
      <c r="JDU11" s="3428"/>
      <c r="JDV11" s="3428"/>
      <c r="JDW11" s="3428"/>
      <c r="JDX11" s="3428"/>
      <c r="JDY11" s="3428"/>
      <c r="JDZ11" s="3428"/>
      <c r="JEA11" s="3428"/>
      <c r="JEB11" s="3428"/>
      <c r="JEC11" s="3428"/>
      <c r="JED11" s="3428"/>
      <c r="JEE11" s="3428"/>
      <c r="JEF11" s="3428"/>
      <c r="JEG11" s="3428"/>
      <c r="JEH11" s="3428"/>
      <c r="JEI11" s="3428"/>
      <c r="JEJ11" s="3428"/>
      <c r="JEK11" s="3428"/>
      <c r="JEL11" s="3428"/>
      <c r="JEM11" s="3428"/>
      <c r="JEN11" s="3428"/>
      <c r="JEO11" s="3428"/>
      <c r="JEP11" s="3428"/>
      <c r="JEQ11" s="3428"/>
      <c r="JER11" s="3428"/>
      <c r="JES11" s="3428"/>
      <c r="JET11" s="3428"/>
      <c r="JEU11" s="3428"/>
      <c r="JEV11" s="3428"/>
      <c r="JEW11" s="3428"/>
      <c r="JEX11" s="3428"/>
      <c r="JEY11" s="3428"/>
      <c r="JEZ11" s="3428"/>
      <c r="JFA11" s="3428"/>
      <c r="JFB11" s="3428"/>
      <c r="JFC11" s="3428"/>
      <c r="JFD11" s="3428"/>
      <c r="JFE11" s="3428"/>
      <c r="JFF11" s="3428"/>
      <c r="JFG11" s="3428"/>
      <c r="JFH11" s="3428"/>
      <c r="JFI11" s="3428"/>
      <c r="JFJ11" s="3428"/>
      <c r="JFK11" s="3428"/>
      <c r="JFL11" s="3428"/>
      <c r="JFM11" s="3428"/>
      <c r="JFN11" s="3428"/>
      <c r="JFO11" s="3428"/>
      <c r="JFP11" s="3428"/>
      <c r="JFQ11" s="3428"/>
      <c r="JFR11" s="3428"/>
      <c r="JFS11" s="3428"/>
      <c r="JFT11" s="3428"/>
      <c r="JFU11" s="3428"/>
      <c r="JFV11" s="3428"/>
      <c r="JFW11" s="3428"/>
      <c r="JFX11" s="3428"/>
      <c r="JFY11" s="3428"/>
      <c r="JFZ11" s="3428"/>
      <c r="JGA11" s="3428"/>
      <c r="JGB11" s="3428"/>
      <c r="JGC11" s="3428"/>
      <c r="JGD11" s="3428"/>
      <c r="JGE11" s="3428"/>
      <c r="JGF11" s="3428"/>
      <c r="JGG11" s="3428"/>
      <c r="JGH11" s="3428"/>
      <c r="JGI11" s="3428"/>
      <c r="JGJ11" s="3428"/>
      <c r="JGK11" s="3428"/>
      <c r="JGL11" s="3428"/>
      <c r="JGM11" s="3428"/>
      <c r="JGN11" s="3428"/>
      <c r="JGO11" s="3428"/>
      <c r="JGP11" s="3428"/>
      <c r="JGQ11" s="3428"/>
      <c r="JGR11" s="3428"/>
      <c r="JGS11" s="3428"/>
      <c r="JGT11" s="3428"/>
      <c r="JGU11" s="3428"/>
      <c r="JGV11" s="3428"/>
      <c r="JGW11" s="3428"/>
      <c r="JGX11" s="3428"/>
      <c r="JGY11" s="3428"/>
      <c r="JGZ11" s="3428"/>
      <c r="JHA11" s="3428"/>
      <c r="JHB11" s="3428"/>
      <c r="JHC11" s="3428"/>
      <c r="JHD11" s="3428"/>
      <c r="JHE11" s="3428"/>
      <c r="JHF11" s="3428"/>
      <c r="JHG11" s="3428"/>
      <c r="JHH11" s="3428"/>
      <c r="JHI11" s="3428"/>
      <c r="JHJ11" s="3428"/>
      <c r="JHK11" s="3428"/>
      <c r="JHL11" s="3428"/>
      <c r="JHM11" s="3428"/>
      <c r="JHN11" s="3428"/>
      <c r="JHO11" s="3428"/>
      <c r="JHP11" s="3428"/>
      <c r="JHQ11" s="3428"/>
      <c r="JHR11" s="3428"/>
      <c r="JHS11" s="3428"/>
      <c r="JHT11" s="3428"/>
      <c r="JHU11" s="3428"/>
      <c r="JHV11" s="3428"/>
      <c r="JHW11" s="3428"/>
      <c r="JHX11" s="3428"/>
      <c r="JHY11" s="3428"/>
      <c r="JHZ11" s="3428"/>
      <c r="JIA11" s="3428"/>
      <c r="JIB11" s="3428"/>
      <c r="JIC11" s="3428"/>
      <c r="JID11" s="3428"/>
      <c r="JIE11" s="3428"/>
      <c r="JIF11" s="3428"/>
      <c r="JIG11" s="3428"/>
      <c r="JIH11" s="3428"/>
      <c r="JII11" s="3428"/>
      <c r="JIJ11" s="3428"/>
      <c r="JIK11" s="3428"/>
      <c r="JIL11" s="3428"/>
      <c r="JIM11" s="3428"/>
      <c r="JIN11" s="3428"/>
      <c r="JIO11" s="3428"/>
      <c r="JIP11" s="3428"/>
      <c r="JIQ11" s="3428"/>
      <c r="JIR11" s="3428"/>
      <c r="JIS11" s="3428"/>
      <c r="JIT11" s="3428"/>
      <c r="JIU11" s="3428"/>
      <c r="JIV11" s="3428"/>
      <c r="JIW11" s="3428"/>
      <c r="JIX11" s="3428"/>
      <c r="JIY11" s="3428"/>
      <c r="JIZ11" s="3428"/>
      <c r="JJA11" s="3428"/>
      <c r="JJB11" s="3428"/>
      <c r="JJC11" s="3428"/>
      <c r="JJD11" s="3428"/>
      <c r="JJE11" s="3428"/>
      <c r="JJF11" s="3428"/>
      <c r="JJG11" s="3428"/>
      <c r="JJH11" s="3428"/>
      <c r="JJI11" s="3428"/>
      <c r="JJJ11" s="3428"/>
      <c r="JJK11" s="3428"/>
      <c r="JJL11" s="3428"/>
      <c r="JJM11" s="3428"/>
      <c r="JJN11" s="3428"/>
      <c r="JJO11" s="3428"/>
      <c r="JJP11" s="3428"/>
      <c r="JJQ11" s="3428"/>
      <c r="JJR11" s="3428"/>
      <c r="JJS11" s="3428"/>
      <c r="JJT11" s="3428"/>
      <c r="JJU11" s="3428"/>
      <c r="JJV11" s="3428"/>
      <c r="JJW11" s="3428"/>
      <c r="JJX11" s="3428"/>
      <c r="JJY11" s="3428"/>
      <c r="JJZ11" s="3428"/>
      <c r="JKA11" s="3428"/>
      <c r="JKB11" s="3428"/>
      <c r="JKC11" s="3428"/>
      <c r="JKD11" s="3428"/>
      <c r="JKE11" s="3428"/>
      <c r="JKF11" s="3428"/>
      <c r="JKG11" s="3428"/>
      <c r="JKH11" s="3428"/>
      <c r="JKI11" s="3428"/>
      <c r="JKJ11" s="3428"/>
      <c r="JKK11" s="3428"/>
      <c r="JKL11" s="3428"/>
      <c r="JKM11" s="3428"/>
      <c r="JKN11" s="3428"/>
      <c r="JKO11" s="3428"/>
      <c r="JKP11" s="3428"/>
      <c r="JKQ11" s="3428"/>
      <c r="JKR11" s="3428"/>
      <c r="JKS11" s="3428"/>
      <c r="JKT11" s="3428"/>
      <c r="JKU11" s="3428"/>
      <c r="JKV11" s="3428"/>
      <c r="JKW11" s="3428"/>
      <c r="JKX11" s="3428"/>
      <c r="JKY11" s="3428"/>
      <c r="JKZ11" s="3428"/>
      <c r="JLA11" s="3428"/>
      <c r="JLB11" s="3428"/>
      <c r="JLC11" s="3428"/>
      <c r="JLD11" s="3428"/>
      <c r="JLE11" s="3428"/>
      <c r="JLF11" s="3428"/>
      <c r="JLG11" s="3428"/>
      <c r="JLH11" s="3428"/>
      <c r="JLI11" s="3428"/>
      <c r="JLJ11" s="3428"/>
      <c r="JLK11" s="3428"/>
      <c r="JLL11" s="3428"/>
      <c r="JLM11" s="3428"/>
      <c r="JLN11" s="3428"/>
      <c r="JLO11" s="3428"/>
      <c r="JLP11" s="3428"/>
      <c r="JLQ11" s="3428"/>
      <c r="JLR11" s="3428"/>
      <c r="JLS11" s="3428"/>
      <c r="JLT11" s="3428"/>
      <c r="JLU11" s="3428"/>
      <c r="JLV11" s="3428"/>
      <c r="JLW11" s="3428"/>
      <c r="JLX11" s="3428"/>
      <c r="JLY11" s="3428"/>
      <c r="JLZ11" s="3428"/>
      <c r="JMA11" s="3428"/>
      <c r="JMB11" s="3428"/>
      <c r="JMC11" s="3428"/>
      <c r="JMD11" s="3428"/>
      <c r="JME11" s="3428"/>
      <c r="JMF11" s="3428"/>
      <c r="JMG11" s="3428"/>
      <c r="JMH11" s="3428"/>
      <c r="JMI11" s="3428"/>
      <c r="JMJ11" s="3428"/>
      <c r="JMK11" s="3428"/>
      <c r="JML11" s="3428"/>
      <c r="JMM11" s="3428"/>
      <c r="JMN11" s="3428"/>
      <c r="JMO11" s="3428"/>
      <c r="JMP11" s="3428"/>
      <c r="JMQ11" s="3428"/>
      <c r="JMR11" s="3428"/>
      <c r="JMS11" s="3428"/>
      <c r="JMT11" s="3428"/>
      <c r="JMU11" s="3428"/>
      <c r="JMV11" s="3428"/>
      <c r="JMW11" s="3428"/>
      <c r="JMX11" s="3428"/>
      <c r="JMY11" s="3428"/>
      <c r="JMZ11" s="3428"/>
      <c r="JNA11" s="3428"/>
      <c r="JNB11" s="3428"/>
      <c r="JNC11" s="3428"/>
      <c r="JND11" s="3428"/>
      <c r="JNE11" s="3428"/>
      <c r="JNF11" s="3428"/>
      <c r="JNG11" s="3428"/>
      <c r="JNH11" s="3428"/>
      <c r="JNI11" s="3428"/>
      <c r="JNJ11" s="3428"/>
      <c r="JNK11" s="3428"/>
      <c r="JNL11" s="3428"/>
      <c r="JNM11" s="3428"/>
      <c r="JNN11" s="3428"/>
      <c r="JNO11" s="3428"/>
      <c r="JNP11" s="3428"/>
      <c r="JNQ11" s="3428"/>
      <c r="JNR11" s="3428"/>
      <c r="JNS11" s="3428"/>
      <c r="JNT11" s="3428"/>
      <c r="JNU11" s="3428"/>
      <c r="JNV11" s="3428"/>
      <c r="JNW11" s="3428"/>
      <c r="JNX11" s="3428"/>
      <c r="JNY11" s="3428"/>
      <c r="JNZ11" s="3428"/>
      <c r="JOA11" s="3428"/>
      <c r="JOB11" s="3428"/>
      <c r="JOC11" s="3428"/>
      <c r="JOD11" s="3428"/>
      <c r="JOE11" s="3428"/>
      <c r="JOF11" s="3428"/>
      <c r="JOG11" s="3428"/>
      <c r="JOH11" s="3428"/>
      <c r="JOI11" s="3428"/>
      <c r="JOJ11" s="3428"/>
      <c r="JOK11" s="3428"/>
      <c r="JOL11" s="3428"/>
      <c r="JOM11" s="3428"/>
      <c r="JON11" s="3428"/>
      <c r="JOO11" s="3428"/>
      <c r="JOP11" s="3428"/>
      <c r="JOQ11" s="3428"/>
      <c r="JOR11" s="3428"/>
      <c r="JOS11" s="3428"/>
      <c r="JOT11" s="3428"/>
      <c r="JOU11" s="3428"/>
      <c r="JOV11" s="3428"/>
      <c r="JOW11" s="3428"/>
      <c r="JOX11" s="3428"/>
      <c r="JOY11" s="3428"/>
      <c r="JOZ11" s="3428"/>
      <c r="JPA11" s="3428"/>
      <c r="JPB11" s="3428"/>
      <c r="JPC11" s="3428"/>
      <c r="JPD11" s="3428"/>
      <c r="JPE11" s="3428"/>
      <c r="JPF11" s="3428"/>
      <c r="JPG11" s="3428"/>
      <c r="JPH11" s="3428"/>
      <c r="JPI11" s="3428"/>
      <c r="JPJ11" s="3428"/>
      <c r="JPK11" s="3428"/>
      <c r="JPL11" s="3428"/>
      <c r="JPM11" s="3428"/>
      <c r="JPN11" s="3428"/>
      <c r="JPO11" s="3428"/>
      <c r="JPP11" s="3428"/>
      <c r="JPQ11" s="3428"/>
      <c r="JPR11" s="3428"/>
      <c r="JPS11" s="3428"/>
      <c r="JPT11" s="3428"/>
      <c r="JPU11" s="3428"/>
      <c r="JPV11" s="3428"/>
      <c r="JPW11" s="3428"/>
      <c r="JPX11" s="3428"/>
      <c r="JPY11" s="3428"/>
      <c r="JPZ11" s="3428"/>
      <c r="JQA11" s="3428"/>
      <c r="JQB11" s="3428"/>
      <c r="JQC11" s="3428"/>
      <c r="JQD11" s="3428"/>
      <c r="JQE11" s="3428"/>
      <c r="JQF11" s="3428"/>
      <c r="JQG11" s="3428"/>
      <c r="JQH11" s="3428"/>
      <c r="JQI11" s="3428"/>
      <c r="JQJ11" s="3428"/>
      <c r="JQK11" s="3428"/>
      <c r="JQL11" s="3428"/>
      <c r="JQM11" s="3428"/>
      <c r="JQN11" s="3428"/>
      <c r="JQO11" s="3428"/>
      <c r="JQP11" s="3428"/>
      <c r="JQQ11" s="3428"/>
      <c r="JQR11" s="3428"/>
      <c r="JQS11" s="3428"/>
      <c r="JQT11" s="3428"/>
      <c r="JQU11" s="3428"/>
      <c r="JQV11" s="3428"/>
      <c r="JQW11" s="3428"/>
      <c r="JQX11" s="3428"/>
      <c r="JQY11" s="3428"/>
      <c r="JQZ11" s="3428"/>
      <c r="JRA11" s="3428"/>
      <c r="JRB11" s="3428"/>
      <c r="JRC11" s="3428"/>
      <c r="JRD11" s="3428"/>
      <c r="JRE11" s="3428"/>
      <c r="JRF11" s="3428"/>
      <c r="JRG11" s="3428"/>
      <c r="JRH11" s="3428"/>
      <c r="JRI11" s="3428"/>
      <c r="JRJ11" s="3428"/>
      <c r="JRK11" s="3428"/>
      <c r="JRL11" s="3428"/>
      <c r="JRM11" s="3428"/>
      <c r="JRN11" s="3428"/>
      <c r="JRO11" s="3428"/>
      <c r="JRP11" s="3428"/>
      <c r="JRQ11" s="3428"/>
      <c r="JRR11" s="3428"/>
      <c r="JRS11" s="3428"/>
      <c r="JRT11" s="3428"/>
      <c r="JRU11" s="3428"/>
      <c r="JRV11" s="3428"/>
      <c r="JRW11" s="3428"/>
      <c r="JRX11" s="3428"/>
      <c r="JRY11" s="3428"/>
      <c r="JRZ11" s="3428"/>
      <c r="JSA11" s="3428"/>
      <c r="JSB11" s="3428"/>
      <c r="JSC11" s="3428"/>
      <c r="JSD11" s="3428"/>
      <c r="JSE11" s="3428"/>
      <c r="JSF11" s="3428"/>
      <c r="JSG11" s="3428"/>
      <c r="JSH11" s="3428"/>
      <c r="JSI11" s="3428"/>
      <c r="JSJ11" s="3428"/>
      <c r="JSK11" s="3428"/>
      <c r="JSL11" s="3428"/>
      <c r="JSM11" s="3428"/>
      <c r="JSN11" s="3428"/>
      <c r="JSO11" s="3428"/>
      <c r="JSP11" s="3428"/>
      <c r="JSQ11" s="3428"/>
      <c r="JSR11" s="3428"/>
      <c r="JSS11" s="3428"/>
      <c r="JST11" s="3428"/>
      <c r="JSU11" s="3428"/>
      <c r="JSV11" s="3428"/>
      <c r="JSW11" s="3428"/>
      <c r="JSX11" s="3428"/>
      <c r="JSY11" s="3428"/>
      <c r="JSZ11" s="3428"/>
      <c r="JTA11" s="3428"/>
      <c r="JTB11" s="3428"/>
      <c r="JTC11" s="3428"/>
      <c r="JTD11" s="3428"/>
      <c r="JTE11" s="3428"/>
      <c r="JTF11" s="3428"/>
      <c r="JTG11" s="3428"/>
      <c r="JTH11" s="3428"/>
      <c r="JTI11" s="3428"/>
      <c r="JTJ11" s="3428"/>
      <c r="JTK11" s="3428"/>
      <c r="JTL11" s="3428"/>
      <c r="JTM11" s="3428"/>
      <c r="JTN11" s="3428"/>
      <c r="JTO11" s="3428"/>
      <c r="JTP11" s="3428"/>
      <c r="JTQ11" s="3428"/>
      <c r="JTR11" s="3428"/>
      <c r="JTS11" s="3428"/>
      <c r="JTT11" s="3428"/>
      <c r="JTU11" s="3428"/>
      <c r="JTV11" s="3428"/>
      <c r="JTW11" s="3428"/>
      <c r="JTX11" s="3428"/>
      <c r="JTY11" s="3428"/>
      <c r="JTZ11" s="3428"/>
      <c r="JUA11" s="3428"/>
      <c r="JUB11" s="3428"/>
      <c r="JUC11" s="3428"/>
      <c r="JUD11" s="3428"/>
      <c r="JUE11" s="3428"/>
      <c r="JUF11" s="3428"/>
      <c r="JUG11" s="3428"/>
      <c r="JUH11" s="3428"/>
      <c r="JUI11" s="3428"/>
      <c r="JUJ11" s="3428"/>
      <c r="JUK11" s="3428"/>
      <c r="JUL11" s="3428"/>
      <c r="JUM11" s="3428"/>
      <c r="JUN11" s="3428"/>
      <c r="JUO11" s="3428"/>
      <c r="JUP11" s="3428"/>
      <c r="JUQ11" s="3428"/>
      <c r="JUR11" s="3428"/>
      <c r="JUS11" s="3428"/>
      <c r="JUT11" s="3428"/>
      <c r="JUU11" s="3428"/>
      <c r="JUV11" s="3428"/>
      <c r="JUW11" s="3428"/>
      <c r="JUX11" s="3428"/>
      <c r="JUY11" s="3428"/>
      <c r="JUZ11" s="3428"/>
      <c r="JVA11" s="3428"/>
      <c r="JVB11" s="3428"/>
      <c r="JVC11" s="3428"/>
      <c r="JVD11" s="3428"/>
      <c r="JVE11" s="3428"/>
      <c r="JVF11" s="3428"/>
      <c r="JVG11" s="3428"/>
      <c r="JVH11" s="3428"/>
      <c r="JVI11" s="3428"/>
      <c r="JVJ11" s="3428"/>
      <c r="JVK11" s="3428"/>
      <c r="JVL11" s="3428"/>
      <c r="JVM11" s="3428"/>
      <c r="JVN11" s="3428"/>
      <c r="JVO11" s="3428"/>
      <c r="JVP11" s="3428"/>
      <c r="JVQ11" s="3428"/>
      <c r="JVR11" s="3428"/>
      <c r="JVS11" s="3428"/>
      <c r="JVT11" s="3428"/>
      <c r="JVU11" s="3428"/>
      <c r="JVV11" s="3428"/>
      <c r="JVW11" s="3428"/>
      <c r="JVX11" s="3428"/>
      <c r="JVY11" s="3428"/>
      <c r="JVZ11" s="3428"/>
      <c r="JWA11" s="3428"/>
      <c r="JWB11" s="3428"/>
      <c r="JWC11" s="3428"/>
      <c r="JWD11" s="3428"/>
      <c r="JWE11" s="3428"/>
      <c r="JWF11" s="3428"/>
      <c r="JWG11" s="3428"/>
      <c r="JWH11" s="3428"/>
      <c r="JWI11" s="3428"/>
      <c r="JWJ11" s="3428"/>
      <c r="JWK11" s="3428"/>
      <c r="JWL11" s="3428"/>
      <c r="JWM11" s="3428"/>
      <c r="JWN11" s="3428"/>
      <c r="JWO11" s="3428"/>
      <c r="JWP11" s="3428"/>
      <c r="JWQ11" s="3428"/>
      <c r="JWR11" s="3428"/>
      <c r="JWS11" s="3428"/>
      <c r="JWT11" s="3428"/>
      <c r="JWU11" s="3428"/>
      <c r="JWV11" s="3428"/>
      <c r="JWW11" s="3428"/>
      <c r="JWX11" s="3428"/>
      <c r="JWY11" s="3428"/>
      <c r="JWZ11" s="3428"/>
      <c r="JXA11" s="3428"/>
      <c r="JXB11" s="3428"/>
      <c r="JXC11" s="3428"/>
      <c r="JXD11" s="3428"/>
      <c r="JXE11" s="3428"/>
      <c r="JXF11" s="3428"/>
      <c r="JXG11" s="3428"/>
      <c r="JXH11" s="3428"/>
      <c r="JXI11" s="3428"/>
      <c r="JXJ11" s="3428"/>
      <c r="JXK11" s="3428"/>
      <c r="JXL11" s="3428"/>
      <c r="JXM11" s="3428"/>
      <c r="JXN11" s="3428"/>
      <c r="JXO11" s="3428"/>
      <c r="JXP11" s="3428"/>
      <c r="JXQ11" s="3428"/>
      <c r="JXR11" s="3428"/>
      <c r="JXS11" s="3428"/>
      <c r="JXT11" s="3428"/>
      <c r="JXU11" s="3428"/>
      <c r="JXV11" s="3428"/>
      <c r="JXW11" s="3428"/>
      <c r="JXX11" s="3428"/>
      <c r="JXY11" s="3428"/>
      <c r="JXZ11" s="3428"/>
      <c r="JYA11" s="3428"/>
      <c r="JYB11" s="3428"/>
      <c r="JYC11" s="3428"/>
      <c r="JYD11" s="3428"/>
      <c r="JYE11" s="3428"/>
      <c r="JYF11" s="3428"/>
      <c r="JYG11" s="3428"/>
      <c r="JYH11" s="3428"/>
      <c r="JYI11" s="3428"/>
      <c r="JYJ11" s="3428"/>
      <c r="JYK11" s="3428"/>
      <c r="JYL11" s="3428"/>
      <c r="JYM11" s="3428"/>
      <c r="JYN11" s="3428"/>
      <c r="JYO11" s="3428"/>
      <c r="JYP11" s="3428"/>
      <c r="JYQ11" s="3428"/>
      <c r="JYR11" s="3428"/>
      <c r="JYS11" s="3428"/>
      <c r="JYT11" s="3428"/>
      <c r="JYU11" s="3428"/>
      <c r="JYV11" s="3428"/>
      <c r="JYW11" s="3428"/>
      <c r="JYX11" s="3428"/>
      <c r="JYY11" s="3428"/>
      <c r="JYZ11" s="3428"/>
      <c r="JZA11" s="3428"/>
      <c r="JZB11" s="3428"/>
      <c r="JZC11" s="3428"/>
      <c r="JZD11" s="3428"/>
      <c r="JZE11" s="3428"/>
      <c r="JZF11" s="3428"/>
      <c r="JZG11" s="3428"/>
      <c r="JZH11" s="3428"/>
      <c r="JZI11" s="3428"/>
      <c r="JZJ11" s="3428"/>
      <c r="JZK11" s="3428"/>
      <c r="JZL11" s="3428"/>
      <c r="JZM11" s="3428"/>
      <c r="JZN11" s="3428"/>
      <c r="JZO11" s="3428"/>
      <c r="JZP11" s="3428"/>
      <c r="JZQ11" s="3428"/>
      <c r="JZR11" s="3428"/>
      <c r="JZS11" s="3428"/>
      <c r="JZT11" s="3428"/>
      <c r="JZU11" s="3428"/>
      <c r="JZV11" s="3428"/>
      <c r="JZW11" s="3428"/>
      <c r="JZX11" s="3428"/>
      <c r="JZY11" s="3428"/>
      <c r="JZZ11" s="3428"/>
      <c r="KAA11" s="3428"/>
      <c r="KAB11" s="3428"/>
      <c r="KAC11" s="3428"/>
      <c r="KAD11" s="3428"/>
      <c r="KAE11" s="3428"/>
      <c r="KAF11" s="3428"/>
      <c r="KAG11" s="3428"/>
      <c r="KAH11" s="3428"/>
      <c r="KAI11" s="3428"/>
      <c r="KAJ11" s="3428"/>
      <c r="KAK11" s="3428"/>
      <c r="KAL11" s="3428"/>
      <c r="KAM11" s="3428"/>
      <c r="KAN11" s="3428"/>
      <c r="KAO11" s="3428"/>
      <c r="KAP11" s="3428"/>
      <c r="KAQ11" s="3428"/>
      <c r="KAR11" s="3428"/>
      <c r="KAS11" s="3428"/>
      <c r="KAT11" s="3428"/>
      <c r="KAU11" s="3428"/>
      <c r="KAV11" s="3428"/>
      <c r="KAW11" s="3428"/>
      <c r="KAX11" s="3428"/>
      <c r="KAY11" s="3428"/>
      <c r="KAZ11" s="3428"/>
      <c r="KBA11" s="3428"/>
      <c r="KBB11" s="3428"/>
      <c r="KBC11" s="3428"/>
      <c r="KBD11" s="3428"/>
      <c r="KBE11" s="3428"/>
      <c r="KBF11" s="3428"/>
      <c r="KBG11" s="3428"/>
      <c r="KBH11" s="3428"/>
      <c r="KBI11" s="3428"/>
      <c r="KBJ11" s="3428"/>
      <c r="KBK11" s="3428"/>
      <c r="KBL11" s="3428"/>
      <c r="KBM11" s="3428"/>
      <c r="KBN11" s="3428"/>
      <c r="KBO11" s="3428"/>
      <c r="KBP11" s="3428"/>
      <c r="KBQ11" s="3428"/>
      <c r="KBR11" s="3428"/>
      <c r="KBS11" s="3428"/>
      <c r="KBT11" s="3428"/>
      <c r="KBU11" s="3428"/>
      <c r="KBV11" s="3428"/>
      <c r="KBW11" s="3428"/>
      <c r="KBX11" s="3428"/>
      <c r="KBY11" s="3428"/>
      <c r="KBZ11" s="3428"/>
      <c r="KCA11" s="3428"/>
      <c r="KCB11" s="3428"/>
      <c r="KCC11" s="3428"/>
      <c r="KCD11" s="3428"/>
      <c r="KCE11" s="3428"/>
      <c r="KCF11" s="3428"/>
      <c r="KCG11" s="3428"/>
      <c r="KCH11" s="3428"/>
      <c r="KCI11" s="3428"/>
      <c r="KCJ11" s="3428"/>
      <c r="KCK11" s="3428"/>
      <c r="KCL11" s="3428"/>
      <c r="KCM11" s="3428"/>
      <c r="KCN11" s="3428"/>
      <c r="KCO11" s="3428"/>
      <c r="KCP11" s="3428"/>
      <c r="KCQ11" s="3428"/>
      <c r="KCR11" s="3428"/>
      <c r="KCS11" s="3428"/>
      <c r="KCT11" s="3428"/>
      <c r="KCU11" s="3428"/>
      <c r="KCV11" s="3428"/>
      <c r="KCW11" s="3428"/>
      <c r="KCX11" s="3428"/>
      <c r="KCY11" s="3428"/>
      <c r="KCZ11" s="3428"/>
      <c r="KDA11" s="3428"/>
      <c r="KDB11" s="3428"/>
      <c r="KDC11" s="3428"/>
      <c r="KDD11" s="3428"/>
      <c r="KDE11" s="3428"/>
      <c r="KDF11" s="3428"/>
      <c r="KDG11" s="3428"/>
      <c r="KDH11" s="3428"/>
      <c r="KDI11" s="3428"/>
      <c r="KDJ11" s="3428"/>
      <c r="KDK11" s="3428"/>
      <c r="KDL11" s="3428"/>
      <c r="KDM11" s="3428"/>
      <c r="KDN11" s="3428"/>
      <c r="KDO11" s="3428"/>
      <c r="KDP11" s="3428"/>
      <c r="KDQ11" s="3428"/>
      <c r="KDR11" s="3428"/>
      <c r="KDS11" s="3428"/>
      <c r="KDT11" s="3428"/>
      <c r="KDU11" s="3428"/>
      <c r="KDV11" s="3428"/>
      <c r="KDW11" s="3428"/>
      <c r="KDX11" s="3428"/>
      <c r="KDY11" s="3428"/>
      <c r="KDZ11" s="3428"/>
      <c r="KEA11" s="3428"/>
      <c r="KEB11" s="3428"/>
      <c r="KEC11" s="3428"/>
      <c r="KED11" s="3428"/>
      <c r="KEE11" s="3428"/>
      <c r="KEF11" s="3428"/>
      <c r="KEG11" s="3428"/>
      <c r="KEH11" s="3428"/>
      <c r="KEI11" s="3428"/>
      <c r="KEJ11" s="3428"/>
      <c r="KEK11" s="3428"/>
      <c r="KEL11" s="3428"/>
      <c r="KEM11" s="3428"/>
      <c r="KEN11" s="3428"/>
      <c r="KEO11" s="3428"/>
      <c r="KEP11" s="3428"/>
      <c r="KEQ11" s="3428"/>
      <c r="KER11" s="3428"/>
      <c r="KES11" s="3428"/>
      <c r="KET11" s="3428"/>
      <c r="KEU11" s="3428"/>
      <c r="KEV11" s="3428"/>
      <c r="KEW11" s="3428"/>
      <c r="KEX11" s="3428"/>
      <c r="KEY11" s="3428"/>
      <c r="KEZ11" s="3428"/>
      <c r="KFA11" s="3428"/>
      <c r="KFB11" s="3428"/>
      <c r="KFC11" s="3428"/>
      <c r="KFD11" s="3428"/>
      <c r="KFE11" s="3428"/>
      <c r="KFF11" s="3428"/>
      <c r="KFG11" s="3428"/>
      <c r="KFH11" s="3428"/>
      <c r="KFI11" s="3428"/>
      <c r="KFJ11" s="3428"/>
      <c r="KFK11" s="3428"/>
      <c r="KFL11" s="3428"/>
      <c r="KFM11" s="3428"/>
      <c r="KFN11" s="3428"/>
      <c r="KFO11" s="3428"/>
      <c r="KFP11" s="3428"/>
      <c r="KFQ11" s="3428"/>
      <c r="KFR11" s="3428"/>
      <c r="KFS11" s="3428"/>
      <c r="KFT11" s="3428"/>
      <c r="KFU11" s="3428"/>
      <c r="KFV11" s="3428"/>
      <c r="KFW11" s="3428"/>
      <c r="KFX11" s="3428"/>
      <c r="KFY11" s="3428"/>
      <c r="KFZ11" s="3428"/>
      <c r="KGA11" s="3428"/>
      <c r="KGB11" s="3428"/>
      <c r="KGC11" s="3428"/>
      <c r="KGD11" s="3428"/>
      <c r="KGE11" s="3428"/>
      <c r="KGF11" s="3428"/>
      <c r="KGG11" s="3428"/>
      <c r="KGH11" s="3428"/>
      <c r="KGI11" s="3428"/>
      <c r="KGJ11" s="3428"/>
      <c r="KGK11" s="3428"/>
      <c r="KGL11" s="3428"/>
      <c r="KGM11" s="3428"/>
      <c r="KGN11" s="3428"/>
      <c r="KGO11" s="3428"/>
      <c r="KGP11" s="3428"/>
      <c r="KGQ11" s="3428"/>
      <c r="KGR11" s="3428"/>
      <c r="KGS11" s="3428"/>
      <c r="KGT11" s="3428"/>
      <c r="KGU11" s="3428"/>
      <c r="KGV11" s="3428"/>
      <c r="KGW11" s="3428"/>
      <c r="KGX11" s="3428"/>
      <c r="KGY11" s="3428"/>
      <c r="KGZ11" s="3428"/>
      <c r="KHA11" s="3428"/>
      <c r="KHB11" s="3428"/>
      <c r="KHC11" s="3428"/>
      <c r="KHD11" s="3428"/>
      <c r="KHE11" s="3428"/>
      <c r="KHF11" s="3428"/>
      <c r="KHG11" s="3428"/>
      <c r="KHH11" s="3428"/>
      <c r="KHI11" s="3428"/>
      <c r="KHJ11" s="3428"/>
      <c r="KHK11" s="3428"/>
      <c r="KHL11" s="3428"/>
      <c r="KHM11" s="3428"/>
      <c r="KHN11" s="3428"/>
      <c r="KHO11" s="3428"/>
      <c r="KHP11" s="3428"/>
      <c r="KHQ11" s="3428"/>
      <c r="KHR11" s="3428"/>
      <c r="KHS11" s="3428"/>
      <c r="KHT11" s="3428"/>
      <c r="KHU11" s="3428"/>
      <c r="KHV11" s="3428"/>
      <c r="KHW11" s="3428"/>
      <c r="KHX11" s="3428"/>
      <c r="KHY11" s="3428"/>
      <c r="KHZ11" s="3428"/>
      <c r="KIA11" s="3428"/>
      <c r="KIB11" s="3428"/>
      <c r="KIC11" s="3428"/>
      <c r="KID11" s="3428"/>
      <c r="KIE11" s="3428"/>
      <c r="KIF11" s="3428"/>
      <c r="KIG11" s="3428"/>
      <c r="KIH11" s="3428"/>
      <c r="KII11" s="3428"/>
      <c r="KIJ11" s="3428"/>
      <c r="KIK11" s="3428"/>
      <c r="KIL11" s="3428"/>
      <c r="KIM11" s="3428"/>
      <c r="KIN11" s="3428"/>
      <c r="KIO11" s="3428"/>
      <c r="KIP11" s="3428"/>
      <c r="KIQ11" s="3428"/>
      <c r="KIR11" s="3428"/>
      <c r="KIS11" s="3428"/>
      <c r="KIT11" s="3428"/>
      <c r="KIU11" s="3428"/>
      <c r="KIV11" s="3428"/>
      <c r="KIW11" s="3428"/>
      <c r="KIX11" s="3428"/>
      <c r="KIY11" s="3428"/>
      <c r="KIZ11" s="3428"/>
      <c r="KJA11" s="3428"/>
      <c r="KJB11" s="3428"/>
      <c r="KJC11" s="3428"/>
      <c r="KJD11" s="3428"/>
      <c r="KJE11" s="3428"/>
      <c r="KJF11" s="3428"/>
      <c r="KJG11" s="3428"/>
      <c r="KJH11" s="3428"/>
      <c r="KJI11" s="3428"/>
      <c r="KJJ11" s="3428"/>
      <c r="KJK11" s="3428"/>
      <c r="KJL11" s="3428"/>
      <c r="KJM11" s="3428"/>
      <c r="KJN11" s="3428"/>
      <c r="KJO11" s="3428"/>
      <c r="KJP11" s="3428"/>
      <c r="KJQ11" s="3428"/>
      <c r="KJR11" s="3428"/>
      <c r="KJS11" s="3428"/>
      <c r="KJT11" s="3428"/>
      <c r="KJU11" s="3428"/>
      <c r="KJV11" s="3428"/>
      <c r="KJW11" s="3428"/>
      <c r="KJX11" s="3428"/>
      <c r="KJY11" s="3428"/>
      <c r="KJZ11" s="3428"/>
      <c r="KKA11" s="3428"/>
      <c r="KKB11" s="3428"/>
      <c r="KKC11" s="3428"/>
      <c r="KKD11" s="3428"/>
      <c r="KKE11" s="3428"/>
      <c r="KKF11" s="3428"/>
      <c r="KKG11" s="3428"/>
      <c r="KKH11" s="3428"/>
      <c r="KKI11" s="3428"/>
      <c r="KKJ11" s="3428"/>
      <c r="KKK11" s="3428"/>
      <c r="KKL11" s="3428"/>
      <c r="KKM11" s="3428"/>
      <c r="KKN11" s="3428"/>
      <c r="KKO11" s="3428"/>
      <c r="KKP11" s="3428"/>
      <c r="KKQ11" s="3428"/>
      <c r="KKR11" s="3428"/>
      <c r="KKS11" s="3428"/>
      <c r="KKT11" s="3428"/>
      <c r="KKU11" s="3428"/>
      <c r="KKV11" s="3428"/>
      <c r="KKW11" s="3428"/>
      <c r="KKX11" s="3428"/>
      <c r="KKY11" s="3428"/>
      <c r="KKZ11" s="3428"/>
      <c r="KLA11" s="3428"/>
      <c r="KLB11" s="3428"/>
      <c r="KLC11" s="3428"/>
      <c r="KLD11" s="3428"/>
      <c r="KLE11" s="3428"/>
      <c r="KLF11" s="3428"/>
      <c r="KLG11" s="3428"/>
      <c r="KLH11" s="3428"/>
      <c r="KLI11" s="3428"/>
      <c r="KLJ11" s="3428"/>
      <c r="KLK11" s="3428"/>
      <c r="KLL11" s="3428"/>
      <c r="KLM11" s="3428"/>
      <c r="KLN11" s="3428"/>
      <c r="KLO11" s="3428"/>
      <c r="KLP11" s="3428"/>
      <c r="KLQ11" s="3428"/>
      <c r="KLR11" s="3428"/>
      <c r="KLS11" s="3428"/>
      <c r="KLT11" s="3428"/>
      <c r="KLU11" s="3428"/>
      <c r="KLV11" s="3428"/>
      <c r="KLW11" s="3428"/>
      <c r="KLX11" s="3428"/>
      <c r="KLY11" s="3428"/>
      <c r="KLZ11" s="3428"/>
      <c r="KMA11" s="3428"/>
      <c r="KMB11" s="3428"/>
      <c r="KMC11" s="3428"/>
      <c r="KMD11" s="3428"/>
      <c r="KME11" s="3428"/>
      <c r="KMF11" s="3428"/>
      <c r="KMG11" s="3428"/>
      <c r="KMH11" s="3428"/>
      <c r="KMI11" s="3428"/>
      <c r="KMJ11" s="3428"/>
      <c r="KMK11" s="3428"/>
      <c r="KML11" s="3428"/>
      <c r="KMM11" s="3428"/>
      <c r="KMN11" s="3428"/>
      <c r="KMO11" s="3428"/>
      <c r="KMP11" s="3428"/>
      <c r="KMQ11" s="3428"/>
      <c r="KMR11" s="3428"/>
      <c r="KMS11" s="3428"/>
      <c r="KMT11" s="3428"/>
      <c r="KMU11" s="3428"/>
      <c r="KMV11" s="3428"/>
      <c r="KMW11" s="3428"/>
      <c r="KMX11" s="3428"/>
      <c r="KMY11" s="3428"/>
      <c r="KMZ11" s="3428"/>
      <c r="KNA11" s="3428"/>
      <c r="KNB11" s="3428"/>
      <c r="KNC11" s="3428"/>
      <c r="KND11" s="3428"/>
      <c r="KNE11" s="3428"/>
      <c r="KNF11" s="3428"/>
      <c r="KNG11" s="3428"/>
      <c r="KNH11" s="3428"/>
      <c r="KNI11" s="3428"/>
      <c r="KNJ11" s="3428"/>
      <c r="KNK11" s="3428"/>
      <c r="KNL11" s="3428"/>
      <c r="KNM11" s="3428"/>
      <c r="KNN11" s="3428"/>
      <c r="KNO11" s="3428"/>
      <c r="KNP11" s="3428"/>
      <c r="KNQ11" s="3428"/>
      <c r="KNR11" s="3428"/>
      <c r="KNS11" s="3428"/>
      <c r="KNT11" s="3428"/>
      <c r="KNU11" s="3428"/>
      <c r="KNV11" s="3428"/>
      <c r="KNW11" s="3428"/>
      <c r="KNX11" s="3428"/>
      <c r="KNY11" s="3428"/>
      <c r="KNZ11" s="3428"/>
      <c r="KOA11" s="3428"/>
      <c r="KOB11" s="3428"/>
      <c r="KOC11" s="3428"/>
      <c r="KOD11" s="3428"/>
      <c r="KOE11" s="3428"/>
      <c r="KOF11" s="3428"/>
      <c r="KOG11" s="3428"/>
      <c r="KOH11" s="3428"/>
      <c r="KOI11" s="3428"/>
      <c r="KOJ11" s="3428"/>
      <c r="KOK11" s="3428"/>
      <c r="KOL11" s="3428"/>
      <c r="KOM11" s="3428"/>
      <c r="KON11" s="3428"/>
      <c r="KOO11" s="3428"/>
      <c r="KOP11" s="3428"/>
      <c r="KOQ11" s="3428"/>
      <c r="KOR11" s="3428"/>
      <c r="KOS11" s="3428"/>
      <c r="KOT11" s="3428"/>
      <c r="KOU11" s="3428"/>
      <c r="KOV11" s="3428"/>
      <c r="KOW11" s="3428"/>
      <c r="KOX11" s="3428"/>
      <c r="KOY11" s="3428"/>
      <c r="KOZ11" s="3428"/>
      <c r="KPA11" s="3428"/>
      <c r="KPB11" s="3428"/>
      <c r="KPC11" s="3428"/>
      <c r="KPD11" s="3428"/>
      <c r="KPE11" s="3428"/>
      <c r="KPF11" s="3428"/>
      <c r="KPG11" s="3428"/>
      <c r="KPH11" s="3428"/>
      <c r="KPI11" s="3428"/>
      <c r="KPJ11" s="3428"/>
      <c r="KPK11" s="3428"/>
      <c r="KPL11" s="3428"/>
      <c r="KPM11" s="3428"/>
      <c r="KPN11" s="3428"/>
      <c r="KPO11" s="3428"/>
      <c r="KPP11" s="3428"/>
      <c r="KPQ11" s="3428"/>
      <c r="KPR11" s="3428"/>
      <c r="KPS11" s="3428"/>
      <c r="KPT11" s="3428"/>
      <c r="KPU11" s="3428"/>
      <c r="KPV11" s="3428"/>
      <c r="KPW11" s="3428"/>
      <c r="KPX11" s="3428"/>
      <c r="KPY11" s="3428"/>
      <c r="KPZ11" s="3428"/>
      <c r="KQA11" s="3428"/>
      <c r="KQB11" s="3428"/>
      <c r="KQC11" s="3428"/>
      <c r="KQD11" s="3428"/>
      <c r="KQE11" s="3428"/>
      <c r="KQF11" s="3428"/>
      <c r="KQG11" s="3428"/>
      <c r="KQH11" s="3428"/>
      <c r="KQI11" s="3428"/>
      <c r="KQJ11" s="3428"/>
      <c r="KQK11" s="3428"/>
      <c r="KQL11" s="3428"/>
      <c r="KQM11" s="3428"/>
      <c r="KQN11" s="3428"/>
      <c r="KQO11" s="3428"/>
      <c r="KQP11" s="3428"/>
      <c r="KQQ11" s="3428"/>
      <c r="KQR11" s="3428"/>
      <c r="KQS11" s="3428"/>
      <c r="KQT11" s="3428"/>
      <c r="KQU11" s="3428"/>
      <c r="KQV11" s="3428"/>
      <c r="KQW11" s="3428"/>
      <c r="KQX11" s="3428"/>
      <c r="KQY11" s="3428"/>
      <c r="KQZ11" s="3428"/>
      <c r="KRA11" s="3428"/>
      <c r="KRB11" s="3428"/>
      <c r="KRC11" s="3428"/>
      <c r="KRD11" s="3428"/>
      <c r="KRE11" s="3428"/>
      <c r="KRF11" s="3428"/>
      <c r="KRG11" s="3428"/>
      <c r="KRH11" s="3428"/>
      <c r="KRI11" s="3428"/>
      <c r="KRJ11" s="3428"/>
      <c r="KRK11" s="3428"/>
      <c r="KRL11" s="3428"/>
      <c r="KRM11" s="3428"/>
      <c r="KRN11" s="3428"/>
      <c r="KRO11" s="3428"/>
      <c r="KRP11" s="3428"/>
      <c r="KRQ11" s="3428"/>
      <c r="KRR11" s="3428"/>
      <c r="KRS11" s="3428"/>
      <c r="KRT11" s="3428"/>
      <c r="KRU11" s="3428"/>
      <c r="KRV11" s="3428"/>
      <c r="KRW11" s="3428"/>
      <c r="KRX11" s="3428"/>
      <c r="KRY11" s="3428"/>
      <c r="KRZ11" s="3428"/>
      <c r="KSA11" s="3428"/>
      <c r="KSB11" s="3428"/>
      <c r="KSC11" s="3428"/>
      <c r="KSD11" s="3428"/>
      <c r="KSE11" s="3428"/>
      <c r="KSF11" s="3428"/>
      <c r="KSG11" s="3428"/>
      <c r="KSH11" s="3428"/>
      <c r="KSI11" s="3428"/>
      <c r="KSJ11" s="3428"/>
      <c r="KSK11" s="3428"/>
      <c r="KSL11" s="3428"/>
      <c r="KSM11" s="3428"/>
      <c r="KSN11" s="3428"/>
      <c r="KSO11" s="3428"/>
      <c r="KSP11" s="3428"/>
      <c r="KSQ11" s="3428"/>
      <c r="KSR11" s="3428"/>
      <c r="KSS11" s="3428"/>
      <c r="KST11" s="3428"/>
      <c r="KSU11" s="3428"/>
      <c r="KSV11" s="3428"/>
      <c r="KSW11" s="3428"/>
      <c r="KSX11" s="3428"/>
      <c r="KSY11" s="3428"/>
      <c r="KSZ11" s="3428"/>
      <c r="KTA11" s="3428"/>
      <c r="KTB11" s="3428"/>
      <c r="KTC11" s="3428"/>
      <c r="KTD11" s="3428"/>
      <c r="KTE11" s="3428"/>
      <c r="KTF11" s="3428"/>
      <c r="KTG11" s="3428"/>
      <c r="KTH11" s="3428"/>
      <c r="KTI11" s="3428"/>
      <c r="KTJ11" s="3428"/>
      <c r="KTK11" s="3428"/>
      <c r="KTL11" s="3428"/>
      <c r="KTM11" s="3428"/>
      <c r="KTN11" s="3428"/>
      <c r="KTO11" s="3428"/>
      <c r="KTP11" s="3428"/>
      <c r="KTQ11" s="3428"/>
      <c r="KTR11" s="3428"/>
      <c r="KTS11" s="3428"/>
      <c r="KTT11" s="3428"/>
      <c r="KTU11" s="3428"/>
      <c r="KTV11" s="3428"/>
      <c r="KTW11" s="3428"/>
      <c r="KTX11" s="3428"/>
      <c r="KTY11" s="3428"/>
      <c r="KTZ11" s="3428"/>
      <c r="KUA11" s="3428"/>
      <c r="KUB11" s="3428"/>
      <c r="KUC11" s="3428"/>
      <c r="KUD11" s="3428"/>
      <c r="KUE11" s="3428"/>
      <c r="KUF11" s="3428"/>
      <c r="KUG11" s="3428"/>
      <c r="KUH11" s="3428"/>
      <c r="KUI11" s="3428"/>
      <c r="KUJ11" s="3428"/>
      <c r="KUK11" s="3428"/>
      <c r="KUL11" s="3428"/>
      <c r="KUM11" s="3428"/>
      <c r="KUN11" s="3428"/>
      <c r="KUO11" s="3428"/>
      <c r="KUP11" s="3428"/>
      <c r="KUQ11" s="3428"/>
      <c r="KUR11" s="3428"/>
      <c r="KUS11" s="3428"/>
      <c r="KUT11" s="3428"/>
      <c r="KUU11" s="3428"/>
      <c r="KUV11" s="3428"/>
      <c r="KUW11" s="3428"/>
      <c r="KUX11" s="3428"/>
      <c r="KUY11" s="3428"/>
      <c r="KUZ11" s="3428"/>
      <c r="KVA11" s="3428"/>
      <c r="KVB11" s="3428"/>
      <c r="KVC11" s="3428"/>
      <c r="KVD11" s="3428"/>
      <c r="KVE11" s="3428"/>
      <c r="KVF11" s="3428"/>
      <c r="KVG11" s="3428"/>
      <c r="KVH11" s="3428"/>
      <c r="KVI11" s="3428"/>
      <c r="KVJ11" s="3428"/>
      <c r="KVK11" s="3428"/>
      <c r="KVL11" s="3428"/>
      <c r="KVM11" s="3428"/>
      <c r="KVN11" s="3428"/>
      <c r="KVO11" s="3428"/>
      <c r="KVP11" s="3428"/>
      <c r="KVQ11" s="3428"/>
      <c r="KVR11" s="3428"/>
      <c r="KVS11" s="3428"/>
      <c r="KVT11" s="3428"/>
      <c r="KVU11" s="3428"/>
      <c r="KVV11" s="3428"/>
      <c r="KVW11" s="3428"/>
      <c r="KVX11" s="3428"/>
      <c r="KVY11" s="3428"/>
      <c r="KVZ11" s="3428"/>
      <c r="KWA11" s="3428"/>
      <c r="KWB11" s="3428"/>
      <c r="KWC11" s="3428"/>
      <c r="KWD11" s="3428"/>
      <c r="KWE11" s="3428"/>
      <c r="KWF11" s="3428"/>
      <c r="KWG11" s="3428"/>
      <c r="KWH11" s="3428"/>
      <c r="KWI11" s="3428"/>
      <c r="KWJ11" s="3428"/>
      <c r="KWK11" s="3428"/>
      <c r="KWL11" s="3428"/>
      <c r="KWM11" s="3428"/>
      <c r="KWN11" s="3428"/>
      <c r="KWO11" s="3428"/>
      <c r="KWP11" s="3428"/>
      <c r="KWQ11" s="3428"/>
      <c r="KWR11" s="3428"/>
      <c r="KWS11" s="3428"/>
      <c r="KWT11" s="3428"/>
      <c r="KWU11" s="3428"/>
      <c r="KWV11" s="3428"/>
      <c r="KWW11" s="3428"/>
      <c r="KWX11" s="3428"/>
      <c r="KWY11" s="3428"/>
      <c r="KWZ11" s="3428"/>
      <c r="KXA11" s="3428"/>
      <c r="KXB11" s="3428"/>
      <c r="KXC11" s="3428"/>
      <c r="KXD11" s="3428"/>
      <c r="KXE11" s="3428"/>
      <c r="KXF11" s="3428"/>
      <c r="KXG11" s="3428"/>
      <c r="KXH11" s="3428"/>
      <c r="KXI11" s="3428"/>
      <c r="KXJ11" s="3428"/>
      <c r="KXK11" s="3428"/>
      <c r="KXL11" s="3428"/>
      <c r="KXM11" s="3428"/>
      <c r="KXN11" s="3428"/>
      <c r="KXO11" s="3428"/>
      <c r="KXP11" s="3428"/>
      <c r="KXQ11" s="3428"/>
      <c r="KXR11" s="3428"/>
      <c r="KXS11" s="3428"/>
      <c r="KXT11" s="3428"/>
      <c r="KXU11" s="3428"/>
      <c r="KXV11" s="3428"/>
      <c r="KXW11" s="3428"/>
      <c r="KXX11" s="3428"/>
      <c r="KXY11" s="3428"/>
      <c r="KXZ11" s="3428"/>
      <c r="KYA11" s="3428"/>
      <c r="KYB11" s="3428"/>
      <c r="KYC11" s="3428"/>
      <c r="KYD11" s="3428"/>
      <c r="KYE11" s="3428"/>
      <c r="KYF11" s="3428"/>
      <c r="KYG11" s="3428"/>
      <c r="KYH11" s="3428"/>
      <c r="KYI11" s="3428"/>
      <c r="KYJ11" s="3428"/>
      <c r="KYK11" s="3428"/>
      <c r="KYL11" s="3428"/>
      <c r="KYM11" s="3428"/>
      <c r="KYN11" s="3428"/>
      <c r="KYO11" s="3428"/>
      <c r="KYP11" s="3428"/>
      <c r="KYQ11" s="3428"/>
      <c r="KYR11" s="3428"/>
      <c r="KYS11" s="3428"/>
      <c r="KYT11" s="3428"/>
      <c r="KYU11" s="3428"/>
      <c r="KYV11" s="3428"/>
      <c r="KYW11" s="3428"/>
      <c r="KYX11" s="3428"/>
      <c r="KYY11" s="3428"/>
      <c r="KYZ11" s="3428"/>
      <c r="KZA11" s="3428"/>
      <c r="KZB11" s="3428"/>
      <c r="KZC11" s="3428"/>
      <c r="KZD11" s="3428"/>
      <c r="KZE11" s="3428"/>
      <c r="KZF11" s="3428"/>
      <c r="KZG11" s="3428"/>
      <c r="KZH11" s="3428"/>
      <c r="KZI11" s="3428"/>
      <c r="KZJ11" s="3428"/>
      <c r="KZK11" s="3428"/>
      <c r="KZL11" s="3428"/>
      <c r="KZM11" s="3428"/>
      <c r="KZN11" s="3428"/>
      <c r="KZO11" s="3428"/>
      <c r="KZP11" s="3428"/>
      <c r="KZQ11" s="3428"/>
      <c r="KZR11" s="3428"/>
      <c r="KZS11" s="3428"/>
      <c r="KZT11" s="3428"/>
      <c r="KZU11" s="3428"/>
      <c r="KZV11" s="3428"/>
      <c r="KZW11" s="3428"/>
      <c r="KZX11" s="3428"/>
      <c r="KZY11" s="3428"/>
      <c r="KZZ11" s="3428"/>
      <c r="LAA11" s="3428"/>
      <c r="LAB11" s="3428"/>
      <c r="LAC11" s="3428"/>
      <c r="LAD11" s="3428"/>
      <c r="LAE11" s="3428"/>
      <c r="LAF11" s="3428"/>
      <c r="LAG11" s="3428"/>
      <c r="LAH11" s="3428"/>
      <c r="LAI11" s="3428"/>
      <c r="LAJ11" s="3428"/>
      <c r="LAK11" s="3428"/>
      <c r="LAL11" s="3428"/>
      <c r="LAM11" s="3428"/>
      <c r="LAN11" s="3428"/>
      <c r="LAO11" s="3428"/>
      <c r="LAP11" s="3428"/>
      <c r="LAQ11" s="3428"/>
      <c r="LAR11" s="3428"/>
      <c r="LAS11" s="3428"/>
      <c r="LAT11" s="3428"/>
      <c r="LAU11" s="3428"/>
      <c r="LAV11" s="3428"/>
      <c r="LAW11" s="3428"/>
      <c r="LAX11" s="3428"/>
      <c r="LAY11" s="3428"/>
      <c r="LAZ11" s="3428"/>
      <c r="LBA11" s="3428"/>
      <c r="LBB11" s="3428"/>
      <c r="LBC11" s="3428"/>
      <c r="LBD11" s="3428"/>
      <c r="LBE11" s="3428"/>
      <c r="LBF11" s="3428"/>
      <c r="LBG11" s="3428"/>
      <c r="LBH11" s="3428"/>
      <c r="LBI11" s="3428"/>
      <c r="LBJ11" s="3428"/>
      <c r="LBK11" s="3428"/>
      <c r="LBL11" s="3428"/>
      <c r="LBM11" s="3428"/>
      <c r="LBN11" s="3428"/>
      <c r="LBO11" s="3428"/>
      <c r="LBP11" s="3428"/>
      <c r="LBQ11" s="3428"/>
      <c r="LBR11" s="3428"/>
      <c r="LBS11" s="3428"/>
      <c r="LBT11" s="3428"/>
      <c r="LBU11" s="3428"/>
      <c r="LBV11" s="3428"/>
      <c r="LBW11" s="3428"/>
      <c r="LBX11" s="3428"/>
      <c r="LBY11" s="3428"/>
      <c r="LBZ11" s="3428"/>
      <c r="LCA11" s="3428"/>
      <c r="LCB11" s="3428"/>
      <c r="LCC11" s="3428"/>
      <c r="LCD11" s="3428"/>
      <c r="LCE11" s="3428"/>
      <c r="LCF11" s="3428"/>
      <c r="LCG11" s="3428"/>
      <c r="LCH11" s="3428"/>
      <c r="LCI11" s="3428"/>
      <c r="LCJ11" s="3428"/>
      <c r="LCK11" s="3428"/>
      <c r="LCL11" s="3428"/>
      <c r="LCM11" s="3428"/>
      <c r="LCN11" s="3428"/>
      <c r="LCO11" s="3428"/>
      <c r="LCP11" s="3428"/>
      <c r="LCQ11" s="3428"/>
      <c r="LCR11" s="3428"/>
      <c r="LCS11" s="3428"/>
      <c r="LCT11" s="3428"/>
      <c r="LCU11" s="3428"/>
      <c r="LCV11" s="3428"/>
      <c r="LCW11" s="3428"/>
      <c r="LCX11" s="3428"/>
      <c r="LCY11" s="3428"/>
      <c r="LCZ11" s="3428"/>
      <c r="LDA11" s="3428"/>
      <c r="LDB11" s="3428"/>
      <c r="LDC11" s="3428"/>
      <c r="LDD11" s="3428"/>
      <c r="LDE11" s="3428"/>
      <c r="LDF11" s="3428"/>
      <c r="LDG11" s="3428"/>
      <c r="LDH11" s="3428"/>
      <c r="LDI11" s="3428"/>
      <c r="LDJ11" s="3428"/>
      <c r="LDK11" s="3428"/>
      <c r="LDL11" s="3428"/>
      <c r="LDM11" s="3428"/>
      <c r="LDN11" s="3428"/>
      <c r="LDO11" s="3428"/>
      <c r="LDP11" s="3428"/>
      <c r="LDQ11" s="3428"/>
      <c r="LDR11" s="3428"/>
      <c r="LDS11" s="3428"/>
      <c r="LDT11" s="3428"/>
      <c r="LDU11" s="3428"/>
      <c r="LDV11" s="3428"/>
      <c r="LDW11" s="3428"/>
      <c r="LDX11" s="3428"/>
      <c r="LDY11" s="3428"/>
      <c r="LDZ11" s="3428"/>
      <c r="LEA11" s="3428"/>
      <c r="LEB11" s="3428"/>
      <c r="LEC11" s="3428"/>
      <c r="LED11" s="3428"/>
      <c r="LEE11" s="3428"/>
      <c r="LEF11" s="3428"/>
      <c r="LEG11" s="3428"/>
      <c r="LEH11" s="3428"/>
      <c r="LEI11" s="3428"/>
      <c r="LEJ11" s="3428"/>
      <c r="LEK11" s="3428"/>
      <c r="LEL11" s="3428"/>
      <c r="LEM11" s="3428"/>
      <c r="LEN11" s="3428"/>
      <c r="LEO11" s="3428"/>
      <c r="LEP11" s="3428"/>
      <c r="LEQ11" s="3428"/>
      <c r="LER11" s="3428"/>
      <c r="LES11" s="3428"/>
      <c r="LET11" s="3428"/>
      <c r="LEU11" s="3428"/>
      <c r="LEV11" s="3428"/>
      <c r="LEW11" s="3428"/>
      <c r="LEX11" s="3428"/>
      <c r="LEY11" s="3428"/>
      <c r="LEZ11" s="3428"/>
      <c r="LFA11" s="3428"/>
      <c r="LFB11" s="3428"/>
      <c r="LFC11" s="3428"/>
      <c r="LFD11" s="3428"/>
      <c r="LFE11" s="3428"/>
      <c r="LFF11" s="3428"/>
      <c r="LFG11" s="3428"/>
      <c r="LFH11" s="3428"/>
      <c r="LFI11" s="3428"/>
      <c r="LFJ11" s="3428"/>
      <c r="LFK11" s="3428"/>
      <c r="LFL11" s="3428"/>
      <c r="LFM11" s="3428"/>
      <c r="LFN11" s="3428"/>
      <c r="LFO11" s="3428"/>
      <c r="LFP11" s="3428"/>
      <c r="LFQ11" s="3428"/>
      <c r="LFR11" s="3428"/>
      <c r="LFS11" s="3428"/>
      <c r="LFT11" s="3428"/>
      <c r="LFU11" s="3428"/>
      <c r="LFV11" s="3428"/>
      <c r="LFW11" s="3428"/>
      <c r="LFX11" s="3428"/>
      <c r="LFY11" s="3428"/>
      <c r="LFZ11" s="3428"/>
      <c r="LGA11" s="3428"/>
      <c r="LGB11" s="3428"/>
      <c r="LGC11" s="3428"/>
      <c r="LGD11" s="3428"/>
      <c r="LGE11" s="3428"/>
      <c r="LGF11" s="3428"/>
      <c r="LGG11" s="3428"/>
      <c r="LGH11" s="3428"/>
      <c r="LGI11" s="3428"/>
      <c r="LGJ11" s="3428"/>
      <c r="LGK11" s="3428"/>
      <c r="LGL11" s="3428"/>
      <c r="LGM11" s="3428"/>
      <c r="LGN11" s="3428"/>
      <c r="LGO11" s="3428"/>
      <c r="LGP11" s="3428"/>
      <c r="LGQ11" s="3428"/>
      <c r="LGR11" s="3428"/>
      <c r="LGS11" s="3428"/>
      <c r="LGT11" s="3428"/>
      <c r="LGU11" s="3428"/>
      <c r="LGV11" s="3428"/>
      <c r="LGW11" s="3428"/>
      <c r="LGX11" s="3428"/>
      <c r="LGY11" s="3428"/>
      <c r="LGZ11" s="3428"/>
      <c r="LHA11" s="3428"/>
      <c r="LHB11" s="3428"/>
      <c r="LHC11" s="3428"/>
      <c r="LHD11" s="3428"/>
      <c r="LHE11" s="3428"/>
      <c r="LHF11" s="3428"/>
      <c r="LHG11" s="3428"/>
      <c r="LHH11" s="3428"/>
      <c r="LHI11" s="3428"/>
      <c r="LHJ11" s="3428"/>
      <c r="LHK11" s="3428"/>
      <c r="LHL11" s="3428"/>
      <c r="LHM11" s="3428"/>
      <c r="LHN11" s="3428"/>
      <c r="LHO11" s="3428"/>
      <c r="LHP11" s="3428"/>
      <c r="LHQ11" s="3428"/>
      <c r="LHR11" s="3428"/>
      <c r="LHS11" s="3428"/>
      <c r="LHT11" s="3428"/>
      <c r="LHU11" s="3428"/>
      <c r="LHV11" s="3428"/>
      <c r="LHW11" s="3428"/>
      <c r="LHX11" s="3428"/>
      <c r="LHY11" s="3428"/>
      <c r="LHZ11" s="3428"/>
      <c r="LIA11" s="3428"/>
      <c r="LIB11" s="3428"/>
      <c r="LIC11" s="3428"/>
      <c r="LID11" s="3428"/>
      <c r="LIE11" s="3428"/>
      <c r="LIF11" s="3428"/>
      <c r="LIG11" s="3428"/>
      <c r="LIH11" s="3428"/>
      <c r="LII11" s="3428"/>
      <c r="LIJ11" s="3428"/>
      <c r="LIK11" s="3428"/>
      <c r="LIL11" s="3428"/>
      <c r="LIM11" s="3428"/>
      <c r="LIN11" s="3428"/>
      <c r="LIO11" s="3428"/>
      <c r="LIP11" s="3428"/>
      <c r="LIQ11" s="3428"/>
      <c r="LIR11" s="3428"/>
      <c r="LIS11" s="3428"/>
      <c r="LIT11" s="3428"/>
      <c r="LIU11" s="3428"/>
      <c r="LIV11" s="3428"/>
      <c r="LIW11" s="3428"/>
      <c r="LIX11" s="3428"/>
      <c r="LIY11" s="3428"/>
      <c r="LIZ11" s="3428"/>
      <c r="LJA11" s="3428"/>
      <c r="LJB11" s="3428"/>
      <c r="LJC11" s="3428"/>
      <c r="LJD11" s="3428"/>
      <c r="LJE11" s="3428"/>
      <c r="LJF11" s="3428"/>
      <c r="LJG11" s="3428"/>
      <c r="LJH11" s="3428"/>
      <c r="LJI11" s="3428"/>
      <c r="LJJ11" s="3428"/>
      <c r="LJK11" s="3428"/>
      <c r="LJL11" s="3428"/>
      <c r="LJM11" s="3428"/>
      <c r="LJN11" s="3428"/>
      <c r="LJO11" s="3428"/>
      <c r="LJP11" s="3428"/>
      <c r="LJQ11" s="3428"/>
      <c r="LJR11" s="3428"/>
      <c r="LJS11" s="3428"/>
      <c r="LJT11" s="3428"/>
      <c r="LJU11" s="3428"/>
      <c r="LJV11" s="3428"/>
      <c r="LJW11" s="3428"/>
      <c r="LJX11" s="3428"/>
      <c r="LJY11" s="3428"/>
      <c r="LJZ11" s="3428"/>
      <c r="LKA11" s="3428"/>
      <c r="LKB11" s="3428"/>
      <c r="LKC11" s="3428"/>
      <c r="LKD11" s="3428"/>
      <c r="LKE11" s="3428"/>
      <c r="LKF11" s="3428"/>
      <c r="LKG11" s="3428"/>
      <c r="LKH11" s="3428"/>
      <c r="LKI11" s="3428"/>
      <c r="LKJ11" s="3428"/>
      <c r="LKK11" s="3428"/>
      <c r="LKL11" s="3428"/>
      <c r="LKM11" s="3428"/>
      <c r="LKN11" s="3428"/>
      <c r="LKO11" s="3428"/>
      <c r="LKP11" s="3428"/>
      <c r="LKQ11" s="3428"/>
      <c r="LKR11" s="3428"/>
      <c r="LKS11" s="3428"/>
      <c r="LKT11" s="3428"/>
      <c r="LKU11" s="3428"/>
      <c r="LKV11" s="3428"/>
      <c r="LKW11" s="3428"/>
      <c r="LKX11" s="3428"/>
      <c r="LKY11" s="3428"/>
      <c r="LKZ11" s="3428"/>
      <c r="LLA11" s="3428"/>
      <c r="LLB11" s="3428"/>
      <c r="LLC11" s="3428"/>
      <c r="LLD11" s="3428"/>
      <c r="LLE11" s="3428"/>
      <c r="LLF11" s="3428"/>
      <c r="LLG11" s="3428"/>
      <c r="LLH11" s="3428"/>
      <c r="LLI11" s="3428"/>
      <c r="LLJ11" s="3428"/>
      <c r="LLK11" s="3428"/>
      <c r="LLL11" s="3428"/>
      <c r="LLM11" s="3428"/>
      <c r="LLN11" s="3428"/>
      <c r="LLO11" s="3428"/>
      <c r="LLP11" s="3428"/>
      <c r="LLQ11" s="3428"/>
      <c r="LLR11" s="3428"/>
      <c r="LLS11" s="3428"/>
      <c r="LLT11" s="3428"/>
      <c r="LLU11" s="3428"/>
      <c r="LLV11" s="3428"/>
      <c r="LLW11" s="3428"/>
      <c r="LLX11" s="3428"/>
      <c r="LLY11" s="3428"/>
      <c r="LLZ11" s="3428"/>
      <c r="LMA11" s="3428"/>
      <c r="LMB11" s="3428"/>
      <c r="LMC11" s="3428"/>
      <c r="LMD11" s="3428"/>
      <c r="LME11" s="3428"/>
      <c r="LMF11" s="3428"/>
      <c r="LMG11" s="3428"/>
      <c r="LMH11" s="3428"/>
      <c r="LMI11" s="3428"/>
      <c r="LMJ11" s="3428"/>
      <c r="LMK11" s="3428"/>
      <c r="LML11" s="3428"/>
      <c r="LMM11" s="3428"/>
      <c r="LMN11" s="3428"/>
      <c r="LMO11" s="3428"/>
      <c r="LMP11" s="3428"/>
      <c r="LMQ11" s="3428"/>
      <c r="LMR11" s="3428"/>
      <c r="LMS11" s="3428"/>
      <c r="LMT11" s="3428"/>
      <c r="LMU11" s="3428"/>
      <c r="LMV11" s="3428"/>
      <c r="LMW11" s="3428"/>
      <c r="LMX11" s="3428"/>
      <c r="LMY11" s="3428"/>
      <c r="LMZ11" s="3428"/>
      <c r="LNA11" s="3428"/>
      <c r="LNB11" s="3428"/>
      <c r="LNC11" s="3428"/>
      <c r="LND11" s="3428"/>
      <c r="LNE11" s="3428"/>
      <c r="LNF11" s="3428"/>
      <c r="LNG11" s="3428"/>
      <c r="LNH11" s="3428"/>
      <c r="LNI11" s="3428"/>
      <c r="LNJ11" s="3428"/>
      <c r="LNK11" s="3428"/>
      <c r="LNL11" s="3428"/>
      <c r="LNM11" s="3428"/>
      <c r="LNN11" s="3428"/>
      <c r="LNO11" s="3428"/>
      <c r="LNP11" s="3428"/>
      <c r="LNQ11" s="3428"/>
      <c r="LNR11" s="3428"/>
      <c r="LNS11" s="3428"/>
      <c r="LNT11" s="3428"/>
      <c r="LNU11" s="3428"/>
      <c r="LNV11" s="3428"/>
      <c r="LNW11" s="3428"/>
      <c r="LNX11" s="3428"/>
      <c r="LNY11" s="3428"/>
      <c r="LNZ11" s="3428"/>
      <c r="LOA11" s="3428"/>
      <c r="LOB11" s="3428"/>
      <c r="LOC11" s="3428"/>
      <c r="LOD11" s="3428"/>
      <c r="LOE11" s="3428"/>
      <c r="LOF11" s="3428"/>
      <c r="LOG11" s="3428"/>
      <c r="LOH11" s="3428"/>
      <c r="LOI11" s="3428"/>
      <c r="LOJ11" s="3428"/>
      <c r="LOK11" s="3428"/>
      <c r="LOL11" s="3428"/>
      <c r="LOM11" s="3428"/>
      <c r="LON11" s="3428"/>
      <c r="LOO11" s="3428"/>
      <c r="LOP11" s="3428"/>
      <c r="LOQ11" s="3428"/>
      <c r="LOR11" s="3428"/>
      <c r="LOS11" s="3428"/>
      <c r="LOT11" s="3428"/>
      <c r="LOU11" s="3428"/>
      <c r="LOV11" s="3428"/>
      <c r="LOW11" s="3428"/>
      <c r="LOX11" s="3428"/>
      <c r="LOY11" s="3428"/>
      <c r="LOZ11" s="3428"/>
      <c r="LPA11" s="3428"/>
      <c r="LPB11" s="3428"/>
      <c r="LPC11" s="3428"/>
      <c r="LPD11" s="3428"/>
      <c r="LPE11" s="3428"/>
      <c r="LPF11" s="3428"/>
      <c r="LPG11" s="3428"/>
      <c r="LPH11" s="3428"/>
      <c r="LPI11" s="3428"/>
      <c r="LPJ11" s="3428"/>
      <c r="LPK11" s="3428"/>
      <c r="LPL11" s="3428"/>
      <c r="LPM11" s="3428"/>
      <c r="LPN11" s="3428"/>
      <c r="LPO11" s="3428"/>
      <c r="LPP11" s="3428"/>
      <c r="LPQ11" s="3428"/>
      <c r="LPR11" s="3428"/>
      <c r="LPS11" s="3428"/>
      <c r="LPT11" s="3428"/>
      <c r="LPU11" s="3428"/>
      <c r="LPV11" s="3428"/>
      <c r="LPW11" s="3428"/>
      <c r="LPX11" s="3428"/>
      <c r="LPY11" s="3428"/>
      <c r="LPZ11" s="3428"/>
      <c r="LQA11" s="3428"/>
      <c r="LQB11" s="3428"/>
      <c r="LQC11" s="3428"/>
      <c r="LQD11" s="3428"/>
      <c r="LQE11" s="3428"/>
      <c r="LQF11" s="3428"/>
      <c r="LQG11" s="3428"/>
      <c r="LQH11" s="3428"/>
      <c r="LQI11" s="3428"/>
      <c r="LQJ11" s="3428"/>
      <c r="LQK11" s="3428"/>
      <c r="LQL11" s="3428"/>
      <c r="LQM11" s="3428"/>
      <c r="LQN11" s="3428"/>
      <c r="LQO11" s="3428"/>
      <c r="LQP11" s="3428"/>
      <c r="LQQ11" s="3428"/>
      <c r="LQR11" s="3428"/>
      <c r="LQS11" s="3428"/>
      <c r="LQT11" s="3428"/>
      <c r="LQU11" s="3428"/>
      <c r="LQV11" s="3428"/>
      <c r="LQW11" s="3428"/>
      <c r="LQX11" s="3428"/>
      <c r="LQY11" s="3428"/>
      <c r="LQZ11" s="3428"/>
      <c r="LRA11" s="3428"/>
      <c r="LRB11" s="3428"/>
      <c r="LRC11" s="3428"/>
      <c r="LRD11" s="3428"/>
      <c r="LRE11" s="3428"/>
      <c r="LRF11" s="3428"/>
      <c r="LRG11" s="3428"/>
      <c r="LRH11" s="3428"/>
      <c r="LRI11" s="3428"/>
      <c r="LRJ11" s="3428"/>
      <c r="LRK11" s="3428"/>
      <c r="LRL11" s="3428"/>
      <c r="LRM11" s="3428"/>
      <c r="LRN11" s="3428"/>
      <c r="LRO11" s="3428"/>
      <c r="LRP11" s="3428"/>
      <c r="LRQ11" s="3428"/>
      <c r="LRR11" s="3428"/>
      <c r="LRS11" s="3428"/>
      <c r="LRT11" s="3428"/>
      <c r="LRU11" s="3428"/>
      <c r="LRV11" s="3428"/>
      <c r="LRW11" s="3428"/>
      <c r="LRX11" s="3428"/>
      <c r="LRY11" s="3428"/>
      <c r="LRZ11" s="3428"/>
      <c r="LSA11" s="3428"/>
      <c r="LSB11" s="3428"/>
      <c r="LSC11" s="3428"/>
      <c r="LSD11" s="3428"/>
      <c r="LSE11" s="3428"/>
      <c r="LSF11" s="3428"/>
      <c r="LSG11" s="3428"/>
      <c r="LSH11" s="3428"/>
      <c r="LSI11" s="3428"/>
      <c r="LSJ11" s="3428"/>
      <c r="LSK11" s="3428"/>
      <c r="LSL11" s="3428"/>
      <c r="LSM11" s="3428"/>
      <c r="LSN11" s="3428"/>
      <c r="LSO11" s="3428"/>
      <c r="LSP11" s="3428"/>
      <c r="LSQ11" s="3428"/>
      <c r="LSR11" s="3428"/>
      <c r="LSS11" s="3428"/>
      <c r="LST11" s="3428"/>
      <c r="LSU11" s="3428"/>
      <c r="LSV11" s="3428"/>
      <c r="LSW11" s="3428"/>
      <c r="LSX11" s="3428"/>
      <c r="LSY11" s="3428"/>
      <c r="LSZ11" s="3428"/>
      <c r="LTA11" s="3428"/>
      <c r="LTB11" s="3428"/>
      <c r="LTC11" s="3428"/>
      <c r="LTD11" s="3428"/>
      <c r="LTE11" s="3428"/>
      <c r="LTF11" s="3428"/>
      <c r="LTG11" s="3428"/>
      <c r="LTH11" s="3428"/>
      <c r="LTI11" s="3428"/>
      <c r="LTJ11" s="3428"/>
      <c r="LTK11" s="3428"/>
      <c r="LTL11" s="3428"/>
      <c r="LTM11" s="3428"/>
      <c r="LTN11" s="3428"/>
      <c r="LTO11" s="3428"/>
      <c r="LTP11" s="3428"/>
      <c r="LTQ11" s="3428"/>
      <c r="LTR11" s="3428"/>
      <c r="LTS11" s="3428"/>
      <c r="LTT11" s="3428"/>
      <c r="LTU11" s="3428"/>
      <c r="LTV11" s="3428"/>
      <c r="LTW11" s="3428"/>
      <c r="LTX11" s="3428"/>
      <c r="LTY11" s="3428"/>
      <c r="LTZ11" s="3428"/>
      <c r="LUA11" s="3428"/>
      <c r="LUB11" s="3428"/>
      <c r="LUC11" s="3428"/>
      <c r="LUD11" s="3428"/>
      <c r="LUE11" s="3428"/>
      <c r="LUF11" s="3428"/>
      <c r="LUG11" s="3428"/>
      <c r="LUH11" s="3428"/>
      <c r="LUI11" s="3428"/>
      <c r="LUJ11" s="3428"/>
      <c r="LUK11" s="3428"/>
      <c r="LUL11" s="3428"/>
      <c r="LUM11" s="3428"/>
      <c r="LUN11" s="3428"/>
      <c r="LUO11" s="3428"/>
      <c r="LUP11" s="3428"/>
      <c r="LUQ11" s="3428"/>
      <c r="LUR11" s="3428"/>
      <c r="LUS11" s="3428"/>
      <c r="LUT11" s="3428"/>
      <c r="LUU11" s="3428"/>
      <c r="LUV11" s="3428"/>
      <c r="LUW11" s="3428"/>
      <c r="LUX11" s="3428"/>
      <c r="LUY11" s="3428"/>
      <c r="LUZ11" s="3428"/>
      <c r="LVA11" s="3428"/>
      <c r="LVB11" s="3428"/>
      <c r="LVC11" s="3428"/>
      <c r="LVD11" s="3428"/>
      <c r="LVE11" s="3428"/>
      <c r="LVF11" s="3428"/>
      <c r="LVG11" s="3428"/>
      <c r="LVH11" s="3428"/>
      <c r="LVI11" s="3428"/>
      <c r="LVJ11" s="3428"/>
      <c r="LVK11" s="3428"/>
      <c r="LVL11" s="3428"/>
      <c r="LVM11" s="3428"/>
      <c r="LVN11" s="3428"/>
      <c r="LVO11" s="3428"/>
      <c r="LVP11" s="3428"/>
      <c r="LVQ11" s="3428"/>
      <c r="LVR11" s="3428"/>
      <c r="LVS11" s="3428"/>
      <c r="LVT11" s="3428"/>
      <c r="LVU11" s="3428"/>
      <c r="LVV11" s="3428"/>
      <c r="LVW11" s="3428"/>
      <c r="LVX11" s="3428"/>
      <c r="LVY11" s="3428"/>
      <c r="LVZ11" s="3428"/>
      <c r="LWA11" s="3428"/>
      <c r="LWB11" s="3428"/>
      <c r="LWC11" s="3428"/>
      <c r="LWD11" s="3428"/>
      <c r="LWE11" s="3428"/>
      <c r="LWF11" s="3428"/>
      <c r="LWG11" s="3428"/>
      <c r="LWH11" s="3428"/>
      <c r="LWI11" s="3428"/>
      <c r="LWJ11" s="3428"/>
      <c r="LWK11" s="3428"/>
      <c r="LWL11" s="3428"/>
      <c r="LWM11" s="3428"/>
      <c r="LWN11" s="3428"/>
      <c r="LWO11" s="3428"/>
      <c r="LWP11" s="3428"/>
      <c r="LWQ11" s="3428"/>
      <c r="LWR11" s="3428"/>
      <c r="LWS11" s="3428"/>
      <c r="LWT11" s="3428"/>
      <c r="LWU11" s="3428"/>
      <c r="LWV11" s="3428"/>
      <c r="LWW11" s="3428"/>
      <c r="LWX11" s="3428"/>
      <c r="LWY11" s="3428"/>
      <c r="LWZ11" s="3428"/>
      <c r="LXA11" s="3428"/>
      <c r="LXB11" s="3428"/>
      <c r="LXC11" s="3428"/>
      <c r="LXD11" s="3428"/>
      <c r="LXE11" s="3428"/>
      <c r="LXF11" s="3428"/>
      <c r="LXG11" s="3428"/>
      <c r="LXH11" s="3428"/>
      <c r="LXI11" s="3428"/>
      <c r="LXJ11" s="3428"/>
      <c r="LXK11" s="3428"/>
      <c r="LXL11" s="3428"/>
      <c r="LXM11" s="3428"/>
      <c r="LXN11" s="3428"/>
      <c r="LXO11" s="3428"/>
      <c r="LXP11" s="3428"/>
      <c r="LXQ11" s="3428"/>
      <c r="LXR11" s="3428"/>
      <c r="LXS11" s="3428"/>
      <c r="LXT11" s="3428"/>
      <c r="LXU11" s="3428"/>
      <c r="LXV11" s="3428"/>
      <c r="LXW11" s="3428"/>
      <c r="LXX11" s="3428"/>
      <c r="LXY11" s="3428"/>
      <c r="LXZ11" s="3428"/>
      <c r="LYA11" s="3428"/>
      <c r="LYB11" s="3428"/>
      <c r="LYC11" s="3428"/>
      <c r="LYD11" s="3428"/>
      <c r="LYE11" s="3428"/>
      <c r="LYF11" s="3428"/>
      <c r="LYG11" s="3428"/>
      <c r="LYH11" s="3428"/>
      <c r="LYI11" s="3428"/>
      <c r="LYJ11" s="3428"/>
      <c r="LYK11" s="3428"/>
      <c r="LYL11" s="3428"/>
      <c r="LYM11" s="3428"/>
      <c r="LYN11" s="3428"/>
      <c r="LYO11" s="3428"/>
      <c r="LYP11" s="3428"/>
      <c r="LYQ11" s="3428"/>
      <c r="LYR11" s="3428"/>
      <c r="LYS11" s="3428"/>
      <c r="LYT11" s="3428"/>
      <c r="LYU11" s="3428"/>
      <c r="LYV11" s="3428"/>
      <c r="LYW11" s="3428"/>
      <c r="LYX11" s="3428"/>
      <c r="LYY11" s="3428"/>
      <c r="LYZ11" s="3428"/>
      <c r="LZA11" s="3428"/>
      <c r="LZB11" s="3428"/>
      <c r="LZC11" s="3428"/>
      <c r="LZD11" s="3428"/>
      <c r="LZE11" s="3428"/>
      <c r="LZF11" s="3428"/>
      <c r="LZG11" s="3428"/>
      <c r="LZH11" s="3428"/>
      <c r="LZI11" s="3428"/>
      <c r="LZJ11" s="3428"/>
      <c r="LZK11" s="3428"/>
      <c r="LZL11" s="3428"/>
      <c r="LZM11" s="3428"/>
      <c r="LZN11" s="3428"/>
      <c r="LZO11" s="3428"/>
      <c r="LZP11" s="3428"/>
      <c r="LZQ11" s="3428"/>
      <c r="LZR11" s="3428"/>
      <c r="LZS11" s="3428"/>
      <c r="LZT11" s="3428"/>
      <c r="LZU11" s="3428"/>
      <c r="LZV11" s="3428"/>
      <c r="LZW11" s="3428"/>
      <c r="LZX11" s="3428"/>
      <c r="LZY11" s="3428"/>
      <c r="LZZ11" s="3428"/>
      <c r="MAA11" s="3428"/>
      <c r="MAB11" s="3428"/>
      <c r="MAC11" s="3428"/>
      <c r="MAD11" s="3428"/>
      <c r="MAE11" s="3428"/>
      <c r="MAF11" s="3428"/>
      <c r="MAG11" s="3428"/>
      <c r="MAH11" s="3428"/>
      <c r="MAI11" s="3428"/>
      <c r="MAJ11" s="3428"/>
      <c r="MAK11" s="3428"/>
      <c r="MAL11" s="3428"/>
      <c r="MAM11" s="3428"/>
      <c r="MAN11" s="3428"/>
      <c r="MAO11" s="3428"/>
      <c r="MAP11" s="3428"/>
      <c r="MAQ11" s="3428"/>
      <c r="MAR11" s="3428"/>
      <c r="MAS11" s="3428"/>
      <c r="MAT11" s="3428"/>
      <c r="MAU11" s="3428"/>
      <c r="MAV11" s="3428"/>
      <c r="MAW11" s="3428"/>
      <c r="MAX11" s="3428"/>
      <c r="MAY11" s="3428"/>
      <c r="MAZ11" s="3428"/>
      <c r="MBA11" s="3428"/>
      <c r="MBB11" s="3428"/>
      <c r="MBC11" s="3428"/>
      <c r="MBD11" s="3428"/>
      <c r="MBE11" s="3428"/>
      <c r="MBF11" s="3428"/>
      <c r="MBG11" s="3428"/>
      <c r="MBH11" s="3428"/>
      <c r="MBI11" s="3428"/>
      <c r="MBJ11" s="3428"/>
      <c r="MBK11" s="3428"/>
      <c r="MBL11" s="3428"/>
      <c r="MBM11" s="3428"/>
      <c r="MBN11" s="3428"/>
      <c r="MBO11" s="3428"/>
      <c r="MBP11" s="3428"/>
      <c r="MBQ11" s="3428"/>
      <c r="MBR11" s="3428"/>
      <c r="MBS11" s="3428"/>
      <c r="MBT11" s="3428"/>
      <c r="MBU11" s="3428"/>
      <c r="MBV11" s="3428"/>
      <c r="MBW11" s="3428"/>
      <c r="MBX11" s="3428"/>
      <c r="MBY11" s="3428"/>
      <c r="MBZ11" s="3428"/>
      <c r="MCA11" s="3428"/>
      <c r="MCB11" s="3428"/>
      <c r="MCC11" s="3428"/>
      <c r="MCD11" s="3428"/>
      <c r="MCE11" s="3428"/>
      <c r="MCF11" s="3428"/>
      <c r="MCG11" s="3428"/>
      <c r="MCH11" s="3428"/>
      <c r="MCI11" s="3428"/>
      <c r="MCJ11" s="3428"/>
      <c r="MCK11" s="3428"/>
      <c r="MCL11" s="3428"/>
      <c r="MCM11" s="3428"/>
      <c r="MCN11" s="3428"/>
      <c r="MCO11" s="3428"/>
      <c r="MCP11" s="3428"/>
      <c r="MCQ11" s="3428"/>
      <c r="MCR11" s="3428"/>
      <c r="MCS11" s="3428"/>
      <c r="MCT11" s="3428"/>
      <c r="MCU11" s="3428"/>
      <c r="MCV11" s="3428"/>
      <c r="MCW11" s="3428"/>
      <c r="MCX11" s="3428"/>
      <c r="MCY11" s="3428"/>
      <c r="MCZ11" s="3428"/>
      <c r="MDA11" s="3428"/>
      <c r="MDB11" s="3428"/>
      <c r="MDC11" s="3428"/>
      <c r="MDD11" s="3428"/>
      <c r="MDE11" s="3428"/>
      <c r="MDF11" s="3428"/>
      <c r="MDG11" s="3428"/>
      <c r="MDH11" s="3428"/>
      <c r="MDI11" s="3428"/>
      <c r="MDJ11" s="3428"/>
      <c r="MDK11" s="3428"/>
      <c r="MDL11" s="3428"/>
      <c r="MDM11" s="3428"/>
      <c r="MDN11" s="3428"/>
      <c r="MDO11" s="3428"/>
      <c r="MDP11" s="3428"/>
      <c r="MDQ11" s="3428"/>
      <c r="MDR11" s="3428"/>
      <c r="MDS11" s="3428"/>
      <c r="MDT11" s="3428"/>
      <c r="MDU11" s="3428"/>
      <c r="MDV11" s="3428"/>
      <c r="MDW11" s="3428"/>
      <c r="MDX11" s="3428"/>
      <c r="MDY11" s="3428"/>
      <c r="MDZ11" s="3428"/>
      <c r="MEA11" s="3428"/>
      <c r="MEB11" s="3428"/>
      <c r="MEC11" s="3428"/>
      <c r="MED11" s="3428"/>
      <c r="MEE11" s="3428"/>
      <c r="MEF11" s="3428"/>
      <c r="MEG11" s="3428"/>
      <c r="MEH11" s="3428"/>
      <c r="MEI11" s="3428"/>
      <c r="MEJ11" s="3428"/>
      <c r="MEK11" s="3428"/>
      <c r="MEL11" s="3428"/>
      <c r="MEM11" s="3428"/>
      <c r="MEN11" s="3428"/>
      <c r="MEO11" s="3428"/>
      <c r="MEP11" s="3428"/>
      <c r="MEQ11" s="3428"/>
      <c r="MER11" s="3428"/>
      <c r="MES11" s="3428"/>
      <c r="MET11" s="3428"/>
      <c r="MEU11" s="3428"/>
      <c r="MEV11" s="3428"/>
      <c r="MEW11" s="3428"/>
      <c r="MEX11" s="3428"/>
      <c r="MEY11" s="3428"/>
      <c r="MEZ11" s="3428"/>
      <c r="MFA11" s="3428"/>
      <c r="MFB11" s="3428"/>
      <c r="MFC11" s="3428"/>
      <c r="MFD11" s="3428"/>
      <c r="MFE11" s="3428"/>
      <c r="MFF11" s="3428"/>
      <c r="MFG11" s="3428"/>
      <c r="MFH11" s="3428"/>
      <c r="MFI11" s="3428"/>
      <c r="MFJ11" s="3428"/>
      <c r="MFK11" s="3428"/>
      <c r="MFL11" s="3428"/>
      <c r="MFM11" s="3428"/>
      <c r="MFN11" s="3428"/>
      <c r="MFO11" s="3428"/>
      <c r="MFP11" s="3428"/>
      <c r="MFQ11" s="3428"/>
      <c r="MFR11" s="3428"/>
      <c r="MFS11" s="3428"/>
      <c r="MFT11" s="3428"/>
      <c r="MFU11" s="3428"/>
      <c r="MFV11" s="3428"/>
      <c r="MFW11" s="3428"/>
      <c r="MFX11" s="3428"/>
      <c r="MFY11" s="3428"/>
      <c r="MFZ11" s="3428"/>
      <c r="MGA11" s="3428"/>
      <c r="MGB11" s="3428"/>
      <c r="MGC11" s="3428"/>
      <c r="MGD11" s="3428"/>
      <c r="MGE11" s="3428"/>
      <c r="MGF11" s="3428"/>
      <c r="MGG11" s="3428"/>
      <c r="MGH11" s="3428"/>
      <c r="MGI11" s="3428"/>
      <c r="MGJ11" s="3428"/>
      <c r="MGK11" s="3428"/>
      <c r="MGL11" s="3428"/>
      <c r="MGM11" s="3428"/>
      <c r="MGN11" s="3428"/>
      <c r="MGO11" s="3428"/>
      <c r="MGP11" s="3428"/>
      <c r="MGQ11" s="3428"/>
      <c r="MGR11" s="3428"/>
      <c r="MGS11" s="3428"/>
      <c r="MGT11" s="3428"/>
      <c r="MGU11" s="3428"/>
      <c r="MGV11" s="3428"/>
      <c r="MGW11" s="3428"/>
      <c r="MGX11" s="3428"/>
      <c r="MGY11" s="3428"/>
      <c r="MGZ11" s="3428"/>
      <c r="MHA11" s="3428"/>
      <c r="MHB11" s="3428"/>
      <c r="MHC11" s="3428"/>
      <c r="MHD11" s="3428"/>
      <c r="MHE11" s="3428"/>
      <c r="MHF11" s="3428"/>
      <c r="MHG11" s="3428"/>
      <c r="MHH11" s="3428"/>
      <c r="MHI11" s="3428"/>
      <c r="MHJ11" s="3428"/>
      <c r="MHK11" s="3428"/>
      <c r="MHL11" s="3428"/>
      <c r="MHM11" s="3428"/>
      <c r="MHN11" s="3428"/>
      <c r="MHO11" s="3428"/>
      <c r="MHP11" s="3428"/>
      <c r="MHQ11" s="3428"/>
      <c r="MHR11" s="3428"/>
      <c r="MHS11" s="3428"/>
      <c r="MHT11" s="3428"/>
      <c r="MHU11" s="3428"/>
      <c r="MHV11" s="3428"/>
      <c r="MHW11" s="3428"/>
      <c r="MHX11" s="3428"/>
      <c r="MHY11" s="3428"/>
      <c r="MHZ11" s="3428"/>
      <c r="MIA11" s="3428"/>
      <c r="MIB11" s="3428"/>
      <c r="MIC11" s="3428"/>
      <c r="MID11" s="3428"/>
      <c r="MIE11" s="3428"/>
      <c r="MIF11" s="3428"/>
      <c r="MIG11" s="3428"/>
      <c r="MIH11" s="3428"/>
      <c r="MII11" s="3428"/>
      <c r="MIJ11" s="3428"/>
      <c r="MIK11" s="3428"/>
      <c r="MIL11" s="3428"/>
      <c r="MIM11" s="3428"/>
      <c r="MIN11" s="3428"/>
      <c r="MIO11" s="3428"/>
      <c r="MIP11" s="3428"/>
      <c r="MIQ11" s="3428"/>
      <c r="MIR11" s="3428"/>
      <c r="MIS11" s="3428"/>
      <c r="MIT11" s="3428"/>
      <c r="MIU11" s="3428"/>
      <c r="MIV11" s="3428"/>
      <c r="MIW11" s="3428"/>
      <c r="MIX11" s="3428"/>
      <c r="MIY11" s="3428"/>
      <c r="MIZ11" s="3428"/>
      <c r="MJA11" s="3428"/>
      <c r="MJB11" s="3428"/>
      <c r="MJC11" s="3428"/>
      <c r="MJD11" s="3428"/>
      <c r="MJE11" s="3428"/>
      <c r="MJF11" s="3428"/>
      <c r="MJG11" s="3428"/>
      <c r="MJH11" s="3428"/>
      <c r="MJI11" s="3428"/>
      <c r="MJJ11" s="3428"/>
      <c r="MJK11" s="3428"/>
      <c r="MJL11" s="3428"/>
      <c r="MJM11" s="3428"/>
      <c r="MJN11" s="3428"/>
      <c r="MJO11" s="3428"/>
      <c r="MJP11" s="3428"/>
      <c r="MJQ11" s="3428"/>
      <c r="MJR11" s="3428"/>
      <c r="MJS11" s="3428"/>
      <c r="MJT11" s="3428"/>
      <c r="MJU11" s="3428"/>
      <c r="MJV11" s="3428"/>
      <c r="MJW11" s="3428"/>
      <c r="MJX11" s="3428"/>
      <c r="MJY11" s="3428"/>
      <c r="MJZ11" s="3428"/>
      <c r="MKA11" s="3428"/>
      <c r="MKB11" s="3428"/>
      <c r="MKC11" s="3428"/>
      <c r="MKD11" s="3428"/>
      <c r="MKE11" s="3428"/>
      <c r="MKF11" s="3428"/>
      <c r="MKG11" s="3428"/>
      <c r="MKH11" s="3428"/>
      <c r="MKI11" s="3428"/>
      <c r="MKJ11" s="3428"/>
      <c r="MKK11" s="3428"/>
      <c r="MKL11" s="3428"/>
      <c r="MKM11" s="3428"/>
      <c r="MKN11" s="3428"/>
      <c r="MKO11" s="3428"/>
      <c r="MKP11" s="3428"/>
      <c r="MKQ11" s="3428"/>
      <c r="MKR11" s="3428"/>
      <c r="MKS11" s="3428"/>
      <c r="MKT11" s="3428"/>
      <c r="MKU11" s="3428"/>
      <c r="MKV11" s="3428"/>
      <c r="MKW11" s="3428"/>
      <c r="MKX11" s="3428"/>
      <c r="MKY11" s="3428"/>
      <c r="MKZ11" s="3428"/>
      <c r="MLA11" s="3428"/>
      <c r="MLB11" s="3428"/>
      <c r="MLC11" s="3428"/>
      <c r="MLD11" s="3428"/>
      <c r="MLE11" s="3428"/>
      <c r="MLF11" s="3428"/>
      <c r="MLG11" s="3428"/>
      <c r="MLH11" s="3428"/>
      <c r="MLI11" s="3428"/>
      <c r="MLJ11" s="3428"/>
      <c r="MLK11" s="3428"/>
      <c r="MLL11" s="3428"/>
      <c r="MLM11" s="3428"/>
      <c r="MLN11" s="3428"/>
      <c r="MLO11" s="3428"/>
      <c r="MLP11" s="3428"/>
      <c r="MLQ11" s="3428"/>
      <c r="MLR11" s="3428"/>
      <c r="MLS11" s="3428"/>
      <c r="MLT11" s="3428"/>
      <c r="MLU11" s="3428"/>
      <c r="MLV11" s="3428"/>
      <c r="MLW11" s="3428"/>
      <c r="MLX11" s="3428"/>
      <c r="MLY11" s="3428"/>
      <c r="MLZ11" s="3428"/>
      <c r="MMA11" s="3428"/>
      <c r="MMB11" s="3428"/>
      <c r="MMC11" s="3428"/>
      <c r="MMD11" s="3428"/>
      <c r="MME11" s="3428"/>
      <c r="MMF11" s="3428"/>
      <c r="MMG11" s="3428"/>
      <c r="MMH11" s="3428"/>
      <c r="MMI11" s="3428"/>
      <c r="MMJ11" s="3428"/>
      <c r="MMK11" s="3428"/>
      <c r="MML11" s="3428"/>
      <c r="MMM11" s="3428"/>
      <c r="MMN11" s="3428"/>
      <c r="MMO11" s="3428"/>
      <c r="MMP11" s="3428"/>
      <c r="MMQ11" s="3428"/>
      <c r="MMR11" s="3428"/>
      <c r="MMS11" s="3428"/>
      <c r="MMT11" s="3428"/>
      <c r="MMU11" s="3428"/>
      <c r="MMV11" s="3428"/>
      <c r="MMW11" s="3428"/>
      <c r="MMX11" s="3428"/>
      <c r="MMY11" s="3428"/>
      <c r="MMZ11" s="3428"/>
      <c r="MNA11" s="3428"/>
      <c r="MNB11" s="3428"/>
      <c r="MNC11" s="3428"/>
      <c r="MND11" s="3428"/>
      <c r="MNE11" s="3428"/>
      <c r="MNF11" s="3428"/>
      <c r="MNG11" s="3428"/>
      <c r="MNH11" s="3428"/>
      <c r="MNI11" s="3428"/>
      <c r="MNJ11" s="3428"/>
      <c r="MNK11" s="3428"/>
      <c r="MNL11" s="3428"/>
      <c r="MNM11" s="3428"/>
      <c r="MNN11" s="3428"/>
      <c r="MNO11" s="3428"/>
      <c r="MNP11" s="3428"/>
      <c r="MNQ11" s="3428"/>
      <c r="MNR11" s="3428"/>
      <c r="MNS11" s="3428"/>
      <c r="MNT11" s="3428"/>
      <c r="MNU11" s="3428"/>
      <c r="MNV11" s="3428"/>
      <c r="MNW11" s="3428"/>
      <c r="MNX11" s="3428"/>
      <c r="MNY11" s="3428"/>
      <c r="MNZ11" s="3428"/>
      <c r="MOA11" s="3428"/>
      <c r="MOB11" s="3428"/>
      <c r="MOC11" s="3428"/>
      <c r="MOD11" s="3428"/>
      <c r="MOE11" s="3428"/>
      <c r="MOF11" s="3428"/>
      <c r="MOG11" s="3428"/>
      <c r="MOH11" s="3428"/>
      <c r="MOI11" s="3428"/>
      <c r="MOJ11" s="3428"/>
      <c r="MOK11" s="3428"/>
      <c r="MOL11" s="3428"/>
      <c r="MOM11" s="3428"/>
      <c r="MON11" s="3428"/>
      <c r="MOO11" s="3428"/>
      <c r="MOP11" s="3428"/>
      <c r="MOQ11" s="3428"/>
      <c r="MOR11" s="3428"/>
      <c r="MOS11" s="3428"/>
      <c r="MOT11" s="3428"/>
      <c r="MOU11" s="3428"/>
      <c r="MOV11" s="3428"/>
      <c r="MOW11" s="3428"/>
      <c r="MOX11" s="3428"/>
      <c r="MOY11" s="3428"/>
      <c r="MOZ11" s="3428"/>
      <c r="MPA11" s="3428"/>
      <c r="MPB11" s="3428"/>
      <c r="MPC11" s="3428"/>
      <c r="MPD11" s="3428"/>
      <c r="MPE11" s="3428"/>
      <c r="MPF11" s="3428"/>
      <c r="MPG11" s="3428"/>
      <c r="MPH11" s="3428"/>
      <c r="MPI11" s="3428"/>
      <c r="MPJ11" s="3428"/>
      <c r="MPK11" s="3428"/>
      <c r="MPL11" s="3428"/>
      <c r="MPM11" s="3428"/>
      <c r="MPN11" s="3428"/>
      <c r="MPO11" s="3428"/>
      <c r="MPP11" s="3428"/>
      <c r="MPQ11" s="3428"/>
      <c r="MPR11" s="3428"/>
      <c r="MPS11" s="3428"/>
      <c r="MPT11" s="3428"/>
      <c r="MPU11" s="3428"/>
      <c r="MPV11" s="3428"/>
      <c r="MPW11" s="3428"/>
      <c r="MPX11" s="3428"/>
      <c r="MPY11" s="3428"/>
      <c r="MPZ11" s="3428"/>
      <c r="MQA11" s="3428"/>
      <c r="MQB11" s="3428"/>
      <c r="MQC11" s="3428"/>
      <c r="MQD11" s="3428"/>
      <c r="MQE11" s="3428"/>
      <c r="MQF11" s="3428"/>
      <c r="MQG11" s="3428"/>
      <c r="MQH11" s="3428"/>
      <c r="MQI11" s="3428"/>
      <c r="MQJ11" s="3428"/>
      <c r="MQK11" s="3428"/>
      <c r="MQL11" s="3428"/>
      <c r="MQM11" s="3428"/>
      <c r="MQN11" s="3428"/>
      <c r="MQO11" s="3428"/>
      <c r="MQP11" s="3428"/>
      <c r="MQQ11" s="3428"/>
      <c r="MQR11" s="3428"/>
      <c r="MQS11" s="3428"/>
      <c r="MQT11" s="3428"/>
      <c r="MQU11" s="3428"/>
      <c r="MQV11" s="3428"/>
      <c r="MQW11" s="3428"/>
      <c r="MQX11" s="3428"/>
      <c r="MQY11" s="3428"/>
      <c r="MQZ11" s="3428"/>
      <c r="MRA11" s="3428"/>
      <c r="MRB11" s="3428"/>
      <c r="MRC11" s="3428"/>
      <c r="MRD11" s="3428"/>
      <c r="MRE11" s="3428"/>
      <c r="MRF11" s="3428"/>
      <c r="MRG11" s="3428"/>
      <c r="MRH11" s="3428"/>
      <c r="MRI11" s="3428"/>
      <c r="MRJ11" s="3428"/>
      <c r="MRK11" s="3428"/>
      <c r="MRL11" s="3428"/>
      <c r="MRM11" s="3428"/>
      <c r="MRN11" s="3428"/>
      <c r="MRO11" s="3428"/>
      <c r="MRP11" s="3428"/>
      <c r="MRQ11" s="3428"/>
      <c r="MRR11" s="3428"/>
      <c r="MRS11" s="3428"/>
      <c r="MRT11" s="3428"/>
      <c r="MRU11" s="3428"/>
      <c r="MRV11" s="3428"/>
      <c r="MRW11" s="3428"/>
      <c r="MRX11" s="3428"/>
      <c r="MRY11" s="3428"/>
      <c r="MRZ11" s="3428"/>
      <c r="MSA11" s="3428"/>
      <c r="MSB11" s="3428"/>
      <c r="MSC11" s="3428"/>
      <c r="MSD11" s="3428"/>
      <c r="MSE11" s="3428"/>
      <c r="MSF11" s="3428"/>
      <c r="MSG11" s="3428"/>
      <c r="MSH11" s="3428"/>
      <c r="MSI11" s="3428"/>
      <c r="MSJ11" s="3428"/>
      <c r="MSK11" s="3428"/>
      <c r="MSL11" s="3428"/>
      <c r="MSM11" s="3428"/>
      <c r="MSN11" s="3428"/>
      <c r="MSO11" s="3428"/>
      <c r="MSP11" s="3428"/>
      <c r="MSQ11" s="3428"/>
      <c r="MSR11" s="3428"/>
      <c r="MSS11" s="3428"/>
      <c r="MST11" s="3428"/>
      <c r="MSU11" s="3428"/>
      <c r="MSV11" s="3428"/>
      <c r="MSW11" s="3428"/>
      <c r="MSX11" s="3428"/>
      <c r="MSY11" s="3428"/>
      <c r="MSZ11" s="3428"/>
      <c r="MTA11" s="3428"/>
      <c r="MTB11" s="3428"/>
      <c r="MTC11" s="3428"/>
      <c r="MTD11" s="3428"/>
      <c r="MTE11" s="3428"/>
      <c r="MTF11" s="3428"/>
      <c r="MTG11" s="3428"/>
      <c r="MTH11" s="3428"/>
      <c r="MTI11" s="3428"/>
      <c r="MTJ11" s="3428"/>
      <c r="MTK11" s="3428"/>
      <c r="MTL11" s="3428"/>
      <c r="MTM11" s="3428"/>
      <c r="MTN11" s="3428"/>
      <c r="MTO11" s="3428"/>
      <c r="MTP11" s="3428"/>
      <c r="MTQ11" s="3428"/>
      <c r="MTR11" s="3428"/>
      <c r="MTS11" s="3428"/>
      <c r="MTT11" s="3428"/>
      <c r="MTU11" s="3428"/>
      <c r="MTV11" s="3428"/>
      <c r="MTW11" s="3428"/>
      <c r="MTX11" s="3428"/>
      <c r="MTY11" s="3428"/>
      <c r="MTZ11" s="3428"/>
      <c r="MUA11" s="3428"/>
      <c r="MUB11" s="3428"/>
      <c r="MUC11" s="3428"/>
      <c r="MUD11" s="3428"/>
      <c r="MUE11" s="3428"/>
      <c r="MUF11" s="3428"/>
      <c r="MUG11" s="3428"/>
      <c r="MUH11" s="3428"/>
      <c r="MUI11" s="3428"/>
      <c r="MUJ11" s="3428"/>
      <c r="MUK11" s="3428"/>
      <c r="MUL11" s="3428"/>
      <c r="MUM11" s="3428"/>
      <c r="MUN11" s="3428"/>
      <c r="MUO11" s="3428"/>
      <c r="MUP11" s="3428"/>
      <c r="MUQ11" s="3428"/>
      <c r="MUR11" s="3428"/>
      <c r="MUS11" s="3428"/>
      <c r="MUT11" s="3428"/>
      <c r="MUU11" s="3428"/>
      <c r="MUV11" s="3428"/>
      <c r="MUW11" s="3428"/>
      <c r="MUX11" s="3428"/>
      <c r="MUY11" s="3428"/>
      <c r="MUZ11" s="3428"/>
      <c r="MVA11" s="3428"/>
      <c r="MVB11" s="3428"/>
      <c r="MVC11" s="3428"/>
      <c r="MVD11" s="3428"/>
      <c r="MVE11" s="3428"/>
      <c r="MVF11" s="3428"/>
      <c r="MVG11" s="3428"/>
      <c r="MVH11" s="3428"/>
      <c r="MVI11" s="3428"/>
      <c r="MVJ11" s="3428"/>
      <c r="MVK11" s="3428"/>
      <c r="MVL11" s="3428"/>
      <c r="MVM11" s="3428"/>
      <c r="MVN11" s="3428"/>
      <c r="MVO11" s="3428"/>
      <c r="MVP11" s="3428"/>
      <c r="MVQ11" s="3428"/>
      <c r="MVR11" s="3428"/>
      <c r="MVS11" s="3428"/>
      <c r="MVT11" s="3428"/>
      <c r="MVU11" s="3428"/>
      <c r="MVV11" s="3428"/>
      <c r="MVW11" s="3428"/>
      <c r="MVX11" s="3428"/>
      <c r="MVY11" s="3428"/>
      <c r="MVZ11" s="3428"/>
      <c r="MWA11" s="3428"/>
      <c r="MWB11" s="3428"/>
      <c r="MWC11" s="3428"/>
      <c r="MWD11" s="3428"/>
      <c r="MWE11" s="3428"/>
      <c r="MWF11" s="3428"/>
      <c r="MWG11" s="3428"/>
      <c r="MWH11" s="3428"/>
      <c r="MWI11" s="3428"/>
      <c r="MWJ11" s="3428"/>
      <c r="MWK11" s="3428"/>
      <c r="MWL11" s="3428"/>
      <c r="MWM11" s="3428"/>
      <c r="MWN11" s="3428"/>
      <c r="MWO11" s="3428"/>
      <c r="MWP11" s="3428"/>
      <c r="MWQ11" s="3428"/>
      <c r="MWR11" s="3428"/>
      <c r="MWS11" s="3428"/>
      <c r="MWT11" s="3428"/>
      <c r="MWU11" s="3428"/>
      <c r="MWV11" s="3428"/>
      <c r="MWW11" s="3428"/>
      <c r="MWX11" s="3428"/>
      <c r="MWY11" s="3428"/>
      <c r="MWZ11" s="3428"/>
      <c r="MXA11" s="3428"/>
      <c r="MXB11" s="3428"/>
      <c r="MXC11" s="3428"/>
      <c r="MXD11" s="3428"/>
      <c r="MXE11" s="3428"/>
      <c r="MXF11" s="3428"/>
      <c r="MXG11" s="3428"/>
      <c r="MXH11" s="3428"/>
      <c r="MXI11" s="3428"/>
      <c r="MXJ11" s="3428"/>
      <c r="MXK11" s="3428"/>
      <c r="MXL11" s="3428"/>
      <c r="MXM11" s="3428"/>
      <c r="MXN11" s="3428"/>
      <c r="MXO11" s="3428"/>
      <c r="MXP11" s="3428"/>
      <c r="MXQ11" s="3428"/>
      <c r="MXR11" s="3428"/>
      <c r="MXS11" s="3428"/>
      <c r="MXT11" s="3428"/>
      <c r="MXU11" s="3428"/>
      <c r="MXV11" s="3428"/>
      <c r="MXW11" s="3428"/>
      <c r="MXX11" s="3428"/>
      <c r="MXY11" s="3428"/>
      <c r="MXZ11" s="3428"/>
      <c r="MYA11" s="3428"/>
      <c r="MYB11" s="3428"/>
      <c r="MYC11" s="3428"/>
      <c r="MYD11" s="3428"/>
      <c r="MYE11" s="3428"/>
      <c r="MYF11" s="3428"/>
      <c r="MYG11" s="3428"/>
      <c r="MYH11" s="3428"/>
      <c r="MYI11" s="3428"/>
      <c r="MYJ11" s="3428"/>
      <c r="MYK11" s="3428"/>
      <c r="MYL11" s="3428"/>
      <c r="MYM11" s="3428"/>
      <c r="MYN11" s="3428"/>
      <c r="MYO11" s="3428"/>
      <c r="MYP11" s="3428"/>
      <c r="MYQ11" s="3428"/>
      <c r="MYR11" s="3428"/>
      <c r="MYS11" s="3428"/>
      <c r="MYT11" s="3428"/>
      <c r="MYU11" s="3428"/>
      <c r="MYV11" s="3428"/>
      <c r="MYW11" s="3428"/>
      <c r="MYX11" s="3428"/>
      <c r="MYY11" s="3428"/>
      <c r="MYZ11" s="3428"/>
      <c r="MZA11" s="3428"/>
      <c r="MZB11" s="3428"/>
      <c r="MZC11" s="3428"/>
      <c r="MZD11" s="3428"/>
      <c r="MZE11" s="3428"/>
      <c r="MZF11" s="3428"/>
      <c r="MZG11" s="3428"/>
      <c r="MZH11" s="3428"/>
      <c r="MZI11" s="3428"/>
      <c r="MZJ11" s="3428"/>
      <c r="MZK11" s="3428"/>
      <c r="MZL11" s="3428"/>
      <c r="MZM11" s="3428"/>
      <c r="MZN11" s="3428"/>
      <c r="MZO11" s="3428"/>
      <c r="MZP11" s="3428"/>
      <c r="MZQ11" s="3428"/>
      <c r="MZR11" s="3428"/>
      <c r="MZS11" s="3428"/>
      <c r="MZT11" s="3428"/>
      <c r="MZU11" s="3428"/>
      <c r="MZV11" s="3428"/>
      <c r="MZW11" s="3428"/>
      <c r="MZX11" s="3428"/>
      <c r="MZY11" s="3428"/>
      <c r="MZZ11" s="3428"/>
      <c r="NAA11" s="3428"/>
      <c r="NAB11" s="3428"/>
      <c r="NAC11" s="3428"/>
      <c r="NAD11" s="3428"/>
      <c r="NAE11" s="3428"/>
      <c r="NAF11" s="3428"/>
      <c r="NAG11" s="3428"/>
      <c r="NAH11" s="3428"/>
      <c r="NAI11" s="3428"/>
      <c r="NAJ11" s="3428"/>
      <c r="NAK11" s="3428"/>
      <c r="NAL11" s="3428"/>
      <c r="NAM11" s="3428"/>
      <c r="NAN11" s="3428"/>
      <c r="NAO11" s="3428"/>
      <c r="NAP11" s="3428"/>
      <c r="NAQ11" s="3428"/>
      <c r="NAR11" s="3428"/>
      <c r="NAS11" s="3428"/>
      <c r="NAT11" s="3428"/>
      <c r="NAU11" s="3428"/>
      <c r="NAV11" s="3428"/>
      <c r="NAW11" s="3428"/>
      <c r="NAX11" s="3428"/>
      <c r="NAY11" s="3428"/>
      <c r="NAZ11" s="3428"/>
      <c r="NBA11" s="3428"/>
      <c r="NBB11" s="3428"/>
      <c r="NBC11" s="3428"/>
      <c r="NBD11" s="3428"/>
      <c r="NBE11" s="3428"/>
      <c r="NBF11" s="3428"/>
      <c r="NBG11" s="3428"/>
      <c r="NBH11" s="3428"/>
      <c r="NBI11" s="3428"/>
      <c r="NBJ11" s="3428"/>
      <c r="NBK11" s="3428"/>
      <c r="NBL11" s="3428"/>
      <c r="NBM11" s="3428"/>
      <c r="NBN11" s="3428"/>
      <c r="NBO11" s="3428"/>
      <c r="NBP11" s="3428"/>
      <c r="NBQ11" s="3428"/>
      <c r="NBR11" s="3428"/>
      <c r="NBS11" s="3428"/>
      <c r="NBT11" s="3428"/>
      <c r="NBU11" s="3428"/>
      <c r="NBV11" s="3428"/>
      <c r="NBW11" s="3428"/>
      <c r="NBX11" s="3428"/>
      <c r="NBY11" s="3428"/>
      <c r="NBZ11" s="3428"/>
      <c r="NCA11" s="3428"/>
      <c r="NCB11" s="3428"/>
      <c r="NCC11" s="3428"/>
      <c r="NCD11" s="3428"/>
      <c r="NCE11" s="3428"/>
      <c r="NCF11" s="3428"/>
      <c r="NCG11" s="3428"/>
      <c r="NCH11" s="3428"/>
      <c r="NCI11" s="3428"/>
      <c r="NCJ11" s="3428"/>
      <c r="NCK11" s="3428"/>
      <c r="NCL11" s="3428"/>
      <c r="NCM11" s="3428"/>
      <c r="NCN11" s="3428"/>
      <c r="NCO11" s="3428"/>
      <c r="NCP11" s="3428"/>
      <c r="NCQ11" s="3428"/>
      <c r="NCR11" s="3428"/>
      <c r="NCS11" s="3428"/>
      <c r="NCT11" s="3428"/>
      <c r="NCU11" s="3428"/>
      <c r="NCV11" s="3428"/>
      <c r="NCW11" s="3428"/>
      <c r="NCX11" s="3428"/>
      <c r="NCY11" s="3428"/>
      <c r="NCZ11" s="3428"/>
      <c r="NDA11" s="3428"/>
      <c r="NDB11" s="3428"/>
      <c r="NDC11" s="3428"/>
      <c r="NDD11" s="3428"/>
      <c r="NDE11" s="3428"/>
      <c r="NDF11" s="3428"/>
      <c r="NDG11" s="3428"/>
      <c r="NDH11" s="3428"/>
      <c r="NDI11" s="3428"/>
      <c r="NDJ11" s="3428"/>
      <c r="NDK11" s="3428"/>
      <c r="NDL11" s="3428"/>
      <c r="NDM11" s="3428"/>
      <c r="NDN11" s="3428"/>
      <c r="NDO11" s="3428"/>
      <c r="NDP11" s="3428"/>
      <c r="NDQ11" s="3428"/>
      <c r="NDR11" s="3428"/>
      <c r="NDS11" s="3428"/>
      <c r="NDT11" s="3428"/>
      <c r="NDU11" s="3428"/>
      <c r="NDV11" s="3428"/>
      <c r="NDW11" s="3428"/>
      <c r="NDX11" s="3428"/>
      <c r="NDY11" s="3428"/>
      <c r="NDZ11" s="3428"/>
      <c r="NEA11" s="3428"/>
      <c r="NEB11" s="3428"/>
      <c r="NEC11" s="3428"/>
      <c r="NED11" s="3428"/>
      <c r="NEE11" s="3428"/>
      <c r="NEF11" s="3428"/>
      <c r="NEG11" s="3428"/>
      <c r="NEH11" s="3428"/>
      <c r="NEI11" s="3428"/>
      <c r="NEJ11" s="3428"/>
      <c r="NEK11" s="3428"/>
      <c r="NEL11" s="3428"/>
      <c r="NEM11" s="3428"/>
      <c r="NEN11" s="3428"/>
      <c r="NEO11" s="3428"/>
      <c r="NEP11" s="3428"/>
      <c r="NEQ11" s="3428"/>
      <c r="NER11" s="3428"/>
      <c r="NES11" s="3428"/>
      <c r="NET11" s="3428"/>
      <c r="NEU11" s="3428"/>
      <c r="NEV11" s="3428"/>
      <c r="NEW11" s="3428"/>
      <c r="NEX11" s="3428"/>
      <c r="NEY11" s="3428"/>
      <c r="NEZ11" s="3428"/>
      <c r="NFA11" s="3428"/>
      <c r="NFB11" s="3428"/>
      <c r="NFC11" s="3428"/>
      <c r="NFD11" s="3428"/>
      <c r="NFE11" s="3428"/>
      <c r="NFF11" s="3428"/>
      <c r="NFG11" s="3428"/>
      <c r="NFH11" s="3428"/>
      <c r="NFI11" s="3428"/>
      <c r="NFJ11" s="3428"/>
      <c r="NFK11" s="3428"/>
      <c r="NFL11" s="3428"/>
      <c r="NFM11" s="3428"/>
      <c r="NFN11" s="3428"/>
      <c r="NFO11" s="3428"/>
      <c r="NFP11" s="3428"/>
      <c r="NFQ11" s="3428"/>
      <c r="NFR11" s="3428"/>
      <c r="NFS11" s="3428"/>
      <c r="NFT11" s="3428"/>
      <c r="NFU11" s="3428"/>
      <c r="NFV11" s="3428"/>
      <c r="NFW11" s="3428"/>
      <c r="NFX11" s="3428"/>
      <c r="NFY11" s="3428"/>
      <c r="NFZ11" s="3428"/>
      <c r="NGA11" s="3428"/>
      <c r="NGB11" s="3428"/>
      <c r="NGC11" s="3428"/>
      <c r="NGD11" s="3428"/>
      <c r="NGE11" s="3428"/>
      <c r="NGF11" s="3428"/>
      <c r="NGG11" s="3428"/>
      <c r="NGH11" s="3428"/>
      <c r="NGI11" s="3428"/>
      <c r="NGJ11" s="3428"/>
      <c r="NGK11" s="3428"/>
      <c r="NGL11" s="3428"/>
      <c r="NGM11" s="3428"/>
      <c r="NGN11" s="3428"/>
      <c r="NGO11" s="3428"/>
      <c r="NGP11" s="3428"/>
      <c r="NGQ11" s="3428"/>
      <c r="NGR11" s="3428"/>
      <c r="NGS11" s="3428"/>
      <c r="NGT11" s="3428"/>
      <c r="NGU11" s="3428"/>
      <c r="NGV11" s="3428"/>
      <c r="NGW11" s="3428"/>
      <c r="NGX11" s="3428"/>
      <c r="NGY11" s="3428"/>
      <c r="NGZ11" s="3428"/>
      <c r="NHA11" s="3428"/>
      <c r="NHB11" s="3428"/>
      <c r="NHC11" s="3428"/>
      <c r="NHD11" s="3428"/>
      <c r="NHE11" s="3428"/>
      <c r="NHF11" s="3428"/>
      <c r="NHG11" s="3428"/>
      <c r="NHH11" s="3428"/>
      <c r="NHI11" s="3428"/>
      <c r="NHJ11" s="3428"/>
      <c r="NHK11" s="3428"/>
      <c r="NHL11" s="3428"/>
      <c r="NHM11" s="3428"/>
      <c r="NHN11" s="3428"/>
      <c r="NHO11" s="3428"/>
      <c r="NHP11" s="3428"/>
      <c r="NHQ11" s="3428"/>
      <c r="NHR11" s="3428"/>
      <c r="NHS11" s="3428"/>
      <c r="NHT11" s="3428"/>
      <c r="NHU11" s="3428"/>
      <c r="NHV11" s="3428"/>
      <c r="NHW11" s="3428"/>
      <c r="NHX11" s="3428"/>
      <c r="NHY11" s="3428"/>
      <c r="NHZ11" s="3428"/>
      <c r="NIA11" s="3428"/>
      <c r="NIB11" s="3428"/>
      <c r="NIC11" s="3428"/>
      <c r="NID11" s="3428"/>
      <c r="NIE11" s="3428"/>
      <c r="NIF11" s="3428"/>
      <c r="NIG11" s="3428"/>
      <c r="NIH11" s="3428"/>
      <c r="NII11" s="3428"/>
      <c r="NIJ11" s="3428"/>
      <c r="NIK11" s="3428"/>
      <c r="NIL11" s="3428"/>
      <c r="NIM11" s="3428"/>
      <c r="NIN11" s="3428"/>
      <c r="NIO11" s="3428"/>
      <c r="NIP11" s="3428"/>
      <c r="NIQ11" s="3428"/>
      <c r="NIR11" s="3428"/>
      <c r="NIS11" s="3428"/>
      <c r="NIT11" s="3428"/>
      <c r="NIU11" s="3428"/>
      <c r="NIV11" s="3428"/>
      <c r="NIW11" s="3428"/>
      <c r="NIX11" s="3428"/>
      <c r="NIY11" s="3428"/>
      <c r="NIZ11" s="3428"/>
      <c r="NJA11" s="3428"/>
      <c r="NJB11" s="3428"/>
      <c r="NJC11" s="3428"/>
      <c r="NJD11" s="3428"/>
      <c r="NJE11" s="3428"/>
      <c r="NJF11" s="3428"/>
      <c r="NJG11" s="3428"/>
      <c r="NJH11" s="3428"/>
      <c r="NJI11" s="3428"/>
      <c r="NJJ11" s="3428"/>
      <c r="NJK11" s="3428"/>
      <c r="NJL11" s="3428"/>
      <c r="NJM11" s="3428"/>
      <c r="NJN11" s="3428"/>
      <c r="NJO11" s="3428"/>
      <c r="NJP11" s="3428"/>
      <c r="NJQ11" s="3428"/>
      <c r="NJR11" s="3428"/>
      <c r="NJS11" s="3428"/>
      <c r="NJT11" s="3428"/>
      <c r="NJU11" s="3428"/>
      <c r="NJV11" s="3428"/>
      <c r="NJW11" s="3428"/>
      <c r="NJX11" s="3428"/>
      <c r="NJY11" s="3428"/>
      <c r="NJZ11" s="3428"/>
      <c r="NKA11" s="3428"/>
      <c r="NKB11" s="3428"/>
      <c r="NKC11" s="3428"/>
      <c r="NKD11" s="3428"/>
      <c r="NKE11" s="3428"/>
      <c r="NKF11" s="3428"/>
      <c r="NKG11" s="3428"/>
      <c r="NKH11" s="3428"/>
      <c r="NKI11" s="3428"/>
      <c r="NKJ11" s="3428"/>
      <c r="NKK11" s="3428"/>
      <c r="NKL11" s="3428"/>
      <c r="NKM11" s="3428"/>
      <c r="NKN11" s="3428"/>
      <c r="NKO11" s="3428"/>
      <c r="NKP11" s="3428"/>
      <c r="NKQ11" s="3428"/>
      <c r="NKR11" s="3428"/>
      <c r="NKS11" s="3428"/>
      <c r="NKT11" s="3428"/>
      <c r="NKU11" s="3428"/>
      <c r="NKV11" s="3428"/>
      <c r="NKW11" s="3428"/>
      <c r="NKX11" s="3428"/>
      <c r="NKY11" s="3428"/>
      <c r="NKZ11" s="3428"/>
      <c r="NLA11" s="3428"/>
      <c r="NLB11" s="3428"/>
      <c r="NLC11" s="3428"/>
      <c r="NLD11" s="3428"/>
      <c r="NLE11" s="3428"/>
      <c r="NLF11" s="3428"/>
      <c r="NLG11" s="3428"/>
      <c r="NLH11" s="3428"/>
      <c r="NLI11" s="3428"/>
      <c r="NLJ11" s="3428"/>
      <c r="NLK11" s="3428"/>
      <c r="NLL11" s="3428"/>
      <c r="NLM11" s="3428"/>
      <c r="NLN11" s="3428"/>
      <c r="NLO11" s="3428"/>
      <c r="NLP11" s="3428"/>
      <c r="NLQ11" s="3428"/>
      <c r="NLR11" s="3428"/>
      <c r="NLS11" s="3428"/>
      <c r="NLT11" s="3428"/>
      <c r="NLU11" s="3428"/>
      <c r="NLV11" s="3428"/>
      <c r="NLW11" s="3428"/>
      <c r="NLX11" s="3428"/>
      <c r="NLY11" s="3428"/>
      <c r="NLZ11" s="3428"/>
      <c r="NMA11" s="3428"/>
      <c r="NMB11" s="3428"/>
      <c r="NMC11" s="3428"/>
      <c r="NMD11" s="3428"/>
      <c r="NME11" s="3428"/>
      <c r="NMF11" s="3428"/>
      <c r="NMG11" s="3428"/>
      <c r="NMH11" s="3428"/>
      <c r="NMI11" s="3428"/>
      <c r="NMJ11" s="3428"/>
      <c r="NMK11" s="3428"/>
      <c r="NML11" s="3428"/>
      <c r="NMM11" s="3428"/>
      <c r="NMN11" s="3428"/>
      <c r="NMO11" s="3428"/>
      <c r="NMP11" s="3428"/>
      <c r="NMQ11" s="3428"/>
      <c r="NMR11" s="3428"/>
      <c r="NMS11" s="3428"/>
      <c r="NMT11" s="3428"/>
      <c r="NMU11" s="3428"/>
      <c r="NMV11" s="3428"/>
      <c r="NMW11" s="3428"/>
      <c r="NMX11" s="3428"/>
      <c r="NMY11" s="3428"/>
      <c r="NMZ11" s="3428"/>
      <c r="NNA11" s="3428"/>
      <c r="NNB11" s="3428"/>
      <c r="NNC11" s="3428"/>
      <c r="NND11" s="3428"/>
      <c r="NNE11" s="3428"/>
      <c r="NNF11" s="3428"/>
      <c r="NNG11" s="3428"/>
      <c r="NNH11" s="3428"/>
      <c r="NNI11" s="3428"/>
      <c r="NNJ11" s="3428"/>
      <c r="NNK11" s="3428"/>
      <c r="NNL11" s="3428"/>
      <c r="NNM11" s="3428"/>
      <c r="NNN11" s="3428"/>
      <c r="NNO11" s="3428"/>
      <c r="NNP11" s="3428"/>
      <c r="NNQ11" s="3428"/>
      <c r="NNR11" s="3428"/>
      <c r="NNS11" s="3428"/>
      <c r="NNT11" s="3428"/>
      <c r="NNU11" s="3428"/>
      <c r="NNV11" s="3428"/>
      <c r="NNW11" s="3428"/>
      <c r="NNX11" s="3428"/>
      <c r="NNY11" s="3428"/>
      <c r="NNZ11" s="3428"/>
      <c r="NOA11" s="3428"/>
      <c r="NOB11" s="3428"/>
      <c r="NOC11" s="3428"/>
      <c r="NOD11" s="3428"/>
      <c r="NOE11" s="3428"/>
      <c r="NOF11" s="3428"/>
      <c r="NOG11" s="3428"/>
      <c r="NOH11" s="3428"/>
      <c r="NOI11" s="3428"/>
      <c r="NOJ11" s="3428"/>
      <c r="NOK11" s="3428"/>
      <c r="NOL11" s="3428"/>
      <c r="NOM11" s="3428"/>
      <c r="NON11" s="3428"/>
      <c r="NOO11" s="3428"/>
      <c r="NOP11" s="3428"/>
      <c r="NOQ11" s="3428"/>
      <c r="NOR11" s="3428"/>
      <c r="NOS11" s="3428"/>
      <c r="NOT11" s="3428"/>
      <c r="NOU11" s="3428"/>
      <c r="NOV11" s="3428"/>
      <c r="NOW11" s="3428"/>
      <c r="NOX11" s="3428"/>
      <c r="NOY11" s="3428"/>
      <c r="NOZ11" s="3428"/>
      <c r="NPA11" s="3428"/>
      <c r="NPB11" s="3428"/>
      <c r="NPC11" s="3428"/>
      <c r="NPD11" s="3428"/>
      <c r="NPE11" s="3428"/>
      <c r="NPF11" s="3428"/>
      <c r="NPG11" s="3428"/>
      <c r="NPH11" s="3428"/>
      <c r="NPI11" s="3428"/>
      <c r="NPJ11" s="3428"/>
      <c r="NPK11" s="3428"/>
      <c r="NPL11" s="3428"/>
      <c r="NPM11" s="3428"/>
      <c r="NPN11" s="3428"/>
      <c r="NPO11" s="3428"/>
      <c r="NPP11" s="3428"/>
      <c r="NPQ11" s="3428"/>
      <c r="NPR11" s="3428"/>
      <c r="NPS11" s="3428"/>
      <c r="NPT11" s="3428"/>
      <c r="NPU11" s="3428"/>
      <c r="NPV11" s="3428"/>
      <c r="NPW11" s="3428"/>
      <c r="NPX11" s="3428"/>
      <c r="NPY11" s="3428"/>
      <c r="NPZ11" s="3428"/>
      <c r="NQA11" s="3428"/>
      <c r="NQB11" s="3428"/>
      <c r="NQC11" s="3428"/>
      <c r="NQD11" s="3428"/>
      <c r="NQE11" s="3428"/>
      <c r="NQF11" s="3428"/>
      <c r="NQG11" s="3428"/>
      <c r="NQH11" s="3428"/>
      <c r="NQI11" s="3428"/>
      <c r="NQJ11" s="3428"/>
      <c r="NQK11" s="3428"/>
      <c r="NQL11" s="3428"/>
      <c r="NQM11" s="3428"/>
      <c r="NQN11" s="3428"/>
      <c r="NQO11" s="3428"/>
      <c r="NQP11" s="3428"/>
      <c r="NQQ11" s="3428"/>
      <c r="NQR11" s="3428"/>
      <c r="NQS11" s="3428"/>
      <c r="NQT11" s="3428"/>
      <c r="NQU11" s="3428"/>
      <c r="NQV11" s="3428"/>
      <c r="NQW11" s="3428"/>
      <c r="NQX11" s="3428"/>
      <c r="NQY11" s="3428"/>
      <c r="NQZ11" s="3428"/>
      <c r="NRA11" s="3428"/>
      <c r="NRB11" s="3428"/>
      <c r="NRC11" s="3428"/>
      <c r="NRD11" s="3428"/>
      <c r="NRE11" s="3428"/>
      <c r="NRF11" s="3428"/>
      <c r="NRG11" s="3428"/>
      <c r="NRH11" s="3428"/>
      <c r="NRI11" s="3428"/>
      <c r="NRJ11" s="3428"/>
      <c r="NRK11" s="3428"/>
      <c r="NRL11" s="3428"/>
      <c r="NRM11" s="3428"/>
      <c r="NRN11" s="3428"/>
      <c r="NRO11" s="3428"/>
      <c r="NRP11" s="3428"/>
      <c r="NRQ11" s="3428"/>
      <c r="NRR11" s="3428"/>
      <c r="NRS11" s="3428"/>
      <c r="NRT11" s="3428"/>
      <c r="NRU11" s="3428"/>
      <c r="NRV11" s="3428"/>
      <c r="NRW11" s="3428"/>
      <c r="NRX11" s="3428"/>
      <c r="NRY11" s="3428"/>
      <c r="NRZ11" s="3428"/>
      <c r="NSA11" s="3428"/>
      <c r="NSB11" s="3428"/>
      <c r="NSC11" s="3428"/>
      <c r="NSD11" s="3428"/>
      <c r="NSE11" s="3428"/>
      <c r="NSF11" s="3428"/>
      <c r="NSG11" s="3428"/>
      <c r="NSH11" s="3428"/>
      <c r="NSI11" s="3428"/>
      <c r="NSJ11" s="3428"/>
      <c r="NSK11" s="3428"/>
      <c r="NSL11" s="3428"/>
      <c r="NSM11" s="3428"/>
      <c r="NSN11" s="3428"/>
      <c r="NSO11" s="3428"/>
      <c r="NSP11" s="3428"/>
      <c r="NSQ11" s="3428"/>
      <c r="NSR11" s="3428"/>
      <c r="NSS11" s="3428"/>
      <c r="NST11" s="3428"/>
      <c r="NSU11" s="3428"/>
      <c r="NSV11" s="3428"/>
      <c r="NSW11" s="3428"/>
      <c r="NSX11" s="3428"/>
      <c r="NSY11" s="3428"/>
      <c r="NSZ11" s="3428"/>
      <c r="NTA11" s="3428"/>
      <c r="NTB11" s="3428"/>
      <c r="NTC11" s="3428"/>
      <c r="NTD11" s="3428"/>
      <c r="NTE11" s="3428"/>
      <c r="NTF11" s="3428"/>
      <c r="NTG11" s="3428"/>
      <c r="NTH11" s="3428"/>
      <c r="NTI11" s="3428"/>
      <c r="NTJ11" s="3428"/>
      <c r="NTK11" s="3428"/>
      <c r="NTL11" s="3428"/>
      <c r="NTM11" s="3428"/>
      <c r="NTN11" s="3428"/>
      <c r="NTO11" s="3428"/>
      <c r="NTP11" s="3428"/>
      <c r="NTQ11" s="3428"/>
      <c r="NTR11" s="3428"/>
      <c r="NTS11" s="3428"/>
      <c r="NTT11" s="3428"/>
      <c r="NTU11" s="3428"/>
      <c r="NTV11" s="3428"/>
      <c r="NTW11" s="3428"/>
      <c r="NTX11" s="3428"/>
      <c r="NTY11" s="3428"/>
      <c r="NTZ11" s="3428"/>
      <c r="NUA11" s="3428"/>
      <c r="NUB11" s="3428"/>
      <c r="NUC11" s="3428"/>
      <c r="NUD11" s="3428"/>
      <c r="NUE11" s="3428"/>
      <c r="NUF11" s="3428"/>
      <c r="NUG11" s="3428"/>
      <c r="NUH11" s="3428"/>
      <c r="NUI11" s="3428"/>
      <c r="NUJ11" s="3428"/>
      <c r="NUK11" s="3428"/>
      <c r="NUL11" s="3428"/>
      <c r="NUM11" s="3428"/>
      <c r="NUN11" s="3428"/>
      <c r="NUO11" s="3428"/>
      <c r="NUP11" s="3428"/>
      <c r="NUQ11" s="3428"/>
      <c r="NUR11" s="3428"/>
      <c r="NUS11" s="3428"/>
      <c r="NUT11" s="3428"/>
      <c r="NUU11" s="3428"/>
      <c r="NUV11" s="3428"/>
      <c r="NUW11" s="3428"/>
      <c r="NUX11" s="3428"/>
      <c r="NUY11" s="3428"/>
      <c r="NUZ11" s="3428"/>
      <c r="NVA11" s="3428"/>
      <c r="NVB11" s="3428"/>
      <c r="NVC11" s="3428"/>
      <c r="NVD11" s="3428"/>
      <c r="NVE11" s="3428"/>
      <c r="NVF11" s="3428"/>
      <c r="NVG11" s="3428"/>
      <c r="NVH11" s="3428"/>
      <c r="NVI11" s="3428"/>
      <c r="NVJ11" s="3428"/>
      <c r="NVK11" s="3428"/>
      <c r="NVL11" s="3428"/>
      <c r="NVM11" s="3428"/>
      <c r="NVN11" s="3428"/>
      <c r="NVO11" s="3428"/>
      <c r="NVP11" s="3428"/>
      <c r="NVQ11" s="3428"/>
      <c r="NVR11" s="3428"/>
      <c r="NVS11" s="3428"/>
      <c r="NVT11" s="3428"/>
      <c r="NVU11" s="3428"/>
      <c r="NVV11" s="3428"/>
      <c r="NVW11" s="3428"/>
      <c r="NVX11" s="3428"/>
      <c r="NVY11" s="3428"/>
      <c r="NVZ11" s="3428"/>
      <c r="NWA11" s="3428"/>
      <c r="NWB11" s="3428"/>
      <c r="NWC11" s="3428"/>
      <c r="NWD11" s="3428"/>
      <c r="NWE11" s="3428"/>
      <c r="NWF11" s="3428"/>
      <c r="NWG11" s="3428"/>
      <c r="NWH11" s="3428"/>
      <c r="NWI11" s="3428"/>
      <c r="NWJ11" s="3428"/>
      <c r="NWK11" s="3428"/>
      <c r="NWL11" s="3428"/>
      <c r="NWM11" s="3428"/>
      <c r="NWN11" s="3428"/>
      <c r="NWO11" s="3428"/>
      <c r="NWP11" s="3428"/>
      <c r="NWQ11" s="3428"/>
      <c r="NWR11" s="3428"/>
      <c r="NWS11" s="3428"/>
      <c r="NWT11" s="3428"/>
      <c r="NWU11" s="3428"/>
      <c r="NWV11" s="3428"/>
      <c r="NWW11" s="3428"/>
      <c r="NWX11" s="3428"/>
      <c r="NWY11" s="3428"/>
      <c r="NWZ11" s="3428"/>
      <c r="NXA11" s="3428"/>
      <c r="NXB11" s="3428"/>
      <c r="NXC11" s="3428"/>
      <c r="NXD11" s="3428"/>
      <c r="NXE11" s="3428"/>
      <c r="NXF11" s="3428"/>
      <c r="NXG11" s="3428"/>
      <c r="NXH11" s="3428"/>
      <c r="NXI11" s="3428"/>
      <c r="NXJ11" s="3428"/>
      <c r="NXK11" s="3428"/>
      <c r="NXL11" s="3428"/>
      <c r="NXM11" s="3428"/>
      <c r="NXN11" s="3428"/>
      <c r="NXO11" s="3428"/>
      <c r="NXP11" s="3428"/>
      <c r="NXQ11" s="3428"/>
      <c r="NXR11" s="3428"/>
      <c r="NXS11" s="3428"/>
      <c r="NXT11" s="3428"/>
      <c r="NXU11" s="3428"/>
      <c r="NXV11" s="3428"/>
      <c r="NXW11" s="3428"/>
      <c r="NXX11" s="3428"/>
      <c r="NXY11" s="3428"/>
      <c r="NXZ11" s="3428"/>
      <c r="NYA11" s="3428"/>
      <c r="NYB11" s="3428"/>
      <c r="NYC11" s="3428"/>
      <c r="NYD11" s="3428"/>
      <c r="NYE11" s="3428"/>
      <c r="NYF11" s="3428"/>
      <c r="NYG11" s="3428"/>
      <c r="NYH11" s="3428"/>
      <c r="NYI11" s="3428"/>
      <c r="NYJ11" s="3428"/>
      <c r="NYK11" s="3428"/>
      <c r="NYL11" s="3428"/>
      <c r="NYM11" s="3428"/>
      <c r="NYN11" s="3428"/>
      <c r="NYO11" s="3428"/>
      <c r="NYP11" s="3428"/>
      <c r="NYQ11" s="3428"/>
      <c r="NYR11" s="3428"/>
      <c r="NYS11" s="3428"/>
      <c r="NYT11" s="3428"/>
      <c r="NYU11" s="3428"/>
      <c r="NYV11" s="3428"/>
      <c r="NYW11" s="3428"/>
      <c r="NYX11" s="3428"/>
      <c r="NYY11" s="3428"/>
      <c r="NYZ11" s="3428"/>
      <c r="NZA11" s="3428"/>
      <c r="NZB11" s="3428"/>
      <c r="NZC11" s="3428"/>
      <c r="NZD11" s="3428"/>
      <c r="NZE11" s="3428"/>
      <c r="NZF11" s="3428"/>
      <c r="NZG11" s="3428"/>
      <c r="NZH11" s="3428"/>
      <c r="NZI11" s="3428"/>
      <c r="NZJ11" s="3428"/>
      <c r="NZK11" s="3428"/>
      <c r="NZL11" s="3428"/>
      <c r="NZM11" s="3428"/>
      <c r="NZN11" s="3428"/>
      <c r="NZO11" s="3428"/>
      <c r="NZP11" s="3428"/>
      <c r="NZQ11" s="3428"/>
      <c r="NZR11" s="3428"/>
      <c r="NZS11" s="3428"/>
      <c r="NZT11" s="3428"/>
      <c r="NZU11" s="3428"/>
      <c r="NZV11" s="3428"/>
      <c r="NZW11" s="3428"/>
      <c r="NZX11" s="3428"/>
      <c r="NZY11" s="3428"/>
      <c r="NZZ11" s="3428"/>
      <c r="OAA11" s="3428"/>
      <c r="OAB11" s="3428"/>
      <c r="OAC11" s="3428"/>
      <c r="OAD11" s="3428"/>
      <c r="OAE11" s="3428"/>
      <c r="OAF11" s="3428"/>
      <c r="OAG11" s="3428"/>
      <c r="OAH11" s="3428"/>
      <c r="OAI11" s="3428"/>
      <c r="OAJ11" s="3428"/>
      <c r="OAK11" s="3428"/>
      <c r="OAL11" s="3428"/>
      <c r="OAM11" s="3428"/>
      <c r="OAN11" s="3428"/>
      <c r="OAO11" s="3428"/>
      <c r="OAP11" s="3428"/>
      <c r="OAQ11" s="3428"/>
      <c r="OAR11" s="3428"/>
      <c r="OAS11" s="3428"/>
      <c r="OAT11" s="3428"/>
      <c r="OAU11" s="3428"/>
      <c r="OAV11" s="3428"/>
      <c r="OAW11" s="3428"/>
      <c r="OAX11" s="3428"/>
      <c r="OAY11" s="3428"/>
      <c r="OAZ11" s="3428"/>
      <c r="OBA11" s="3428"/>
      <c r="OBB11" s="3428"/>
      <c r="OBC11" s="3428"/>
      <c r="OBD11" s="3428"/>
      <c r="OBE11" s="3428"/>
      <c r="OBF11" s="3428"/>
      <c r="OBG11" s="3428"/>
      <c r="OBH11" s="3428"/>
      <c r="OBI11" s="3428"/>
      <c r="OBJ11" s="3428"/>
      <c r="OBK11" s="3428"/>
      <c r="OBL11" s="3428"/>
      <c r="OBM11" s="3428"/>
      <c r="OBN11" s="3428"/>
      <c r="OBO11" s="3428"/>
      <c r="OBP11" s="3428"/>
      <c r="OBQ11" s="3428"/>
      <c r="OBR11" s="3428"/>
      <c r="OBS11" s="3428"/>
      <c r="OBT11" s="3428"/>
      <c r="OBU11" s="3428"/>
      <c r="OBV11" s="3428"/>
      <c r="OBW11" s="3428"/>
      <c r="OBX11" s="3428"/>
      <c r="OBY11" s="3428"/>
      <c r="OBZ11" s="3428"/>
      <c r="OCA11" s="3428"/>
      <c r="OCB11" s="3428"/>
      <c r="OCC11" s="3428"/>
      <c r="OCD11" s="3428"/>
      <c r="OCE11" s="3428"/>
      <c r="OCF11" s="3428"/>
      <c r="OCG11" s="3428"/>
      <c r="OCH11" s="3428"/>
      <c r="OCI11" s="3428"/>
      <c r="OCJ11" s="3428"/>
      <c r="OCK11" s="3428"/>
      <c r="OCL11" s="3428"/>
      <c r="OCM11" s="3428"/>
      <c r="OCN11" s="3428"/>
      <c r="OCO11" s="3428"/>
      <c r="OCP11" s="3428"/>
      <c r="OCQ11" s="3428"/>
      <c r="OCR11" s="3428"/>
      <c r="OCS11" s="3428"/>
      <c r="OCT11" s="3428"/>
      <c r="OCU11" s="3428"/>
      <c r="OCV11" s="3428"/>
      <c r="OCW11" s="3428"/>
      <c r="OCX11" s="3428"/>
      <c r="OCY11" s="3428"/>
      <c r="OCZ11" s="3428"/>
      <c r="ODA11" s="3428"/>
      <c r="ODB11" s="3428"/>
      <c r="ODC11" s="3428"/>
      <c r="ODD11" s="3428"/>
      <c r="ODE11" s="3428"/>
      <c r="ODF11" s="3428"/>
      <c r="ODG11" s="3428"/>
      <c r="ODH11" s="3428"/>
      <c r="ODI11" s="3428"/>
      <c r="ODJ11" s="3428"/>
      <c r="ODK11" s="3428"/>
      <c r="ODL11" s="3428"/>
      <c r="ODM11" s="3428"/>
      <c r="ODN11" s="3428"/>
      <c r="ODO11" s="3428"/>
      <c r="ODP11" s="3428"/>
      <c r="ODQ11" s="3428"/>
      <c r="ODR11" s="3428"/>
      <c r="ODS11" s="3428"/>
      <c r="ODT11" s="3428"/>
      <c r="ODU11" s="3428"/>
      <c r="ODV11" s="3428"/>
      <c r="ODW11" s="3428"/>
      <c r="ODX11" s="3428"/>
      <c r="ODY11" s="3428"/>
      <c r="ODZ11" s="3428"/>
      <c r="OEA11" s="3428"/>
      <c r="OEB11" s="3428"/>
      <c r="OEC11" s="3428"/>
      <c r="OED11" s="3428"/>
      <c r="OEE11" s="3428"/>
      <c r="OEF11" s="3428"/>
      <c r="OEG11" s="3428"/>
      <c r="OEH11" s="3428"/>
      <c r="OEI11" s="3428"/>
      <c r="OEJ11" s="3428"/>
      <c r="OEK11" s="3428"/>
      <c r="OEL11" s="3428"/>
      <c r="OEM11" s="3428"/>
      <c r="OEN11" s="3428"/>
      <c r="OEO11" s="3428"/>
      <c r="OEP11" s="3428"/>
      <c r="OEQ11" s="3428"/>
      <c r="OER11" s="3428"/>
      <c r="OES11" s="3428"/>
      <c r="OET11" s="3428"/>
      <c r="OEU11" s="3428"/>
      <c r="OEV11" s="3428"/>
      <c r="OEW11" s="3428"/>
      <c r="OEX11" s="3428"/>
      <c r="OEY11" s="3428"/>
      <c r="OEZ11" s="3428"/>
      <c r="OFA11" s="3428"/>
      <c r="OFB11" s="3428"/>
      <c r="OFC11" s="3428"/>
      <c r="OFD11" s="3428"/>
      <c r="OFE11" s="3428"/>
      <c r="OFF11" s="3428"/>
      <c r="OFG11" s="3428"/>
      <c r="OFH11" s="3428"/>
      <c r="OFI11" s="3428"/>
      <c r="OFJ11" s="3428"/>
      <c r="OFK11" s="3428"/>
      <c r="OFL11" s="3428"/>
      <c r="OFM11" s="3428"/>
      <c r="OFN11" s="3428"/>
      <c r="OFO11" s="3428"/>
      <c r="OFP11" s="3428"/>
      <c r="OFQ11" s="3428"/>
      <c r="OFR11" s="3428"/>
      <c r="OFS11" s="3428"/>
      <c r="OFT11" s="3428"/>
      <c r="OFU11" s="3428"/>
      <c r="OFV11" s="3428"/>
      <c r="OFW11" s="3428"/>
      <c r="OFX11" s="3428"/>
      <c r="OFY11" s="3428"/>
      <c r="OFZ11" s="3428"/>
      <c r="OGA11" s="3428"/>
      <c r="OGB11" s="3428"/>
      <c r="OGC11" s="3428"/>
      <c r="OGD11" s="3428"/>
      <c r="OGE11" s="3428"/>
      <c r="OGF11" s="3428"/>
      <c r="OGG11" s="3428"/>
      <c r="OGH11" s="3428"/>
      <c r="OGI11" s="3428"/>
      <c r="OGJ11" s="3428"/>
      <c r="OGK11" s="3428"/>
      <c r="OGL11" s="3428"/>
      <c r="OGM11" s="3428"/>
      <c r="OGN11" s="3428"/>
      <c r="OGO11" s="3428"/>
      <c r="OGP11" s="3428"/>
      <c r="OGQ11" s="3428"/>
      <c r="OGR11" s="3428"/>
      <c r="OGS11" s="3428"/>
      <c r="OGT11" s="3428"/>
      <c r="OGU11" s="3428"/>
      <c r="OGV11" s="3428"/>
      <c r="OGW11" s="3428"/>
      <c r="OGX11" s="3428"/>
      <c r="OGY11" s="3428"/>
      <c r="OGZ11" s="3428"/>
      <c r="OHA11" s="3428"/>
      <c r="OHB11" s="3428"/>
      <c r="OHC11" s="3428"/>
      <c r="OHD11" s="3428"/>
      <c r="OHE11" s="3428"/>
      <c r="OHF11" s="3428"/>
      <c r="OHG11" s="3428"/>
      <c r="OHH11" s="3428"/>
      <c r="OHI11" s="3428"/>
      <c r="OHJ11" s="3428"/>
      <c r="OHK11" s="3428"/>
      <c r="OHL11" s="3428"/>
      <c r="OHM11" s="3428"/>
      <c r="OHN11" s="3428"/>
      <c r="OHO11" s="3428"/>
      <c r="OHP11" s="3428"/>
      <c r="OHQ11" s="3428"/>
      <c r="OHR11" s="3428"/>
      <c r="OHS11" s="3428"/>
      <c r="OHT11" s="3428"/>
      <c r="OHU11" s="3428"/>
      <c r="OHV11" s="3428"/>
      <c r="OHW11" s="3428"/>
      <c r="OHX11" s="3428"/>
      <c r="OHY11" s="3428"/>
      <c r="OHZ11" s="3428"/>
      <c r="OIA11" s="3428"/>
      <c r="OIB11" s="3428"/>
      <c r="OIC11" s="3428"/>
      <c r="OID11" s="3428"/>
      <c r="OIE11" s="3428"/>
      <c r="OIF11" s="3428"/>
      <c r="OIG11" s="3428"/>
      <c r="OIH11" s="3428"/>
      <c r="OII11" s="3428"/>
      <c r="OIJ11" s="3428"/>
      <c r="OIK11" s="3428"/>
      <c r="OIL11" s="3428"/>
      <c r="OIM11" s="3428"/>
      <c r="OIN11" s="3428"/>
      <c r="OIO11" s="3428"/>
      <c r="OIP11" s="3428"/>
      <c r="OIQ11" s="3428"/>
      <c r="OIR11" s="3428"/>
      <c r="OIS11" s="3428"/>
      <c r="OIT11" s="3428"/>
      <c r="OIU11" s="3428"/>
      <c r="OIV11" s="3428"/>
      <c r="OIW11" s="3428"/>
      <c r="OIX11" s="3428"/>
      <c r="OIY11" s="3428"/>
      <c r="OIZ11" s="3428"/>
      <c r="OJA11" s="3428"/>
      <c r="OJB11" s="3428"/>
      <c r="OJC11" s="3428"/>
      <c r="OJD11" s="3428"/>
      <c r="OJE11" s="3428"/>
      <c r="OJF11" s="3428"/>
      <c r="OJG11" s="3428"/>
      <c r="OJH11" s="3428"/>
      <c r="OJI11" s="3428"/>
      <c r="OJJ11" s="3428"/>
      <c r="OJK11" s="3428"/>
      <c r="OJL11" s="3428"/>
      <c r="OJM11" s="3428"/>
      <c r="OJN11" s="3428"/>
      <c r="OJO11" s="3428"/>
      <c r="OJP11" s="3428"/>
      <c r="OJQ11" s="3428"/>
      <c r="OJR11" s="3428"/>
      <c r="OJS11" s="3428"/>
      <c r="OJT11" s="3428"/>
      <c r="OJU11" s="3428"/>
      <c r="OJV11" s="3428"/>
      <c r="OJW11" s="3428"/>
      <c r="OJX11" s="3428"/>
      <c r="OJY11" s="3428"/>
      <c r="OJZ11" s="3428"/>
      <c r="OKA11" s="3428"/>
      <c r="OKB11" s="3428"/>
      <c r="OKC11" s="3428"/>
      <c r="OKD11" s="3428"/>
      <c r="OKE11" s="3428"/>
      <c r="OKF11" s="3428"/>
      <c r="OKG11" s="3428"/>
      <c r="OKH11" s="3428"/>
      <c r="OKI11" s="3428"/>
      <c r="OKJ11" s="3428"/>
      <c r="OKK11" s="3428"/>
      <c r="OKL11" s="3428"/>
      <c r="OKM11" s="3428"/>
      <c r="OKN11" s="3428"/>
      <c r="OKO11" s="3428"/>
      <c r="OKP11" s="3428"/>
      <c r="OKQ11" s="3428"/>
      <c r="OKR11" s="3428"/>
      <c r="OKS11" s="3428"/>
      <c r="OKT11" s="3428"/>
      <c r="OKU11" s="3428"/>
      <c r="OKV11" s="3428"/>
      <c r="OKW11" s="3428"/>
      <c r="OKX11" s="3428"/>
      <c r="OKY11" s="3428"/>
      <c r="OKZ11" s="3428"/>
      <c r="OLA11" s="3428"/>
      <c r="OLB11" s="3428"/>
      <c r="OLC11" s="3428"/>
      <c r="OLD11" s="3428"/>
      <c r="OLE11" s="3428"/>
      <c r="OLF11" s="3428"/>
      <c r="OLG11" s="3428"/>
      <c r="OLH11" s="3428"/>
      <c r="OLI11" s="3428"/>
      <c r="OLJ11" s="3428"/>
      <c r="OLK11" s="3428"/>
      <c r="OLL11" s="3428"/>
      <c r="OLM11" s="3428"/>
      <c r="OLN11" s="3428"/>
      <c r="OLO11" s="3428"/>
      <c r="OLP11" s="3428"/>
      <c r="OLQ11" s="3428"/>
      <c r="OLR11" s="3428"/>
      <c r="OLS11" s="3428"/>
      <c r="OLT11" s="3428"/>
      <c r="OLU11" s="3428"/>
      <c r="OLV11" s="3428"/>
      <c r="OLW11" s="3428"/>
      <c r="OLX11" s="3428"/>
      <c r="OLY11" s="3428"/>
      <c r="OLZ11" s="3428"/>
      <c r="OMA11" s="3428"/>
      <c r="OMB11" s="3428"/>
      <c r="OMC11" s="3428"/>
      <c r="OMD11" s="3428"/>
      <c r="OME11" s="3428"/>
      <c r="OMF11" s="3428"/>
      <c r="OMG11" s="3428"/>
      <c r="OMH11" s="3428"/>
      <c r="OMI11" s="3428"/>
      <c r="OMJ11" s="3428"/>
      <c r="OMK11" s="3428"/>
      <c r="OML11" s="3428"/>
      <c r="OMM11" s="3428"/>
      <c r="OMN11" s="3428"/>
      <c r="OMO11" s="3428"/>
      <c r="OMP11" s="3428"/>
      <c r="OMQ11" s="3428"/>
      <c r="OMR11" s="3428"/>
      <c r="OMS11" s="3428"/>
      <c r="OMT11" s="3428"/>
      <c r="OMU11" s="3428"/>
      <c r="OMV11" s="3428"/>
      <c r="OMW11" s="3428"/>
      <c r="OMX11" s="3428"/>
      <c r="OMY11" s="3428"/>
      <c r="OMZ11" s="3428"/>
      <c r="ONA11" s="3428"/>
      <c r="ONB11" s="3428"/>
      <c r="ONC11" s="3428"/>
      <c r="OND11" s="3428"/>
      <c r="ONE11" s="3428"/>
      <c r="ONF11" s="3428"/>
      <c r="ONG11" s="3428"/>
      <c r="ONH11" s="3428"/>
      <c r="ONI11" s="3428"/>
      <c r="ONJ11" s="3428"/>
      <c r="ONK11" s="3428"/>
      <c r="ONL11" s="3428"/>
      <c r="ONM11" s="3428"/>
      <c r="ONN11" s="3428"/>
      <c r="ONO11" s="3428"/>
      <c r="ONP11" s="3428"/>
      <c r="ONQ11" s="3428"/>
      <c r="ONR11" s="3428"/>
      <c r="ONS11" s="3428"/>
      <c r="ONT11" s="3428"/>
      <c r="ONU11" s="3428"/>
      <c r="ONV11" s="3428"/>
      <c r="ONW11" s="3428"/>
      <c r="ONX11" s="3428"/>
      <c r="ONY11" s="3428"/>
      <c r="ONZ11" s="3428"/>
      <c r="OOA11" s="3428"/>
      <c r="OOB11" s="3428"/>
      <c r="OOC11" s="3428"/>
      <c r="OOD11" s="3428"/>
      <c r="OOE11" s="3428"/>
      <c r="OOF11" s="3428"/>
      <c r="OOG11" s="3428"/>
      <c r="OOH11" s="3428"/>
      <c r="OOI11" s="3428"/>
      <c r="OOJ11" s="3428"/>
      <c r="OOK11" s="3428"/>
      <c r="OOL11" s="3428"/>
      <c r="OOM11" s="3428"/>
      <c r="OON11" s="3428"/>
      <c r="OOO11" s="3428"/>
      <c r="OOP11" s="3428"/>
      <c r="OOQ11" s="3428"/>
      <c r="OOR11" s="3428"/>
      <c r="OOS11" s="3428"/>
      <c r="OOT11" s="3428"/>
      <c r="OOU11" s="3428"/>
      <c r="OOV11" s="3428"/>
      <c r="OOW11" s="3428"/>
      <c r="OOX11" s="3428"/>
      <c r="OOY11" s="3428"/>
      <c r="OOZ11" s="3428"/>
      <c r="OPA11" s="3428"/>
      <c r="OPB11" s="3428"/>
      <c r="OPC11" s="3428"/>
      <c r="OPD11" s="3428"/>
      <c r="OPE11" s="3428"/>
      <c r="OPF11" s="3428"/>
      <c r="OPG11" s="3428"/>
      <c r="OPH11" s="3428"/>
      <c r="OPI11" s="3428"/>
      <c r="OPJ11" s="3428"/>
      <c r="OPK11" s="3428"/>
      <c r="OPL11" s="3428"/>
      <c r="OPM11" s="3428"/>
      <c r="OPN11" s="3428"/>
      <c r="OPO11" s="3428"/>
      <c r="OPP11" s="3428"/>
      <c r="OPQ11" s="3428"/>
      <c r="OPR11" s="3428"/>
      <c r="OPS11" s="3428"/>
      <c r="OPT11" s="3428"/>
      <c r="OPU11" s="3428"/>
      <c r="OPV11" s="3428"/>
      <c r="OPW11" s="3428"/>
      <c r="OPX11" s="3428"/>
      <c r="OPY11" s="3428"/>
      <c r="OPZ11" s="3428"/>
      <c r="OQA11" s="3428"/>
      <c r="OQB11" s="3428"/>
      <c r="OQC11" s="3428"/>
      <c r="OQD11" s="3428"/>
      <c r="OQE11" s="3428"/>
      <c r="OQF11" s="3428"/>
      <c r="OQG11" s="3428"/>
      <c r="OQH11" s="3428"/>
      <c r="OQI11" s="3428"/>
      <c r="OQJ11" s="3428"/>
      <c r="OQK11" s="3428"/>
      <c r="OQL11" s="3428"/>
      <c r="OQM11" s="3428"/>
      <c r="OQN11" s="3428"/>
      <c r="OQO11" s="3428"/>
      <c r="OQP11" s="3428"/>
      <c r="OQQ11" s="3428"/>
      <c r="OQR11" s="3428"/>
      <c r="OQS11" s="3428"/>
      <c r="OQT11" s="3428"/>
      <c r="OQU11" s="3428"/>
      <c r="OQV11" s="3428"/>
      <c r="OQW11" s="3428"/>
      <c r="OQX11" s="3428"/>
      <c r="OQY11" s="3428"/>
      <c r="OQZ11" s="3428"/>
      <c r="ORA11" s="3428"/>
      <c r="ORB11" s="3428"/>
      <c r="ORC11" s="3428"/>
      <c r="ORD11" s="3428"/>
      <c r="ORE11" s="3428"/>
      <c r="ORF11" s="3428"/>
      <c r="ORG11" s="3428"/>
      <c r="ORH11" s="3428"/>
      <c r="ORI11" s="3428"/>
      <c r="ORJ11" s="3428"/>
      <c r="ORK11" s="3428"/>
      <c r="ORL11" s="3428"/>
      <c r="ORM11" s="3428"/>
      <c r="ORN11" s="3428"/>
      <c r="ORO11" s="3428"/>
      <c r="ORP11" s="3428"/>
      <c r="ORQ11" s="3428"/>
      <c r="ORR11" s="3428"/>
      <c r="ORS11" s="3428"/>
      <c r="ORT11" s="3428"/>
      <c r="ORU11" s="3428"/>
      <c r="ORV11" s="3428"/>
      <c r="ORW11" s="3428"/>
      <c r="ORX11" s="3428"/>
      <c r="ORY11" s="3428"/>
      <c r="ORZ11" s="3428"/>
      <c r="OSA11" s="3428"/>
      <c r="OSB11" s="3428"/>
      <c r="OSC11" s="3428"/>
      <c r="OSD11" s="3428"/>
      <c r="OSE11" s="3428"/>
      <c r="OSF11" s="3428"/>
      <c r="OSG11" s="3428"/>
      <c r="OSH11" s="3428"/>
      <c r="OSI11" s="3428"/>
      <c r="OSJ11" s="3428"/>
      <c r="OSK11" s="3428"/>
      <c r="OSL11" s="3428"/>
      <c r="OSM11" s="3428"/>
      <c r="OSN11" s="3428"/>
      <c r="OSO11" s="3428"/>
      <c r="OSP11" s="3428"/>
      <c r="OSQ11" s="3428"/>
      <c r="OSR11" s="3428"/>
      <c r="OSS11" s="3428"/>
      <c r="OST11" s="3428"/>
      <c r="OSU11" s="3428"/>
      <c r="OSV11" s="3428"/>
      <c r="OSW11" s="3428"/>
      <c r="OSX11" s="3428"/>
      <c r="OSY11" s="3428"/>
      <c r="OSZ11" s="3428"/>
      <c r="OTA11" s="3428"/>
      <c r="OTB11" s="3428"/>
      <c r="OTC11" s="3428"/>
      <c r="OTD11" s="3428"/>
      <c r="OTE11" s="3428"/>
      <c r="OTF11" s="3428"/>
      <c r="OTG11" s="3428"/>
      <c r="OTH11" s="3428"/>
      <c r="OTI11" s="3428"/>
      <c r="OTJ11" s="3428"/>
      <c r="OTK11" s="3428"/>
      <c r="OTL11" s="3428"/>
      <c r="OTM11" s="3428"/>
      <c r="OTN11" s="3428"/>
      <c r="OTO11" s="3428"/>
      <c r="OTP11" s="3428"/>
      <c r="OTQ11" s="3428"/>
      <c r="OTR11" s="3428"/>
      <c r="OTS11" s="3428"/>
      <c r="OTT11" s="3428"/>
      <c r="OTU11" s="3428"/>
      <c r="OTV11" s="3428"/>
      <c r="OTW11" s="3428"/>
      <c r="OTX11" s="3428"/>
      <c r="OTY11" s="3428"/>
      <c r="OTZ11" s="3428"/>
      <c r="OUA11" s="3428"/>
      <c r="OUB11" s="3428"/>
      <c r="OUC11" s="3428"/>
      <c r="OUD11" s="3428"/>
      <c r="OUE11" s="3428"/>
      <c r="OUF11" s="3428"/>
      <c r="OUG11" s="3428"/>
      <c r="OUH11" s="3428"/>
      <c r="OUI11" s="3428"/>
      <c r="OUJ11" s="3428"/>
      <c r="OUK11" s="3428"/>
      <c r="OUL11" s="3428"/>
      <c r="OUM11" s="3428"/>
      <c r="OUN11" s="3428"/>
      <c r="OUO11" s="3428"/>
      <c r="OUP11" s="3428"/>
      <c r="OUQ11" s="3428"/>
      <c r="OUR11" s="3428"/>
      <c r="OUS11" s="3428"/>
      <c r="OUT11" s="3428"/>
      <c r="OUU11" s="3428"/>
      <c r="OUV11" s="3428"/>
      <c r="OUW11" s="3428"/>
      <c r="OUX11" s="3428"/>
      <c r="OUY11" s="3428"/>
      <c r="OUZ11" s="3428"/>
      <c r="OVA11" s="3428"/>
      <c r="OVB11" s="3428"/>
      <c r="OVC11" s="3428"/>
      <c r="OVD11" s="3428"/>
      <c r="OVE11" s="3428"/>
      <c r="OVF11" s="3428"/>
      <c r="OVG11" s="3428"/>
      <c r="OVH11" s="3428"/>
      <c r="OVI11" s="3428"/>
      <c r="OVJ11" s="3428"/>
      <c r="OVK11" s="3428"/>
      <c r="OVL11" s="3428"/>
      <c r="OVM11" s="3428"/>
      <c r="OVN11" s="3428"/>
      <c r="OVO11" s="3428"/>
      <c r="OVP11" s="3428"/>
      <c r="OVQ11" s="3428"/>
      <c r="OVR11" s="3428"/>
      <c r="OVS11" s="3428"/>
      <c r="OVT11" s="3428"/>
      <c r="OVU11" s="3428"/>
      <c r="OVV11" s="3428"/>
      <c r="OVW11" s="3428"/>
      <c r="OVX11" s="3428"/>
      <c r="OVY11" s="3428"/>
      <c r="OVZ11" s="3428"/>
      <c r="OWA11" s="3428"/>
      <c r="OWB11" s="3428"/>
      <c r="OWC11" s="3428"/>
      <c r="OWD11" s="3428"/>
      <c r="OWE11" s="3428"/>
      <c r="OWF11" s="3428"/>
      <c r="OWG11" s="3428"/>
      <c r="OWH11" s="3428"/>
      <c r="OWI11" s="3428"/>
      <c r="OWJ11" s="3428"/>
      <c r="OWK11" s="3428"/>
      <c r="OWL11" s="3428"/>
      <c r="OWM11" s="3428"/>
      <c r="OWN11" s="3428"/>
      <c r="OWO11" s="3428"/>
      <c r="OWP11" s="3428"/>
      <c r="OWQ11" s="3428"/>
      <c r="OWR11" s="3428"/>
      <c r="OWS11" s="3428"/>
      <c r="OWT11" s="3428"/>
      <c r="OWU11" s="3428"/>
      <c r="OWV11" s="3428"/>
      <c r="OWW11" s="3428"/>
      <c r="OWX11" s="3428"/>
      <c r="OWY11" s="3428"/>
      <c r="OWZ11" s="3428"/>
      <c r="OXA11" s="3428"/>
      <c r="OXB11" s="3428"/>
      <c r="OXC11" s="3428"/>
      <c r="OXD11" s="3428"/>
      <c r="OXE11" s="3428"/>
      <c r="OXF11" s="3428"/>
      <c r="OXG11" s="3428"/>
      <c r="OXH11" s="3428"/>
      <c r="OXI11" s="3428"/>
      <c r="OXJ11" s="3428"/>
      <c r="OXK11" s="3428"/>
      <c r="OXL11" s="3428"/>
      <c r="OXM11" s="3428"/>
      <c r="OXN11" s="3428"/>
      <c r="OXO11" s="3428"/>
      <c r="OXP11" s="3428"/>
      <c r="OXQ11" s="3428"/>
      <c r="OXR11" s="3428"/>
      <c r="OXS11" s="3428"/>
      <c r="OXT11" s="3428"/>
      <c r="OXU11" s="3428"/>
      <c r="OXV11" s="3428"/>
      <c r="OXW11" s="3428"/>
      <c r="OXX11" s="3428"/>
      <c r="OXY11" s="3428"/>
      <c r="OXZ11" s="3428"/>
      <c r="OYA11" s="3428"/>
      <c r="OYB11" s="3428"/>
      <c r="OYC11" s="3428"/>
      <c r="OYD11" s="3428"/>
      <c r="OYE11" s="3428"/>
      <c r="OYF11" s="3428"/>
      <c r="OYG11" s="3428"/>
      <c r="OYH11" s="3428"/>
      <c r="OYI11" s="3428"/>
      <c r="OYJ11" s="3428"/>
      <c r="OYK11" s="3428"/>
      <c r="OYL11" s="3428"/>
      <c r="OYM11" s="3428"/>
      <c r="OYN11" s="3428"/>
      <c r="OYO11" s="3428"/>
      <c r="OYP11" s="3428"/>
      <c r="OYQ11" s="3428"/>
      <c r="OYR11" s="3428"/>
      <c r="OYS11" s="3428"/>
      <c r="OYT11" s="3428"/>
      <c r="OYU11" s="3428"/>
      <c r="OYV11" s="3428"/>
      <c r="OYW11" s="3428"/>
      <c r="OYX11" s="3428"/>
      <c r="OYY11" s="3428"/>
      <c r="OYZ11" s="3428"/>
      <c r="OZA11" s="3428"/>
      <c r="OZB11" s="3428"/>
      <c r="OZC11" s="3428"/>
      <c r="OZD11" s="3428"/>
      <c r="OZE11" s="3428"/>
      <c r="OZF11" s="3428"/>
      <c r="OZG11" s="3428"/>
      <c r="OZH11" s="3428"/>
      <c r="OZI11" s="3428"/>
      <c r="OZJ11" s="3428"/>
      <c r="OZK11" s="3428"/>
      <c r="OZL11" s="3428"/>
      <c r="OZM11" s="3428"/>
      <c r="OZN11" s="3428"/>
      <c r="OZO11" s="3428"/>
      <c r="OZP11" s="3428"/>
      <c r="OZQ11" s="3428"/>
      <c r="OZR11" s="3428"/>
      <c r="OZS11" s="3428"/>
      <c r="OZT11" s="3428"/>
      <c r="OZU11" s="3428"/>
      <c r="OZV11" s="3428"/>
      <c r="OZW11" s="3428"/>
      <c r="OZX11" s="3428"/>
      <c r="OZY11" s="3428"/>
      <c r="OZZ11" s="3428"/>
      <c r="PAA11" s="3428"/>
      <c r="PAB11" s="3428"/>
      <c r="PAC11" s="3428"/>
      <c r="PAD11" s="3428"/>
      <c r="PAE11" s="3428"/>
      <c r="PAF11" s="3428"/>
      <c r="PAG11" s="3428"/>
      <c r="PAH11" s="3428"/>
      <c r="PAI11" s="3428"/>
      <c r="PAJ11" s="3428"/>
      <c r="PAK11" s="3428"/>
      <c r="PAL11" s="3428"/>
      <c r="PAM11" s="3428"/>
      <c r="PAN11" s="3428"/>
      <c r="PAO11" s="3428"/>
      <c r="PAP11" s="3428"/>
      <c r="PAQ11" s="3428"/>
      <c r="PAR11" s="3428"/>
      <c r="PAS11" s="3428"/>
      <c r="PAT11" s="3428"/>
      <c r="PAU11" s="3428"/>
      <c r="PAV11" s="3428"/>
      <c r="PAW11" s="3428"/>
      <c r="PAX11" s="3428"/>
      <c r="PAY11" s="3428"/>
      <c r="PAZ11" s="3428"/>
      <c r="PBA11" s="3428"/>
      <c r="PBB11" s="3428"/>
      <c r="PBC11" s="3428"/>
      <c r="PBD11" s="3428"/>
      <c r="PBE11" s="3428"/>
      <c r="PBF11" s="3428"/>
      <c r="PBG11" s="3428"/>
      <c r="PBH11" s="3428"/>
      <c r="PBI11" s="3428"/>
      <c r="PBJ11" s="3428"/>
      <c r="PBK11" s="3428"/>
      <c r="PBL11" s="3428"/>
      <c r="PBM11" s="3428"/>
      <c r="PBN11" s="3428"/>
      <c r="PBO11" s="3428"/>
      <c r="PBP11" s="3428"/>
      <c r="PBQ11" s="3428"/>
      <c r="PBR11" s="3428"/>
      <c r="PBS11" s="3428"/>
      <c r="PBT11" s="3428"/>
      <c r="PBU11" s="3428"/>
      <c r="PBV11" s="3428"/>
      <c r="PBW11" s="3428"/>
      <c r="PBX11" s="3428"/>
      <c r="PBY11" s="3428"/>
      <c r="PBZ11" s="3428"/>
      <c r="PCA11" s="3428"/>
      <c r="PCB11" s="3428"/>
      <c r="PCC11" s="3428"/>
      <c r="PCD11" s="3428"/>
      <c r="PCE11" s="3428"/>
      <c r="PCF11" s="3428"/>
      <c r="PCG11" s="3428"/>
      <c r="PCH11" s="3428"/>
      <c r="PCI11" s="3428"/>
      <c r="PCJ11" s="3428"/>
      <c r="PCK11" s="3428"/>
      <c r="PCL11" s="3428"/>
      <c r="PCM11" s="3428"/>
      <c r="PCN11" s="3428"/>
      <c r="PCO11" s="3428"/>
      <c r="PCP11" s="3428"/>
      <c r="PCQ11" s="3428"/>
      <c r="PCR11" s="3428"/>
      <c r="PCS11" s="3428"/>
      <c r="PCT11" s="3428"/>
      <c r="PCU11" s="3428"/>
      <c r="PCV11" s="3428"/>
      <c r="PCW11" s="3428"/>
      <c r="PCX11" s="3428"/>
      <c r="PCY11" s="3428"/>
      <c r="PCZ11" s="3428"/>
      <c r="PDA11" s="3428"/>
      <c r="PDB11" s="3428"/>
      <c r="PDC11" s="3428"/>
      <c r="PDD11" s="3428"/>
      <c r="PDE11" s="3428"/>
      <c r="PDF11" s="3428"/>
      <c r="PDG11" s="3428"/>
      <c r="PDH11" s="3428"/>
      <c r="PDI11" s="3428"/>
      <c r="PDJ11" s="3428"/>
      <c r="PDK11" s="3428"/>
      <c r="PDL11" s="3428"/>
      <c r="PDM11" s="3428"/>
      <c r="PDN11" s="3428"/>
      <c r="PDO11" s="3428"/>
      <c r="PDP11" s="3428"/>
      <c r="PDQ11" s="3428"/>
      <c r="PDR11" s="3428"/>
      <c r="PDS11" s="3428"/>
      <c r="PDT11" s="3428"/>
      <c r="PDU11" s="3428"/>
      <c r="PDV11" s="3428"/>
      <c r="PDW11" s="3428"/>
      <c r="PDX11" s="3428"/>
      <c r="PDY11" s="3428"/>
      <c r="PDZ11" s="3428"/>
      <c r="PEA11" s="3428"/>
      <c r="PEB11" s="3428"/>
      <c r="PEC11" s="3428"/>
      <c r="PED11" s="3428"/>
      <c r="PEE11" s="3428"/>
      <c r="PEF11" s="3428"/>
      <c r="PEG11" s="3428"/>
      <c r="PEH11" s="3428"/>
      <c r="PEI11" s="3428"/>
      <c r="PEJ11" s="3428"/>
      <c r="PEK11" s="3428"/>
      <c r="PEL11" s="3428"/>
      <c r="PEM11" s="3428"/>
      <c r="PEN11" s="3428"/>
      <c r="PEO11" s="3428"/>
      <c r="PEP11" s="3428"/>
      <c r="PEQ11" s="3428"/>
      <c r="PER11" s="3428"/>
      <c r="PES11" s="3428"/>
      <c r="PET11" s="3428"/>
      <c r="PEU11" s="3428"/>
      <c r="PEV11" s="3428"/>
      <c r="PEW11" s="3428"/>
      <c r="PEX11" s="3428"/>
      <c r="PEY11" s="3428"/>
      <c r="PEZ11" s="3428"/>
      <c r="PFA11" s="3428"/>
      <c r="PFB11" s="3428"/>
      <c r="PFC11" s="3428"/>
      <c r="PFD11" s="3428"/>
      <c r="PFE11" s="3428"/>
      <c r="PFF11" s="3428"/>
      <c r="PFG11" s="3428"/>
      <c r="PFH11" s="3428"/>
      <c r="PFI11" s="3428"/>
      <c r="PFJ11" s="3428"/>
      <c r="PFK11" s="3428"/>
      <c r="PFL11" s="3428"/>
      <c r="PFM11" s="3428"/>
      <c r="PFN11" s="3428"/>
      <c r="PFO11" s="3428"/>
      <c r="PFP11" s="3428"/>
      <c r="PFQ11" s="3428"/>
      <c r="PFR11" s="3428"/>
      <c r="PFS11" s="3428"/>
      <c r="PFT11" s="3428"/>
      <c r="PFU11" s="3428"/>
      <c r="PFV11" s="3428"/>
      <c r="PFW11" s="3428"/>
      <c r="PFX11" s="3428"/>
      <c r="PFY11" s="3428"/>
      <c r="PFZ11" s="3428"/>
      <c r="PGA11" s="3428"/>
      <c r="PGB11" s="3428"/>
      <c r="PGC11" s="3428"/>
      <c r="PGD11" s="3428"/>
      <c r="PGE11" s="3428"/>
      <c r="PGF11" s="3428"/>
      <c r="PGG11" s="3428"/>
      <c r="PGH11" s="3428"/>
      <c r="PGI11" s="3428"/>
      <c r="PGJ11" s="3428"/>
      <c r="PGK11" s="3428"/>
      <c r="PGL11" s="3428"/>
      <c r="PGM11" s="3428"/>
      <c r="PGN11" s="3428"/>
      <c r="PGO11" s="3428"/>
      <c r="PGP11" s="3428"/>
      <c r="PGQ11" s="3428"/>
      <c r="PGR11" s="3428"/>
      <c r="PGS11" s="3428"/>
      <c r="PGT11" s="3428"/>
      <c r="PGU11" s="3428"/>
      <c r="PGV11" s="3428"/>
      <c r="PGW11" s="3428"/>
      <c r="PGX11" s="3428"/>
      <c r="PGY11" s="3428"/>
      <c r="PGZ11" s="3428"/>
      <c r="PHA11" s="3428"/>
      <c r="PHB11" s="3428"/>
      <c r="PHC11" s="3428"/>
      <c r="PHD11" s="3428"/>
      <c r="PHE11" s="3428"/>
      <c r="PHF11" s="3428"/>
      <c r="PHG11" s="3428"/>
      <c r="PHH11" s="3428"/>
      <c r="PHI11" s="3428"/>
      <c r="PHJ11" s="3428"/>
      <c r="PHK11" s="3428"/>
      <c r="PHL11" s="3428"/>
      <c r="PHM11" s="3428"/>
      <c r="PHN11" s="3428"/>
      <c r="PHO11" s="3428"/>
      <c r="PHP11" s="3428"/>
      <c r="PHQ11" s="3428"/>
      <c r="PHR11" s="3428"/>
      <c r="PHS11" s="3428"/>
      <c r="PHT11" s="3428"/>
      <c r="PHU11" s="3428"/>
      <c r="PHV11" s="3428"/>
      <c r="PHW11" s="3428"/>
      <c r="PHX11" s="3428"/>
      <c r="PHY11" s="3428"/>
      <c r="PHZ11" s="3428"/>
      <c r="PIA11" s="3428"/>
      <c r="PIB11" s="3428"/>
      <c r="PIC11" s="3428"/>
      <c r="PID11" s="3428"/>
      <c r="PIE11" s="3428"/>
      <c r="PIF11" s="3428"/>
      <c r="PIG11" s="3428"/>
      <c r="PIH11" s="3428"/>
      <c r="PII11" s="3428"/>
      <c r="PIJ11" s="3428"/>
      <c r="PIK11" s="3428"/>
      <c r="PIL11" s="3428"/>
      <c r="PIM11" s="3428"/>
      <c r="PIN11" s="3428"/>
      <c r="PIO11" s="3428"/>
      <c r="PIP11" s="3428"/>
      <c r="PIQ11" s="3428"/>
      <c r="PIR11" s="3428"/>
      <c r="PIS11" s="3428"/>
      <c r="PIT11" s="3428"/>
      <c r="PIU11" s="3428"/>
      <c r="PIV11" s="3428"/>
      <c r="PIW11" s="3428"/>
      <c r="PIX11" s="3428"/>
      <c r="PIY11" s="3428"/>
      <c r="PIZ11" s="3428"/>
      <c r="PJA11" s="3428"/>
      <c r="PJB11" s="3428"/>
      <c r="PJC11" s="3428"/>
      <c r="PJD11" s="3428"/>
      <c r="PJE11" s="3428"/>
      <c r="PJF11" s="3428"/>
      <c r="PJG11" s="3428"/>
      <c r="PJH11" s="3428"/>
      <c r="PJI11" s="3428"/>
      <c r="PJJ11" s="3428"/>
      <c r="PJK11" s="3428"/>
      <c r="PJL11" s="3428"/>
      <c r="PJM11" s="3428"/>
      <c r="PJN11" s="3428"/>
      <c r="PJO11" s="3428"/>
      <c r="PJP11" s="3428"/>
      <c r="PJQ11" s="3428"/>
      <c r="PJR11" s="3428"/>
      <c r="PJS11" s="3428"/>
      <c r="PJT11" s="3428"/>
      <c r="PJU11" s="3428"/>
      <c r="PJV11" s="3428"/>
      <c r="PJW11" s="3428"/>
      <c r="PJX11" s="3428"/>
      <c r="PJY11" s="3428"/>
      <c r="PJZ11" s="3428"/>
      <c r="PKA11" s="3428"/>
      <c r="PKB11" s="3428"/>
      <c r="PKC11" s="3428"/>
      <c r="PKD11" s="3428"/>
      <c r="PKE11" s="3428"/>
      <c r="PKF11" s="3428"/>
      <c r="PKG11" s="3428"/>
      <c r="PKH11" s="3428"/>
      <c r="PKI11" s="3428"/>
      <c r="PKJ11" s="3428"/>
      <c r="PKK11" s="3428"/>
      <c r="PKL11" s="3428"/>
      <c r="PKM11" s="3428"/>
      <c r="PKN11" s="3428"/>
      <c r="PKO11" s="3428"/>
      <c r="PKP11" s="3428"/>
      <c r="PKQ11" s="3428"/>
      <c r="PKR11" s="3428"/>
      <c r="PKS11" s="3428"/>
      <c r="PKT11" s="3428"/>
      <c r="PKU11" s="3428"/>
      <c r="PKV11" s="3428"/>
      <c r="PKW11" s="3428"/>
      <c r="PKX11" s="3428"/>
      <c r="PKY11" s="3428"/>
      <c r="PKZ11" s="3428"/>
      <c r="PLA11" s="3428"/>
      <c r="PLB11" s="3428"/>
      <c r="PLC11" s="3428"/>
      <c r="PLD11" s="3428"/>
      <c r="PLE11" s="3428"/>
      <c r="PLF11" s="3428"/>
      <c r="PLG11" s="3428"/>
      <c r="PLH11" s="3428"/>
      <c r="PLI11" s="3428"/>
      <c r="PLJ11" s="3428"/>
      <c r="PLK11" s="3428"/>
      <c r="PLL11" s="3428"/>
      <c r="PLM11" s="3428"/>
      <c r="PLN11" s="3428"/>
      <c r="PLO11" s="3428"/>
      <c r="PLP11" s="3428"/>
      <c r="PLQ11" s="3428"/>
      <c r="PLR11" s="3428"/>
      <c r="PLS11" s="3428"/>
      <c r="PLT11" s="3428"/>
      <c r="PLU11" s="3428"/>
      <c r="PLV11" s="3428"/>
      <c r="PLW11" s="3428"/>
      <c r="PLX11" s="3428"/>
      <c r="PLY11" s="3428"/>
      <c r="PLZ11" s="3428"/>
      <c r="PMA11" s="3428"/>
      <c r="PMB11" s="3428"/>
      <c r="PMC11" s="3428"/>
      <c r="PMD11" s="3428"/>
      <c r="PME11" s="3428"/>
      <c r="PMF11" s="3428"/>
      <c r="PMG11" s="3428"/>
      <c r="PMH11" s="3428"/>
      <c r="PMI11" s="3428"/>
      <c r="PMJ11" s="3428"/>
      <c r="PMK11" s="3428"/>
      <c r="PML11" s="3428"/>
      <c r="PMM11" s="3428"/>
      <c r="PMN11" s="3428"/>
      <c r="PMO11" s="3428"/>
      <c r="PMP11" s="3428"/>
      <c r="PMQ11" s="3428"/>
      <c r="PMR11" s="3428"/>
      <c r="PMS11" s="3428"/>
      <c r="PMT11" s="3428"/>
      <c r="PMU11" s="3428"/>
      <c r="PMV11" s="3428"/>
      <c r="PMW11" s="3428"/>
      <c r="PMX11" s="3428"/>
      <c r="PMY11" s="3428"/>
      <c r="PMZ11" s="3428"/>
      <c r="PNA11" s="3428"/>
      <c r="PNB11" s="3428"/>
      <c r="PNC11" s="3428"/>
      <c r="PND11" s="3428"/>
      <c r="PNE11" s="3428"/>
      <c r="PNF11" s="3428"/>
      <c r="PNG11" s="3428"/>
      <c r="PNH11" s="3428"/>
      <c r="PNI11" s="3428"/>
      <c r="PNJ11" s="3428"/>
      <c r="PNK11" s="3428"/>
      <c r="PNL11" s="3428"/>
      <c r="PNM11" s="3428"/>
      <c r="PNN11" s="3428"/>
      <c r="PNO11" s="3428"/>
      <c r="PNP11" s="3428"/>
      <c r="PNQ11" s="3428"/>
      <c r="PNR11" s="3428"/>
      <c r="PNS11" s="3428"/>
      <c r="PNT11" s="3428"/>
      <c r="PNU11" s="3428"/>
      <c r="PNV11" s="3428"/>
      <c r="PNW11" s="3428"/>
      <c r="PNX11" s="3428"/>
      <c r="PNY11" s="3428"/>
      <c r="PNZ11" s="3428"/>
      <c r="POA11" s="3428"/>
      <c r="POB11" s="3428"/>
      <c r="POC11" s="3428"/>
      <c r="POD11" s="3428"/>
      <c r="POE11" s="3428"/>
      <c r="POF11" s="3428"/>
      <c r="POG11" s="3428"/>
      <c r="POH11" s="3428"/>
      <c r="POI11" s="3428"/>
      <c r="POJ11" s="3428"/>
      <c r="POK11" s="3428"/>
      <c r="POL11" s="3428"/>
      <c r="POM11" s="3428"/>
      <c r="PON11" s="3428"/>
      <c r="POO11" s="3428"/>
      <c r="POP11" s="3428"/>
      <c r="POQ11" s="3428"/>
      <c r="POR11" s="3428"/>
      <c r="POS11" s="3428"/>
      <c r="POT11" s="3428"/>
      <c r="POU11" s="3428"/>
      <c r="POV11" s="3428"/>
      <c r="POW11" s="3428"/>
      <c r="POX11" s="3428"/>
      <c r="POY11" s="3428"/>
      <c r="POZ11" s="3428"/>
      <c r="PPA11" s="3428"/>
      <c r="PPB11" s="3428"/>
      <c r="PPC11" s="3428"/>
      <c r="PPD11" s="3428"/>
      <c r="PPE11" s="3428"/>
      <c r="PPF11" s="3428"/>
      <c r="PPG11" s="3428"/>
      <c r="PPH11" s="3428"/>
      <c r="PPI11" s="3428"/>
      <c r="PPJ11" s="3428"/>
      <c r="PPK11" s="3428"/>
      <c r="PPL11" s="3428"/>
      <c r="PPM11" s="3428"/>
      <c r="PPN11" s="3428"/>
      <c r="PPO11" s="3428"/>
      <c r="PPP11" s="3428"/>
      <c r="PPQ11" s="3428"/>
      <c r="PPR11" s="3428"/>
      <c r="PPS11" s="3428"/>
      <c r="PPT11" s="3428"/>
      <c r="PPU11" s="3428"/>
      <c r="PPV11" s="3428"/>
      <c r="PPW11" s="3428"/>
      <c r="PPX11" s="3428"/>
      <c r="PPY11" s="3428"/>
      <c r="PPZ11" s="3428"/>
      <c r="PQA11" s="3428"/>
      <c r="PQB11" s="3428"/>
      <c r="PQC11" s="3428"/>
      <c r="PQD11" s="3428"/>
      <c r="PQE11" s="3428"/>
      <c r="PQF11" s="3428"/>
      <c r="PQG11" s="3428"/>
      <c r="PQH11" s="3428"/>
      <c r="PQI11" s="3428"/>
      <c r="PQJ11" s="3428"/>
      <c r="PQK11" s="3428"/>
      <c r="PQL11" s="3428"/>
      <c r="PQM11" s="3428"/>
      <c r="PQN11" s="3428"/>
      <c r="PQO11" s="3428"/>
      <c r="PQP11" s="3428"/>
      <c r="PQQ11" s="3428"/>
      <c r="PQR11" s="3428"/>
      <c r="PQS11" s="3428"/>
      <c r="PQT11" s="3428"/>
      <c r="PQU11" s="3428"/>
      <c r="PQV11" s="3428"/>
      <c r="PQW11" s="3428"/>
      <c r="PQX11" s="3428"/>
      <c r="PQY11" s="3428"/>
      <c r="PQZ11" s="3428"/>
      <c r="PRA11" s="3428"/>
      <c r="PRB11" s="3428"/>
      <c r="PRC11" s="3428"/>
      <c r="PRD11" s="3428"/>
      <c r="PRE11" s="3428"/>
      <c r="PRF11" s="3428"/>
      <c r="PRG11" s="3428"/>
      <c r="PRH11" s="3428"/>
      <c r="PRI11" s="3428"/>
      <c r="PRJ11" s="3428"/>
      <c r="PRK11" s="3428"/>
      <c r="PRL11" s="3428"/>
      <c r="PRM11" s="3428"/>
      <c r="PRN11" s="3428"/>
      <c r="PRO11" s="3428"/>
      <c r="PRP11" s="3428"/>
      <c r="PRQ11" s="3428"/>
      <c r="PRR11" s="3428"/>
      <c r="PRS11" s="3428"/>
      <c r="PRT11" s="3428"/>
      <c r="PRU11" s="3428"/>
      <c r="PRV11" s="3428"/>
      <c r="PRW11" s="3428"/>
      <c r="PRX11" s="3428"/>
      <c r="PRY11" s="3428"/>
      <c r="PRZ11" s="3428"/>
      <c r="PSA11" s="3428"/>
      <c r="PSB11" s="3428"/>
      <c r="PSC11" s="3428"/>
      <c r="PSD11" s="3428"/>
      <c r="PSE11" s="3428"/>
      <c r="PSF11" s="3428"/>
      <c r="PSG11" s="3428"/>
      <c r="PSH11" s="3428"/>
      <c r="PSI11" s="3428"/>
      <c r="PSJ11" s="3428"/>
      <c r="PSK11" s="3428"/>
      <c r="PSL11" s="3428"/>
      <c r="PSM11" s="3428"/>
      <c r="PSN11" s="3428"/>
      <c r="PSO11" s="3428"/>
      <c r="PSP11" s="3428"/>
      <c r="PSQ11" s="3428"/>
      <c r="PSR11" s="3428"/>
      <c r="PSS11" s="3428"/>
      <c r="PST11" s="3428"/>
      <c r="PSU11" s="3428"/>
      <c r="PSV11" s="3428"/>
      <c r="PSW11" s="3428"/>
      <c r="PSX11" s="3428"/>
      <c r="PSY11" s="3428"/>
      <c r="PSZ11" s="3428"/>
      <c r="PTA11" s="3428"/>
      <c r="PTB11" s="3428"/>
      <c r="PTC11" s="3428"/>
      <c r="PTD11" s="3428"/>
      <c r="PTE11" s="3428"/>
      <c r="PTF11" s="3428"/>
      <c r="PTG11" s="3428"/>
      <c r="PTH11" s="3428"/>
      <c r="PTI11" s="3428"/>
      <c r="PTJ11" s="3428"/>
      <c r="PTK11" s="3428"/>
      <c r="PTL11" s="3428"/>
      <c r="PTM11" s="3428"/>
      <c r="PTN11" s="3428"/>
      <c r="PTO11" s="3428"/>
      <c r="PTP11" s="3428"/>
      <c r="PTQ11" s="3428"/>
      <c r="PTR11" s="3428"/>
      <c r="PTS11" s="3428"/>
      <c r="PTT11" s="3428"/>
      <c r="PTU11" s="3428"/>
      <c r="PTV11" s="3428"/>
      <c r="PTW11" s="3428"/>
      <c r="PTX11" s="3428"/>
      <c r="PTY11" s="3428"/>
      <c r="PTZ11" s="3428"/>
      <c r="PUA11" s="3428"/>
      <c r="PUB11" s="3428"/>
      <c r="PUC11" s="3428"/>
      <c r="PUD11" s="3428"/>
      <c r="PUE11" s="3428"/>
      <c r="PUF11" s="3428"/>
      <c r="PUG11" s="3428"/>
      <c r="PUH11" s="3428"/>
      <c r="PUI11" s="3428"/>
      <c r="PUJ11" s="3428"/>
      <c r="PUK11" s="3428"/>
      <c r="PUL11" s="3428"/>
      <c r="PUM11" s="3428"/>
      <c r="PUN11" s="3428"/>
      <c r="PUO11" s="3428"/>
      <c r="PUP11" s="3428"/>
      <c r="PUQ11" s="3428"/>
      <c r="PUR11" s="3428"/>
      <c r="PUS11" s="3428"/>
      <c r="PUT11" s="3428"/>
      <c r="PUU11" s="3428"/>
      <c r="PUV11" s="3428"/>
      <c r="PUW11" s="3428"/>
      <c r="PUX11" s="3428"/>
      <c r="PUY11" s="3428"/>
      <c r="PUZ11" s="3428"/>
      <c r="PVA11" s="3428"/>
      <c r="PVB11" s="3428"/>
      <c r="PVC11" s="3428"/>
      <c r="PVD11" s="3428"/>
      <c r="PVE11" s="3428"/>
      <c r="PVF11" s="3428"/>
      <c r="PVG11" s="3428"/>
      <c r="PVH11" s="3428"/>
      <c r="PVI11" s="3428"/>
      <c r="PVJ11" s="3428"/>
      <c r="PVK11" s="3428"/>
      <c r="PVL11" s="3428"/>
      <c r="PVM11" s="3428"/>
      <c r="PVN11" s="3428"/>
      <c r="PVO11" s="3428"/>
      <c r="PVP11" s="3428"/>
      <c r="PVQ11" s="3428"/>
      <c r="PVR11" s="3428"/>
      <c r="PVS11" s="3428"/>
      <c r="PVT11" s="3428"/>
      <c r="PVU11" s="3428"/>
      <c r="PVV11" s="3428"/>
      <c r="PVW11" s="3428"/>
      <c r="PVX11" s="3428"/>
      <c r="PVY11" s="3428"/>
      <c r="PVZ11" s="3428"/>
      <c r="PWA11" s="3428"/>
      <c r="PWB11" s="3428"/>
      <c r="PWC11" s="3428"/>
      <c r="PWD11" s="3428"/>
      <c r="PWE11" s="3428"/>
      <c r="PWF11" s="3428"/>
      <c r="PWG11" s="3428"/>
      <c r="PWH11" s="3428"/>
      <c r="PWI11" s="3428"/>
      <c r="PWJ11" s="3428"/>
      <c r="PWK11" s="3428"/>
      <c r="PWL11" s="3428"/>
      <c r="PWM11" s="3428"/>
      <c r="PWN11" s="3428"/>
      <c r="PWO11" s="3428"/>
      <c r="PWP11" s="3428"/>
      <c r="PWQ11" s="3428"/>
      <c r="PWR11" s="3428"/>
      <c r="PWS11" s="3428"/>
      <c r="PWT11" s="3428"/>
      <c r="PWU11" s="3428"/>
      <c r="PWV11" s="3428"/>
      <c r="PWW11" s="3428"/>
      <c r="PWX11" s="3428"/>
      <c r="PWY11" s="3428"/>
      <c r="PWZ11" s="3428"/>
      <c r="PXA11" s="3428"/>
      <c r="PXB11" s="3428"/>
      <c r="PXC11" s="3428"/>
      <c r="PXD11" s="3428"/>
      <c r="PXE11" s="3428"/>
      <c r="PXF11" s="3428"/>
      <c r="PXG11" s="3428"/>
      <c r="PXH11" s="3428"/>
      <c r="PXI11" s="3428"/>
      <c r="PXJ11" s="3428"/>
      <c r="PXK11" s="3428"/>
      <c r="PXL11" s="3428"/>
      <c r="PXM11" s="3428"/>
      <c r="PXN11" s="3428"/>
      <c r="PXO11" s="3428"/>
      <c r="PXP11" s="3428"/>
      <c r="PXQ11" s="3428"/>
      <c r="PXR11" s="3428"/>
      <c r="PXS11" s="3428"/>
      <c r="PXT11" s="3428"/>
      <c r="PXU11" s="3428"/>
      <c r="PXV11" s="3428"/>
      <c r="PXW11" s="3428"/>
      <c r="PXX11" s="3428"/>
      <c r="PXY11" s="3428"/>
      <c r="PXZ11" s="3428"/>
      <c r="PYA11" s="3428"/>
      <c r="PYB11" s="3428"/>
      <c r="PYC11" s="3428"/>
      <c r="PYD11" s="3428"/>
      <c r="PYE11" s="3428"/>
      <c r="PYF11" s="3428"/>
      <c r="PYG11" s="3428"/>
      <c r="PYH11" s="3428"/>
      <c r="PYI11" s="3428"/>
      <c r="PYJ11" s="3428"/>
      <c r="PYK11" s="3428"/>
      <c r="PYL11" s="3428"/>
      <c r="PYM11" s="3428"/>
      <c r="PYN11" s="3428"/>
      <c r="PYO11" s="3428"/>
      <c r="PYP11" s="3428"/>
      <c r="PYQ11" s="3428"/>
      <c r="PYR11" s="3428"/>
      <c r="PYS11" s="3428"/>
      <c r="PYT11" s="3428"/>
      <c r="PYU11" s="3428"/>
      <c r="PYV11" s="3428"/>
      <c r="PYW11" s="3428"/>
      <c r="PYX11" s="3428"/>
      <c r="PYY11" s="3428"/>
      <c r="PYZ11" s="3428"/>
      <c r="PZA11" s="3428"/>
      <c r="PZB11" s="3428"/>
      <c r="PZC11" s="3428"/>
      <c r="PZD11" s="3428"/>
      <c r="PZE11" s="3428"/>
      <c r="PZF11" s="3428"/>
      <c r="PZG11" s="3428"/>
      <c r="PZH11" s="3428"/>
      <c r="PZI11" s="3428"/>
      <c r="PZJ11" s="3428"/>
      <c r="PZK11" s="3428"/>
      <c r="PZL11" s="3428"/>
      <c r="PZM11" s="3428"/>
      <c r="PZN11" s="3428"/>
      <c r="PZO11" s="3428"/>
      <c r="PZP11" s="3428"/>
      <c r="PZQ11" s="3428"/>
      <c r="PZR11" s="3428"/>
      <c r="PZS11" s="3428"/>
      <c r="PZT11" s="3428"/>
      <c r="PZU11" s="3428"/>
      <c r="PZV11" s="3428"/>
      <c r="PZW11" s="3428"/>
      <c r="PZX11" s="3428"/>
      <c r="PZY11" s="3428"/>
      <c r="PZZ11" s="3428"/>
      <c r="QAA11" s="3428"/>
      <c r="QAB11" s="3428"/>
      <c r="QAC11" s="3428"/>
      <c r="QAD11" s="3428"/>
      <c r="QAE11" s="3428"/>
      <c r="QAF11" s="3428"/>
      <c r="QAG11" s="3428"/>
      <c r="QAH11" s="3428"/>
      <c r="QAI11" s="3428"/>
      <c r="QAJ11" s="3428"/>
      <c r="QAK11" s="3428"/>
      <c r="QAL11" s="3428"/>
      <c r="QAM11" s="3428"/>
      <c r="QAN11" s="3428"/>
      <c r="QAO11" s="3428"/>
      <c r="QAP11" s="3428"/>
      <c r="QAQ11" s="3428"/>
      <c r="QAR11" s="3428"/>
      <c r="QAS11" s="3428"/>
      <c r="QAT11" s="3428"/>
      <c r="QAU11" s="3428"/>
      <c r="QAV11" s="3428"/>
      <c r="QAW11" s="3428"/>
      <c r="QAX11" s="3428"/>
      <c r="QAY11" s="3428"/>
      <c r="QAZ11" s="3428"/>
      <c r="QBA11" s="3428"/>
      <c r="QBB11" s="3428"/>
      <c r="QBC11" s="3428"/>
      <c r="QBD11" s="3428"/>
      <c r="QBE11" s="3428"/>
      <c r="QBF11" s="3428"/>
      <c r="QBG11" s="3428"/>
      <c r="QBH11" s="3428"/>
      <c r="QBI11" s="3428"/>
      <c r="QBJ11" s="3428"/>
      <c r="QBK11" s="3428"/>
      <c r="QBL11" s="3428"/>
      <c r="QBM11" s="3428"/>
      <c r="QBN11" s="3428"/>
      <c r="QBO11" s="3428"/>
      <c r="QBP11" s="3428"/>
      <c r="QBQ11" s="3428"/>
      <c r="QBR11" s="3428"/>
      <c r="QBS11" s="3428"/>
      <c r="QBT11" s="3428"/>
      <c r="QBU11" s="3428"/>
      <c r="QBV11" s="3428"/>
      <c r="QBW11" s="3428"/>
      <c r="QBX11" s="3428"/>
      <c r="QBY11" s="3428"/>
      <c r="QBZ11" s="3428"/>
      <c r="QCA11" s="3428"/>
      <c r="QCB11" s="3428"/>
      <c r="QCC11" s="3428"/>
      <c r="QCD11" s="3428"/>
      <c r="QCE11" s="3428"/>
      <c r="QCF11" s="3428"/>
      <c r="QCG11" s="3428"/>
      <c r="QCH11" s="3428"/>
      <c r="QCI11" s="3428"/>
      <c r="QCJ11" s="3428"/>
      <c r="QCK11" s="3428"/>
      <c r="QCL11" s="3428"/>
      <c r="QCM11" s="3428"/>
      <c r="QCN11" s="3428"/>
      <c r="QCO11" s="3428"/>
      <c r="QCP11" s="3428"/>
      <c r="QCQ11" s="3428"/>
      <c r="QCR11" s="3428"/>
      <c r="QCS11" s="3428"/>
      <c r="QCT11" s="3428"/>
      <c r="QCU11" s="3428"/>
      <c r="QCV11" s="3428"/>
      <c r="QCW11" s="3428"/>
      <c r="QCX11" s="3428"/>
      <c r="QCY11" s="3428"/>
      <c r="QCZ11" s="3428"/>
      <c r="QDA11" s="3428"/>
      <c r="QDB11" s="3428"/>
      <c r="QDC11" s="3428"/>
      <c r="QDD11" s="3428"/>
      <c r="QDE11" s="3428"/>
      <c r="QDF11" s="3428"/>
      <c r="QDG11" s="3428"/>
      <c r="QDH11" s="3428"/>
      <c r="QDI11" s="3428"/>
      <c r="QDJ11" s="3428"/>
      <c r="QDK11" s="3428"/>
      <c r="QDL11" s="3428"/>
      <c r="QDM11" s="3428"/>
      <c r="QDN11" s="3428"/>
      <c r="QDO11" s="3428"/>
      <c r="QDP11" s="3428"/>
      <c r="QDQ11" s="3428"/>
      <c r="QDR11" s="3428"/>
      <c r="QDS11" s="3428"/>
      <c r="QDT11" s="3428"/>
      <c r="QDU11" s="3428"/>
      <c r="QDV11" s="3428"/>
      <c r="QDW11" s="3428"/>
      <c r="QDX11" s="3428"/>
      <c r="QDY11" s="3428"/>
      <c r="QDZ11" s="3428"/>
      <c r="QEA11" s="3428"/>
      <c r="QEB11" s="3428"/>
      <c r="QEC11" s="3428"/>
      <c r="QED11" s="3428"/>
      <c r="QEE11" s="3428"/>
      <c r="QEF11" s="3428"/>
      <c r="QEG11" s="3428"/>
      <c r="QEH11" s="3428"/>
      <c r="QEI11" s="3428"/>
      <c r="QEJ11" s="3428"/>
      <c r="QEK11" s="3428"/>
      <c r="QEL11" s="3428"/>
      <c r="QEM11" s="3428"/>
      <c r="QEN11" s="3428"/>
      <c r="QEO11" s="3428"/>
      <c r="QEP11" s="3428"/>
      <c r="QEQ11" s="3428"/>
      <c r="QER11" s="3428"/>
      <c r="QES11" s="3428"/>
      <c r="QET11" s="3428"/>
      <c r="QEU11" s="3428"/>
      <c r="QEV11" s="3428"/>
      <c r="QEW11" s="3428"/>
      <c r="QEX11" s="3428"/>
      <c r="QEY11" s="3428"/>
      <c r="QEZ11" s="3428"/>
      <c r="QFA11" s="3428"/>
      <c r="QFB11" s="3428"/>
      <c r="QFC11" s="3428"/>
      <c r="QFD11" s="3428"/>
      <c r="QFE11" s="3428"/>
      <c r="QFF11" s="3428"/>
      <c r="QFG11" s="3428"/>
      <c r="QFH11" s="3428"/>
      <c r="QFI11" s="3428"/>
      <c r="QFJ11" s="3428"/>
      <c r="QFK11" s="3428"/>
      <c r="QFL11" s="3428"/>
      <c r="QFM11" s="3428"/>
      <c r="QFN11" s="3428"/>
      <c r="QFO11" s="3428"/>
      <c r="QFP11" s="3428"/>
      <c r="QFQ11" s="3428"/>
      <c r="QFR11" s="3428"/>
      <c r="QFS11" s="3428"/>
      <c r="QFT11" s="3428"/>
      <c r="QFU11" s="3428"/>
      <c r="QFV11" s="3428"/>
      <c r="QFW11" s="3428"/>
      <c r="QFX11" s="3428"/>
      <c r="QFY11" s="3428"/>
      <c r="QFZ11" s="3428"/>
      <c r="QGA11" s="3428"/>
      <c r="QGB11" s="3428"/>
      <c r="QGC11" s="3428"/>
      <c r="QGD11" s="3428"/>
      <c r="QGE11" s="3428"/>
      <c r="QGF11" s="3428"/>
      <c r="QGG11" s="3428"/>
      <c r="QGH11" s="3428"/>
      <c r="QGI11" s="3428"/>
      <c r="QGJ11" s="3428"/>
      <c r="QGK11" s="3428"/>
      <c r="QGL11" s="3428"/>
      <c r="QGM11" s="3428"/>
      <c r="QGN11" s="3428"/>
      <c r="QGO11" s="3428"/>
      <c r="QGP11" s="3428"/>
      <c r="QGQ11" s="3428"/>
      <c r="QGR11" s="3428"/>
      <c r="QGS11" s="3428"/>
      <c r="QGT11" s="3428"/>
      <c r="QGU11" s="3428"/>
      <c r="QGV11" s="3428"/>
      <c r="QGW11" s="3428"/>
      <c r="QGX11" s="3428"/>
      <c r="QGY11" s="3428"/>
      <c r="QGZ11" s="3428"/>
      <c r="QHA11" s="3428"/>
      <c r="QHB11" s="3428"/>
      <c r="QHC11" s="3428"/>
      <c r="QHD11" s="3428"/>
      <c r="QHE11" s="3428"/>
      <c r="QHF11" s="3428"/>
      <c r="QHG11" s="3428"/>
      <c r="QHH11" s="3428"/>
      <c r="QHI11" s="3428"/>
      <c r="QHJ11" s="3428"/>
      <c r="QHK11" s="3428"/>
      <c r="QHL11" s="3428"/>
      <c r="QHM11" s="3428"/>
      <c r="QHN11" s="3428"/>
      <c r="QHO11" s="3428"/>
      <c r="QHP11" s="3428"/>
      <c r="QHQ11" s="3428"/>
      <c r="QHR11" s="3428"/>
      <c r="QHS11" s="3428"/>
      <c r="QHT11" s="3428"/>
      <c r="QHU11" s="3428"/>
      <c r="QHV11" s="3428"/>
      <c r="QHW11" s="3428"/>
      <c r="QHX11" s="3428"/>
      <c r="QHY11" s="3428"/>
      <c r="QHZ11" s="3428"/>
      <c r="QIA11" s="3428"/>
      <c r="QIB11" s="3428"/>
      <c r="QIC11" s="3428"/>
      <c r="QID11" s="3428"/>
      <c r="QIE11" s="3428"/>
      <c r="QIF11" s="3428"/>
      <c r="QIG11" s="3428"/>
      <c r="QIH11" s="3428"/>
      <c r="QII11" s="3428"/>
      <c r="QIJ11" s="3428"/>
      <c r="QIK11" s="3428"/>
      <c r="QIL11" s="3428"/>
      <c r="QIM11" s="3428"/>
      <c r="QIN11" s="3428"/>
      <c r="QIO11" s="3428"/>
      <c r="QIP11" s="3428"/>
      <c r="QIQ11" s="3428"/>
      <c r="QIR11" s="3428"/>
      <c r="QIS11" s="3428"/>
      <c r="QIT11" s="3428"/>
      <c r="QIU11" s="3428"/>
      <c r="QIV11" s="3428"/>
      <c r="QIW11" s="3428"/>
      <c r="QIX11" s="3428"/>
      <c r="QIY11" s="3428"/>
      <c r="QIZ11" s="3428"/>
      <c r="QJA11" s="3428"/>
      <c r="QJB11" s="3428"/>
      <c r="QJC11" s="3428"/>
      <c r="QJD11" s="3428"/>
      <c r="QJE11" s="3428"/>
      <c r="QJF11" s="3428"/>
      <c r="QJG11" s="3428"/>
      <c r="QJH11" s="3428"/>
      <c r="QJI11" s="3428"/>
      <c r="QJJ11" s="3428"/>
      <c r="QJK11" s="3428"/>
      <c r="QJL11" s="3428"/>
      <c r="QJM11" s="3428"/>
      <c r="QJN11" s="3428"/>
      <c r="QJO11" s="3428"/>
      <c r="QJP11" s="3428"/>
      <c r="QJQ11" s="3428"/>
      <c r="QJR11" s="3428"/>
      <c r="QJS11" s="3428"/>
      <c r="QJT11" s="3428"/>
      <c r="QJU11" s="3428"/>
      <c r="QJV11" s="3428"/>
      <c r="QJW11" s="3428"/>
      <c r="QJX11" s="3428"/>
      <c r="QJY11" s="3428"/>
      <c r="QJZ11" s="3428"/>
      <c r="QKA11" s="3428"/>
      <c r="QKB11" s="3428"/>
      <c r="QKC11" s="3428"/>
      <c r="QKD11" s="3428"/>
      <c r="QKE11" s="3428"/>
      <c r="QKF11" s="3428"/>
      <c r="QKG11" s="3428"/>
      <c r="QKH11" s="3428"/>
      <c r="QKI11" s="3428"/>
      <c r="QKJ11" s="3428"/>
      <c r="QKK11" s="3428"/>
      <c r="QKL11" s="3428"/>
      <c r="QKM11" s="3428"/>
      <c r="QKN11" s="3428"/>
      <c r="QKO11" s="3428"/>
      <c r="QKP11" s="3428"/>
      <c r="QKQ11" s="3428"/>
      <c r="QKR11" s="3428"/>
      <c r="QKS11" s="3428"/>
      <c r="QKT11" s="3428"/>
      <c r="QKU11" s="3428"/>
      <c r="QKV11" s="3428"/>
      <c r="QKW11" s="3428"/>
      <c r="QKX11" s="3428"/>
      <c r="QKY11" s="3428"/>
      <c r="QKZ11" s="3428"/>
      <c r="QLA11" s="3428"/>
      <c r="QLB11" s="3428"/>
      <c r="QLC11" s="3428"/>
      <c r="QLD11" s="3428"/>
      <c r="QLE11" s="3428"/>
      <c r="QLF11" s="3428"/>
      <c r="QLG11" s="3428"/>
      <c r="QLH11" s="3428"/>
      <c r="QLI11" s="3428"/>
      <c r="QLJ11" s="3428"/>
      <c r="QLK11" s="3428"/>
      <c r="QLL11" s="3428"/>
      <c r="QLM11" s="3428"/>
      <c r="QLN11" s="3428"/>
      <c r="QLO11" s="3428"/>
      <c r="QLP11" s="3428"/>
      <c r="QLQ11" s="3428"/>
      <c r="QLR11" s="3428"/>
      <c r="QLS11" s="3428"/>
      <c r="QLT11" s="3428"/>
      <c r="QLU11" s="3428"/>
      <c r="QLV11" s="3428"/>
      <c r="QLW11" s="3428"/>
      <c r="QLX11" s="3428"/>
      <c r="QLY11" s="3428"/>
      <c r="QLZ11" s="3428"/>
      <c r="QMA11" s="3428"/>
      <c r="QMB11" s="3428"/>
      <c r="QMC11" s="3428"/>
      <c r="QMD11" s="3428"/>
      <c r="QME11" s="3428"/>
      <c r="QMF11" s="3428"/>
      <c r="QMG11" s="3428"/>
      <c r="QMH11" s="3428"/>
      <c r="QMI11" s="3428"/>
      <c r="QMJ11" s="3428"/>
      <c r="QMK11" s="3428"/>
      <c r="QML11" s="3428"/>
      <c r="QMM11" s="3428"/>
      <c r="QMN11" s="3428"/>
      <c r="QMO11" s="3428"/>
      <c r="QMP11" s="3428"/>
      <c r="QMQ11" s="3428"/>
      <c r="QMR11" s="3428"/>
      <c r="QMS11" s="3428"/>
      <c r="QMT11" s="3428"/>
      <c r="QMU11" s="3428"/>
      <c r="QMV11" s="3428"/>
      <c r="QMW11" s="3428"/>
      <c r="QMX11" s="3428"/>
      <c r="QMY11" s="3428"/>
      <c r="QMZ11" s="3428"/>
      <c r="QNA11" s="3428"/>
      <c r="QNB11" s="3428"/>
      <c r="QNC11" s="3428"/>
      <c r="QND11" s="3428"/>
      <c r="QNE11" s="3428"/>
      <c r="QNF11" s="3428"/>
      <c r="QNG11" s="3428"/>
      <c r="QNH11" s="3428"/>
      <c r="QNI11" s="3428"/>
      <c r="QNJ11" s="3428"/>
      <c r="QNK11" s="3428"/>
      <c r="QNL11" s="3428"/>
      <c r="QNM11" s="3428"/>
      <c r="QNN11" s="3428"/>
      <c r="QNO11" s="3428"/>
      <c r="QNP11" s="3428"/>
      <c r="QNQ11" s="3428"/>
      <c r="QNR11" s="3428"/>
      <c r="QNS11" s="3428"/>
      <c r="QNT11" s="3428"/>
      <c r="QNU11" s="3428"/>
      <c r="QNV11" s="3428"/>
      <c r="QNW11" s="3428"/>
      <c r="QNX11" s="3428"/>
      <c r="QNY11" s="3428"/>
      <c r="QNZ11" s="3428"/>
      <c r="QOA11" s="3428"/>
      <c r="QOB11" s="3428"/>
      <c r="QOC11" s="3428"/>
      <c r="QOD11" s="3428"/>
      <c r="QOE11" s="3428"/>
      <c r="QOF11" s="3428"/>
      <c r="QOG11" s="3428"/>
      <c r="QOH11" s="3428"/>
      <c r="QOI11" s="3428"/>
      <c r="QOJ11" s="3428"/>
      <c r="QOK11" s="3428"/>
      <c r="QOL11" s="3428"/>
      <c r="QOM11" s="3428"/>
      <c r="QON11" s="3428"/>
      <c r="QOO11" s="3428"/>
      <c r="QOP11" s="3428"/>
      <c r="QOQ11" s="3428"/>
      <c r="QOR11" s="3428"/>
      <c r="QOS11" s="3428"/>
      <c r="QOT11" s="3428"/>
      <c r="QOU11" s="3428"/>
      <c r="QOV11" s="3428"/>
      <c r="QOW11" s="3428"/>
      <c r="QOX11" s="3428"/>
      <c r="QOY11" s="3428"/>
      <c r="QOZ11" s="3428"/>
      <c r="QPA11" s="3428"/>
      <c r="QPB11" s="3428"/>
      <c r="QPC11" s="3428"/>
      <c r="QPD11" s="3428"/>
      <c r="QPE11" s="3428"/>
      <c r="QPF11" s="3428"/>
      <c r="QPG11" s="3428"/>
      <c r="QPH11" s="3428"/>
      <c r="QPI11" s="3428"/>
      <c r="QPJ11" s="3428"/>
      <c r="QPK11" s="3428"/>
      <c r="QPL11" s="3428"/>
      <c r="QPM11" s="3428"/>
      <c r="QPN11" s="3428"/>
      <c r="QPO11" s="3428"/>
      <c r="QPP11" s="3428"/>
      <c r="QPQ11" s="3428"/>
      <c r="QPR11" s="3428"/>
      <c r="QPS11" s="3428"/>
      <c r="QPT11" s="3428"/>
      <c r="QPU11" s="3428"/>
      <c r="QPV11" s="3428"/>
      <c r="QPW11" s="3428"/>
      <c r="QPX11" s="3428"/>
      <c r="QPY11" s="3428"/>
      <c r="QPZ11" s="3428"/>
      <c r="QQA11" s="3428"/>
      <c r="QQB11" s="3428"/>
      <c r="QQC11" s="3428"/>
      <c r="QQD11" s="3428"/>
      <c r="QQE11" s="3428"/>
      <c r="QQF11" s="3428"/>
      <c r="QQG11" s="3428"/>
      <c r="QQH11" s="3428"/>
      <c r="QQI11" s="3428"/>
      <c r="QQJ11" s="3428"/>
      <c r="QQK11" s="3428"/>
      <c r="QQL11" s="3428"/>
      <c r="QQM11" s="3428"/>
      <c r="QQN11" s="3428"/>
      <c r="QQO11" s="3428"/>
      <c r="QQP11" s="3428"/>
      <c r="QQQ11" s="3428"/>
      <c r="QQR11" s="3428"/>
      <c r="QQS11" s="3428"/>
      <c r="QQT11" s="3428"/>
      <c r="QQU11" s="3428"/>
      <c r="QQV11" s="3428"/>
      <c r="QQW11" s="3428"/>
      <c r="QQX11" s="3428"/>
      <c r="QQY11" s="3428"/>
      <c r="QQZ11" s="3428"/>
      <c r="QRA11" s="3428"/>
      <c r="QRB11" s="3428"/>
      <c r="QRC11" s="3428"/>
      <c r="QRD11" s="3428"/>
      <c r="QRE11" s="3428"/>
      <c r="QRF11" s="3428"/>
      <c r="QRG11" s="3428"/>
      <c r="QRH11" s="3428"/>
      <c r="QRI11" s="3428"/>
      <c r="QRJ11" s="3428"/>
      <c r="QRK11" s="3428"/>
      <c r="QRL11" s="3428"/>
      <c r="QRM11" s="3428"/>
      <c r="QRN11" s="3428"/>
      <c r="QRO11" s="3428"/>
      <c r="QRP11" s="3428"/>
      <c r="QRQ11" s="3428"/>
      <c r="QRR11" s="3428"/>
      <c r="QRS11" s="3428"/>
      <c r="QRT11" s="3428"/>
      <c r="QRU11" s="3428"/>
      <c r="QRV11" s="3428"/>
      <c r="QRW11" s="3428"/>
      <c r="QRX11" s="3428"/>
      <c r="QRY11" s="3428"/>
      <c r="QRZ11" s="3428"/>
      <c r="QSA11" s="3428"/>
      <c r="QSB11" s="3428"/>
      <c r="QSC11" s="3428"/>
      <c r="QSD11" s="3428"/>
      <c r="QSE11" s="3428"/>
      <c r="QSF11" s="3428"/>
      <c r="QSG11" s="3428"/>
      <c r="QSH11" s="3428"/>
      <c r="QSI11" s="3428"/>
      <c r="QSJ11" s="3428"/>
      <c r="QSK11" s="3428"/>
      <c r="QSL11" s="3428"/>
      <c r="QSM11" s="3428"/>
      <c r="QSN11" s="3428"/>
      <c r="QSO11" s="3428"/>
      <c r="QSP11" s="3428"/>
      <c r="QSQ11" s="3428"/>
      <c r="QSR11" s="3428"/>
      <c r="QSS11" s="3428"/>
      <c r="QST11" s="3428"/>
      <c r="QSU11" s="3428"/>
      <c r="QSV11" s="3428"/>
      <c r="QSW11" s="3428"/>
      <c r="QSX11" s="3428"/>
      <c r="QSY11" s="3428"/>
      <c r="QSZ11" s="3428"/>
      <c r="QTA11" s="3428"/>
      <c r="QTB11" s="3428"/>
      <c r="QTC11" s="3428"/>
      <c r="QTD11" s="3428"/>
      <c r="QTE11" s="3428"/>
      <c r="QTF11" s="3428"/>
      <c r="QTG11" s="3428"/>
      <c r="QTH11" s="3428"/>
      <c r="QTI11" s="3428"/>
      <c r="QTJ11" s="3428"/>
      <c r="QTK11" s="3428"/>
      <c r="QTL11" s="3428"/>
      <c r="QTM11" s="3428"/>
      <c r="QTN11" s="3428"/>
      <c r="QTO11" s="3428"/>
      <c r="QTP11" s="3428"/>
      <c r="QTQ11" s="3428"/>
      <c r="QTR11" s="3428"/>
      <c r="QTS11" s="3428"/>
      <c r="QTT11" s="3428"/>
      <c r="QTU11" s="3428"/>
      <c r="QTV11" s="3428"/>
      <c r="QTW11" s="3428"/>
      <c r="QTX11" s="3428"/>
      <c r="QTY11" s="3428"/>
      <c r="QTZ11" s="3428"/>
      <c r="QUA11" s="3428"/>
      <c r="QUB11" s="3428"/>
      <c r="QUC11" s="3428"/>
      <c r="QUD11" s="3428"/>
      <c r="QUE11" s="3428"/>
      <c r="QUF11" s="3428"/>
      <c r="QUG11" s="3428"/>
      <c r="QUH11" s="3428"/>
      <c r="QUI11" s="3428"/>
      <c r="QUJ11" s="3428"/>
      <c r="QUK11" s="3428"/>
      <c r="QUL11" s="3428"/>
      <c r="QUM11" s="3428"/>
      <c r="QUN11" s="3428"/>
      <c r="QUO11" s="3428"/>
      <c r="QUP11" s="3428"/>
      <c r="QUQ11" s="3428"/>
      <c r="QUR11" s="3428"/>
      <c r="QUS11" s="3428"/>
      <c r="QUT11" s="3428"/>
      <c r="QUU11" s="3428"/>
      <c r="QUV11" s="3428"/>
      <c r="QUW11" s="3428"/>
      <c r="QUX11" s="3428"/>
      <c r="QUY11" s="3428"/>
      <c r="QUZ11" s="3428"/>
      <c r="QVA11" s="3428"/>
      <c r="QVB11" s="3428"/>
      <c r="QVC11" s="3428"/>
      <c r="QVD11" s="3428"/>
      <c r="QVE11" s="3428"/>
      <c r="QVF11" s="3428"/>
      <c r="QVG11" s="3428"/>
      <c r="QVH11" s="3428"/>
      <c r="QVI11" s="3428"/>
      <c r="QVJ11" s="3428"/>
      <c r="QVK11" s="3428"/>
      <c r="QVL11" s="3428"/>
      <c r="QVM11" s="3428"/>
      <c r="QVN11" s="3428"/>
      <c r="QVO11" s="3428"/>
      <c r="QVP11" s="3428"/>
      <c r="QVQ11" s="3428"/>
      <c r="QVR11" s="3428"/>
      <c r="QVS11" s="3428"/>
      <c r="QVT11" s="3428"/>
      <c r="QVU11" s="3428"/>
      <c r="QVV11" s="3428"/>
      <c r="QVW11" s="3428"/>
      <c r="QVX11" s="3428"/>
      <c r="QVY11" s="3428"/>
      <c r="QVZ11" s="3428"/>
      <c r="QWA11" s="3428"/>
      <c r="QWB11" s="3428"/>
      <c r="QWC11" s="3428"/>
      <c r="QWD11" s="3428"/>
      <c r="QWE11" s="3428"/>
      <c r="QWF11" s="3428"/>
      <c r="QWG11" s="3428"/>
      <c r="QWH11" s="3428"/>
      <c r="QWI11" s="3428"/>
      <c r="QWJ11" s="3428"/>
      <c r="QWK11" s="3428"/>
      <c r="QWL11" s="3428"/>
      <c r="QWM11" s="3428"/>
      <c r="QWN11" s="3428"/>
      <c r="QWO11" s="3428"/>
      <c r="QWP11" s="3428"/>
      <c r="QWQ11" s="3428"/>
      <c r="QWR11" s="3428"/>
      <c r="QWS11" s="3428"/>
      <c r="QWT11" s="3428"/>
      <c r="QWU11" s="3428"/>
      <c r="QWV11" s="3428"/>
      <c r="QWW11" s="3428"/>
      <c r="QWX11" s="3428"/>
      <c r="QWY11" s="3428"/>
      <c r="QWZ11" s="3428"/>
      <c r="QXA11" s="3428"/>
      <c r="QXB11" s="3428"/>
      <c r="QXC11" s="3428"/>
      <c r="QXD11" s="3428"/>
      <c r="QXE11" s="3428"/>
      <c r="QXF11" s="3428"/>
      <c r="QXG11" s="3428"/>
      <c r="QXH11" s="3428"/>
      <c r="QXI11" s="3428"/>
      <c r="QXJ11" s="3428"/>
      <c r="QXK11" s="3428"/>
      <c r="QXL11" s="3428"/>
      <c r="QXM11" s="3428"/>
      <c r="QXN11" s="3428"/>
      <c r="QXO11" s="3428"/>
      <c r="QXP11" s="3428"/>
      <c r="QXQ11" s="3428"/>
      <c r="QXR11" s="3428"/>
      <c r="QXS11" s="3428"/>
      <c r="QXT11" s="3428"/>
      <c r="QXU11" s="3428"/>
      <c r="QXV11" s="3428"/>
      <c r="QXW11" s="3428"/>
      <c r="QXX11" s="3428"/>
      <c r="QXY11" s="3428"/>
      <c r="QXZ11" s="3428"/>
      <c r="QYA11" s="3428"/>
      <c r="QYB11" s="3428"/>
      <c r="QYC11" s="3428"/>
      <c r="QYD11" s="3428"/>
      <c r="QYE11" s="3428"/>
      <c r="QYF11" s="3428"/>
      <c r="QYG11" s="3428"/>
      <c r="QYH11" s="3428"/>
      <c r="QYI11" s="3428"/>
      <c r="QYJ11" s="3428"/>
      <c r="QYK11" s="3428"/>
      <c r="QYL11" s="3428"/>
      <c r="QYM11" s="3428"/>
      <c r="QYN11" s="3428"/>
      <c r="QYO11" s="3428"/>
      <c r="QYP11" s="3428"/>
      <c r="QYQ11" s="3428"/>
      <c r="QYR11" s="3428"/>
      <c r="QYS11" s="3428"/>
      <c r="QYT11" s="3428"/>
      <c r="QYU11" s="3428"/>
      <c r="QYV11" s="3428"/>
      <c r="QYW11" s="3428"/>
      <c r="QYX11" s="3428"/>
      <c r="QYY11" s="3428"/>
      <c r="QYZ11" s="3428"/>
      <c r="QZA11" s="3428"/>
      <c r="QZB11" s="3428"/>
      <c r="QZC11" s="3428"/>
      <c r="QZD11" s="3428"/>
      <c r="QZE11" s="3428"/>
      <c r="QZF11" s="3428"/>
      <c r="QZG11" s="3428"/>
      <c r="QZH11" s="3428"/>
      <c r="QZI11" s="3428"/>
      <c r="QZJ11" s="3428"/>
      <c r="QZK11" s="3428"/>
      <c r="QZL11" s="3428"/>
      <c r="QZM11" s="3428"/>
      <c r="QZN11" s="3428"/>
      <c r="QZO11" s="3428"/>
      <c r="QZP11" s="3428"/>
      <c r="QZQ11" s="3428"/>
      <c r="QZR11" s="3428"/>
      <c r="QZS11" s="3428"/>
      <c r="QZT11" s="3428"/>
      <c r="QZU11" s="3428"/>
      <c r="QZV11" s="3428"/>
      <c r="QZW11" s="3428"/>
      <c r="QZX11" s="3428"/>
      <c r="QZY11" s="3428"/>
      <c r="QZZ11" s="3428"/>
      <c r="RAA11" s="3428"/>
      <c r="RAB11" s="3428"/>
      <c r="RAC11" s="3428"/>
      <c r="RAD11" s="3428"/>
      <c r="RAE11" s="3428"/>
      <c r="RAF11" s="3428"/>
      <c r="RAG11" s="3428"/>
      <c r="RAH11" s="3428"/>
      <c r="RAI11" s="3428"/>
      <c r="RAJ11" s="3428"/>
      <c r="RAK11" s="3428"/>
      <c r="RAL11" s="3428"/>
      <c r="RAM11" s="3428"/>
      <c r="RAN11" s="3428"/>
      <c r="RAO11" s="3428"/>
      <c r="RAP11" s="3428"/>
      <c r="RAQ11" s="3428"/>
      <c r="RAR11" s="3428"/>
      <c r="RAS11" s="3428"/>
      <c r="RAT11" s="3428"/>
      <c r="RAU11" s="3428"/>
      <c r="RAV11" s="3428"/>
      <c r="RAW11" s="3428"/>
      <c r="RAX11" s="3428"/>
      <c r="RAY11" s="3428"/>
      <c r="RAZ11" s="3428"/>
      <c r="RBA11" s="3428"/>
      <c r="RBB11" s="3428"/>
      <c r="RBC11" s="3428"/>
      <c r="RBD11" s="3428"/>
      <c r="RBE11" s="3428"/>
      <c r="RBF11" s="3428"/>
      <c r="RBG11" s="3428"/>
      <c r="RBH11" s="3428"/>
      <c r="RBI11" s="3428"/>
      <c r="RBJ11" s="3428"/>
      <c r="RBK11" s="3428"/>
      <c r="RBL11" s="3428"/>
      <c r="RBM11" s="3428"/>
      <c r="RBN11" s="3428"/>
      <c r="RBO11" s="3428"/>
      <c r="RBP11" s="3428"/>
      <c r="RBQ11" s="3428"/>
      <c r="RBR11" s="3428"/>
      <c r="RBS11" s="3428"/>
      <c r="RBT11" s="3428"/>
      <c r="RBU11" s="3428"/>
      <c r="RBV11" s="3428"/>
      <c r="RBW11" s="3428"/>
      <c r="RBX11" s="3428"/>
      <c r="RBY11" s="3428"/>
      <c r="RBZ11" s="3428"/>
      <c r="RCA11" s="3428"/>
      <c r="RCB11" s="3428"/>
      <c r="RCC11" s="3428"/>
      <c r="RCD11" s="3428"/>
      <c r="RCE11" s="3428"/>
      <c r="RCF11" s="3428"/>
      <c r="RCG11" s="3428"/>
      <c r="RCH11" s="3428"/>
      <c r="RCI11" s="3428"/>
      <c r="RCJ11" s="3428"/>
      <c r="RCK11" s="3428"/>
      <c r="RCL11" s="3428"/>
      <c r="RCM11" s="3428"/>
      <c r="RCN11" s="3428"/>
      <c r="RCO11" s="3428"/>
      <c r="RCP11" s="3428"/>
      <c r="RCQ11" s="3428"/>
      <c r="RCR11" s="3428"/>
      <c r="RCS11" s="3428"/>
      <c r="RCT11" s="3428"/>
      <c r="RCU11" s="3428"/>
      <c r="RCV11" s="3428"/>
      <c r="RCW11" s="3428"/>
      <c r="RCX11" s="3428"/>
      <c r="RCY11" s="3428"/>
      <c r="RCZ11" s="3428"/>
      <c r="RDA11" s="3428"/>
      <c r="RDB11" s="3428"/>
      <c r="RDC11" s="3428"/>
      <c r="RDD11" s="3428"/>
      <c r="RDE11" s="3428"/>
      <c r="RDF11" s="3428"/>
      <c r="RDG11" s="3428"/>
      <c r="RDH11" s="3428"/>
      <c r="RDI11" s="3428"/>
      <c r="RDJ11" s="3428"/>
      <c r="RDK11" s="3428"/>
      <c r="RDL11" s="3428"/>
      <c r="RDM11" s="3428"/>
      <c r="RDN11" s="3428"/>
      <c r="RDO11" s="3428"/>
      <c r="RDP11" s="3428"/>
      <c r="RDQ11" s="3428"/>
      <c r="RDR11" s="3428"/>
      <c r="RDS11" s="3428"/>
      <c r="RDT11" s="3428"/>
      <c r="RDU11" s="3428"/>
      <c r="RDV11" s="3428"/>
      <c r="RDW11" s="3428"/>
      <c r="RDX11" s="3428"/>
      <c r="RDY11" s="3428"/>
      <c r="RDZ11" s="3428"/>
      <c r="REA11" s="3428"/>
      <c r="REB11" s="3428"/>
      <c r="REC11" s="3428"/>
      <c r="RED11" s="3428"/>
      <c r="REE11" s="3428"/>
      <c r="REF11" s="3428"/>
      <c r="REG11" s="3428"/>
      <c r="REH11" s="3428"/>
      <c r="REI11" s="3428"/>
      <c r="REJ11" s="3428"/>
      <c r="REK11" s="3428"/>
      <c r="REL11" s="3428"/>
      <c r="REM11" s="3428"/>
      <c r="REN11" s="3428"/>
      <c r="REO11" s="3428"/>
      <c r="REP11" s="3428"/>
      <c r="REQ11" s="3428"/>
      <c r="RER11" s="3428"/>
      <c r="RES11" s="3428"/>
      <c r="RET11" s="3428"/>
      <c r="REU11" s="3428"/>
      <c r="REV11" s="3428"/>
      <c r="REW11" s="3428"/>
      <c r="REX11" s="3428"/>
      <c r="REY11" s="3428"/>
      <c r="REZ11" s="3428"/>
      <c r="RFA11" s="3428"/>
      <c r="RFB11" s="3428"/>
      <c r="RFC11" s="3428"/>
      <c r="RFD11" s="3428"/>
      <c r="RFE11" s="3428"/>
      <c r="RFF11" s="3428"/>
      <c r="RFG11" s="3428"/>
      <c r="RFH11" s="3428"/>
      <c r="RFI11" s="3428"/>
      <c r="RFJ11" s="3428"/>
      <c r="RFK11" s="3428"/>
      <c r="RFL11" s="3428"/>
      <c r="RFM11" s="3428"/>
      <c r="RFN11" s="3428"/>
      <c r="RFO11" s="3428"/>
      <c r="RFP11" s="3428"/>
      <c r="RFQ11" s="3428"/>
      <c r="RFR11" s="3428"/>
      <c r="RFS11" s="3428"/>
      <c r="RFT11" s="3428"/>
      <c r="RFU11" s="3428"/>
      <c r="RFV11" s="3428"/>
      <c r="RFW11" s="3428"/>
      <c r="RFX11" s="3428"/>
      <c r="RFY11" s="3428"/>
      <c r="RFZ11" s="3428"/>
      <c r="RGA11" s="3428"/>
      <c r="RGB11" s="3428"/>
      <c r="RGC11" s="3428"/>
      <c r="RGD11" s="3428"/>
      <c r="RGE11" s="3428"/>
      <c r="RGF11" s="3428"/>
      <c r="RGG11" s="3428"/>
      <c r="RGH11" s="3428"/>
      <c r="RGI11" s="3428"/>
      <c r="RGJ11" s="3428"/>
      <c r="RGK11" s="3428"/>
      <c r="RGL11" s="3428"/>
      <c r="RGM11" s="3428"/>
      <c r="RGN11" s="3428"/>
      <c r="RGO11" s="3428"/>
      <c r="RGP11" s="3428"/>
      <c r="RGQ11" s="3428"/>
      <c r="RGR11" s="3428"/>
      <c r="RGS11" s="3428"/>
      <c r="RGT11" s="3428"/>
      <c r="RGU11" s="3428"/>
      <c r="RGV11" s="3428"/>
      <c r="RGW11" s="3428"/>
      <c r="RGX11" s="3428"/>
      <c r="RGY11" s="3428"/>
      <c r="RGZ11" s="3428"/>
      <c r="RHA11" s="3428"/>
      <c r="RHB11" s="3428"/>
      <c r="RHC11" s="3428"/>
      <c r="RHD11" s="3428"/>
      <c r="RHE11" s="3428"/>
      <c r="RHF11" s="3428"/>
      <c r="RHG11" s="3428"/>
      <c r="RHH11" s="3428"/>
      <c r="RHI11" s="3428"/>
      <c r="RHJ11" s="3428"/>
      <c r="RHK11" s="3428"/>
      <c r="RHL11" s="3428"/>
      <c r="RHM11" s="3428"/>
      <c r="RHN11" s="3428"/>
      <c r="RHO11" s="3428"/>
      <c r="RHP11" s="3428"/>
      <c r="RHQ11" s="3428"/>
      <c r="RHR11" s="3428"/>
      <c r="RHS11" s="3428"/>
      <c r="RHT11" s="3428"/>
      <c r="RHU11" s="3428"/>
      <c r="RHV11" s="3428"/>
      <c r="RHW11" s="3428"/>
      <c r="RHX11" s="3428"/>
      <c r="RHY11" s="3428"/>
      <c r="RHZ11" s="3428"/>
      <c r="RIA11" s="3428"/>
      <c r="RIB11" s="3428"/>
      <c r="RIC11" s="3428"/>
      <c r="RID11" s="3428"/>
      <c r="RIE11" s="3428"/>
      <c r="RIF11" s="3428"/>
      <c r="RIG11" s="3428"/>
      <c r="RIH11" s="3428"/>
      <c r="RII11" s="3428"/>
      <c r="RIJ11" s="3428"/>
      <c r="RIK11" s="3428"/>
      <c r="RIL11" s="3428"/>
      <c r="RIM11" s="3428"/>
      <c r="RIN11" s="3428"/>
      <c r="RIO11" s="3428"/>
      <c r="RIP11" s="3428"/>
      <c r="RIQ11" s="3428"/>
      <c r="RIR11" s="3428"/>
      <c r="RIS11" s="3428"/>
      <c r="RIT11" s="3428"/>
      <c r="RIU11" s="3428"/>
      <c r="RIV11" s="3428"/>
      <c r="RIW11" s="3428"/>
      <c r="RIX11" s="3428"/>
      <c r="RIY11" s="3428"/>
      <c r="RIZ11" s="3428"/>
      <c r="RJA11" s="3428"/>
      <c r="RJB11" s="3428"/>
      <c r="RJC11" s="3428"/>
      <c r="RJD11" s="3428"/>
      <c r="RJE11" s="3428"/>
      <c r="RJF11" s="3428"/>
      <c r="RJG11" s="3428"/>
      <c r="RJH11" s="3428"/>
      <c r="RJI11" s="3428"/>
      <c r="RJJ11" s="3428"/>
      <c r="RJK11" s="3428"/>
      <c r="RJL11" s="3428"/>
      <c r="RJM11" s="3428"/>
      <c r="RJN11" s="3428"/>
      <c r="RJO11" s="3428"/>
      <c r="RJP11" s="3428"/>
      <c r="RJQ11" s="3428"/>
      <c r="RJR11" s="3428"/>
      <c r="RJS11" s="3428"/>
      <c r="RJT11" s="3428"/>
      <c r="RJU11" s="3428"/>
      <c r="RJV11" s="3428"/>
      <c r="RJW11" s="3428"/>
      <c r="RJX11" s="3428"/>
      <c r="RJY11" s="3428"/>
      <c r="RJZ11" s="3428"/>
      <c r="RKA11" s="3428"/>
      <c r="RKB11" s="3428"/>
      <c r="RKC11" s="3428"/>
      <c r="RKD11" s="3428"/>
      <c r="RKE11" s="3428"/>
      <c r="RKF11" s="3428"/>
      <c r="RKG11" s="3428"/>
      <c r="RKH11" s="3428"/>
      <c r="RKI11" s="3428"/>
      <c r="RKJ11" s="3428"/>
      <c r="RKK11" s="3428"/>
      <c r="RKL11" s="3428"/>
      <c r="RKM11" s="3428"/>
      <c r="RKN11" s="3428"/>
      <c r="RKO11" s="3428"/>
      <c r="RKP11" s="3428"/>
      <c r="RKQ11" s="3428"/>
      <c r="RKR11" s="3428"/>
      <c r="RKS11" s="3428"/>
      <c r="RKT11" s="3428"/>
      <c r="RKU11" s="3428"/>
      <c r="RKV11" s="3428"/>
      <c r="RKW11" s="3428"/>
      <c r="RKX11" s="3428"/>
      <c r="RKY11" s="3428"/>
      <c r="RKZ11" s="3428"/>
      <c r="RLA11" s="3428"/>
      <c r="RLB11" s="3428"/>
      <c r="RLC11" s="3428"/>
      <c r="RLD11" s="3428"/>
      <c r="RLE11" s="3428"/>
      <c r="RLF11" s="3428"/>
      <c r="RLG11" s="3428"/>
      <c r="RLH11" s="3428"/>
      <c r="RLI11" s="3428"/>
      <c r="RLJ11" s="3428"/>
      <c r="RLK11" s="3428"/>
      <c r="RLL11" s="3428"/>
      <c r="RLM11" s="3428"/>
      <c r="RLN11" s="3428"/>
      <c r="RLO11" s="3428"/>
      <c r="RLP11" s="3428"/>
      <c r="RLQ11" s="3428"/>
      <c r="RLR11" s="3428"/>
      <c r="RLS11" s="3428"/>
      <c r="RLT11" s="3428"/>
      <c r="RLU11" s="3428"/>
      <c r="RLV11" s="3428"/>
      <c r="RLW11" s="3428"/>
      <c r="RLX11" s="3428"/>
      <c r="RLY11" s="3428"/>
      <c r="RLZ11" s="3428"/>
      <c r="RMA11" s="3428"/>
      <c r="RMB11" s="3428"/>
      <c r="RMC11" s="3428"/>
      <c r="RMD11" s="3428"/>
      <c r="RME11" s="3428"/>
      <c r="RMF11" s="3428"/>
      <c r="RMG11" s="3428"/>
      <c r="RMH11" s="3428"/>
      <c r="RMI11" s="3428"/>
      <c r="RMJ11" s="3428"/>
      <c r="RMK11" s="3428"/>
      <c r="RML11" s="3428"/>
      <c r="RMM11" s="3428"/>
      <c r="RMN11" s="3428"/>
      <c r="RMO11" s="3428"/>
      <c r="RMP11" s="3428"/>
      <c r="RMQ11" s="3428"/>
      <c r="RMR11" s="3428"/>
      <c r="RMS11" s="3428"/>
      <c r="RMT11" s="3428"/>
      <c r="RMU11" s="3428"/>
      <c r="RMV11" s="3428"/>
      <c r="RMW11" s="3428"/>
      <c r="RMX11" s="3428"/>
      <c r="RMY11" s="3428"/>
      <c r="RMZ11" s="3428"/>
      <c r="RNA11" s="3428"/>
      <c r="RNB11" s="3428"/>
      <c r="RNC11" s="3428"/>
      <c r="RND11" s="3428"/>
      <c r="RNE11" s="3428"/>
      <c r="RNF11" s="3428"/>
      <c r="RNG11" s="3428"/>
      <c r="RNH11" s="3428"/>
      <c r="RNI11" s="3428"/>
      <c r="RNJ11" s="3428"/>
      <c r="RNK11" s="3428"/>
      <c r="RNL11" s="3428"/>
      <c r="RNM11" s="3428"/>
      <c r="RNN11" s="3428"/>
      <c r="RNO11" s="3428"/>
      <c r="RNP11" s="3428"/>
      <c r="RNQ11" s="3428"/>
      <c r="RNR11" s="3428"/>
      <c r="RNS11" s="3428"/>
      <c r="RNT11" s="3428"/>
      <c r="RNU11" s="3428"/>
      <c r="RNV11" s="3428"/>
      <c r="RNW11" s="3428"/>
      <c r="RNX11" s="3428"/>
      <c r="RNY11" s="3428"/>
      <c r="RNZ11" s="3428"/>
      <c r="ROA11" s="3428"/>
      <c r="ROB11" s="3428"/>
      <c r="ROC11" s="3428"/>
      <c r="ROD11" s="3428"/>
      <c r="ROE11" s="3428"/>
      <c r="ROF11" s="3428"/>
      <c r="ROG11" s="3428"/>
      <c r="ROH11" s="3428"/>
      <c r="ROI11" s="3428"/>
      <c r="ROJ11" s="3428"/>
      <c r="ROK11" s="3428"/>
      <c r="ROL11" s="3428"/>
      <c r="ROM11" s="3428"/>
      <c r="RON11" s="3428"/>
      <c r="ROO11" s="3428"/>
      <c r="ROP11" s="3428"/>
      <c r="ROQ11" s="3428"/>
      <c r="ROR11" s="3428"/>
      <c r="ROS11" s="3428"/>
      <c r="ROT11" s="3428"/>
      <c r="ROU11" s="3428"/>
      <c r="ROV11" s="3428"/>
      <c r="ROW11" s="3428"/>
      <c r="ROX11" s="3428"/>
      <c r="ROY11" s="3428"/>
      <c r="ROZ11" s="3428"/>
      <c r="RPA11" s="3428"/>
      <c r="RPB11" s="3428"/>
      <c r="RPC11" s="3428"/>
      <c r="RPD11" s="3428"/>
      <c r="RPE11" s="3428"/>
      <c r="RPF11" s="3428"/>
      <c r="RPG11" s="3428"/>
      <c r="RPH11" s="3428"/>
      <c r="RPI11" s="3428"/>
      <c r="RPJ11" s="3428"/>
      <c r="RPK11" s="3428"/>
      <c r="RPL11" s="3428"/>
      <c r="RPM11" s="3428"/>
      <c r="RPN11" s="3428"/>
      <c r="RPO11" s="3428"/>
      <c r="RPP11" s="3428"/>
      <c r="RPQ11" s="3428"/>
      <c r="RPR11" s="3428"/>
      <c r="RPS11" s="3428"/>
      <c r="RPT11" s="3428"/>
      <c r="RPU11" s="3428"/>
      <c r="RPV11" s="3428"/>
      <c r="RPW11" s="3428"/>
      <c r="RPX11" s="3428"/>
      <c r="RPY11" s="3428"/>
      <c r="RPZ11" s="3428"/>
      <c r="RQA11" s="3428"/>
      <c r="RQB11" s="3428"/>
      <c r="RQC11" s="3428"/>
      <c r="RQD11" s="3428"/>
      <c r="RQE11" s="3428"/>
      <c r="RQF11" s="3428"/>
      <c r="RQG11" s="3428"/>
      <c r="RQH11" s="3428"/>
      <c r="RQI11" s="3428"/>
      <c r="RQJ11" s="3428"/>
      <c r="RQK11" s="3428"/>
      <c r="RQL11" s="3428"/>
      <c r="RQM11" s="3428"/>
      <c r="RQN11" s="3428"/>
      <c r="RQO11" s="3428"/>
      <c r="RQP11" s="3428"/>
      <c r="RQQ11" s="3428"/>
      <c r="RQR11" s="3428"/>
      <c r="RQS11" s="3428"/>
      <c r="RQT11" s="3428"/>
      <c r="RQU11" s="3428"/>
      <c r="RQV11" s="3428"/>
      <c r="RQW11" s="3428"/>
      <c r="RQX11" s="3428"/>
      <c r="RQY11" s="3428"/>
      <c r="RQZ11" s="3428"/>
      <c r="RRA11" s="3428"/>
      <c r="RRB11" s="3428"/>
      <c r="RRC11" s="3428"/>
      <c r="RRD11" s="3428"/>
      <c r="RRE11" s="3428"/>
      <c r="RRF11" s="3428"/>
      <c r="RRG11" s="3428"/>
      <c r="RRH11" s="3428"/>
      <c r="RRI11" s="3428"/>
      <c r="RRJ11" s="3428"/>
      <c r="RRK11" s="3428"/>
      <c r="RRL11" s="3428"/>
      <c r="RRM11" s="3428"/>
      <c r="RRN11" s="3428"/>
      <c r="RRO11" s="3428"/>
      <c r="RRP11" s="3428"/>
      <c r="RRQ11" s="3428"/>
      <c r="RRR11" s="3428"/>
      <c r="RRS11" s="3428"/>
      <c r="RRT11" s="3428"/>
      <c r="RRU11" s="3428"/>
      <c r="RRV11" s="3428"/>
      <c r="RRW11" s="3428"/>
      <c r="RRX11" s="3428"/>
      <c r="RRY11" s="3428"/>
      <c r="RRZ11" s="3428"/>
      <c r="RSA11" s="3428"/>
      <c r="RSB11" s="3428"/>
      <c r="RSC11" s="3428"/>
      <c r="RSD11" s="3428"/>
      <c r="RSE11" s="3428"/>
      <c r="RSF11" s="3428"/>
      <c r="RSG11" s="3428"/>
      <c r="RSH11" s="3428"/>
      <c r="RSI11" s="3428"/>
      <c r="RSJ11" s="3428"/>
      <c r="RSK11" s="3428"/>
      <c r="RSL11" s="3428"/>
      <c r="RSM11" s="3428"/>
      <c r="RSN11" s="3428"/>
      <c r="RSO11" s="3428"/>
      <c r="RSP11" s="3428"/>
      <c r="RSQ11" s="3428"/>
      <c r="RSR11" s="3428"/>
      <c r="RSS11" s="3428"/>
      <c r="RST11" s="3428"/>
      <c r="RSU11" s="3428"/>
      <c r="RSV11" s="3428"/>
      <c r="RSW11" s="3428"/>
      <c r="RSX11" s="3428"/>
      <c r="RSY11" s="3428"/>
      <c r="RSZ11" s="3428"/>
      <c r="RTA11" s="3428"/>
      <c r="RTB11" s="3428"/>
      <c r="RTC11" s="3428"/>
      <c r="RTD11" s="3428"/>
      <c r="RTE11" s="3428"/>
      <c r="RTF11" s="3428"/>
      <c r="RTG11" s="3428"/>
      <c r="RTH11" s="3428"/>
      <c r="RTI11" s="3428"/>
      <c r="RTJ11" s="3428"/>
      <c r="RTK11" s="3428"/>
      <c r="RTL11" s="3428"/>
      <c r="RTM11" s="3428"/>
      <c r="RTN11" s="3428"/>
      <c r="RTO11" s="3428"/>
      <c r="RTP11" s="3428"/>
      <c r="RTQ11" s="3428"/>
      <c r="RTR11" s="3428"/>
      <c r="RTS11" s="3428"/>
      <c r="RTT11" s="3428"/>
      <c r="RTU11" s="3428"/>
      <c r="RTV11" s="3428"/>
      <c r="RTW11" s="3428"/>
      <c r="RTX11" s="3428"/>
      <c r="RTY11" s="3428"/>
      <c r="RTZ11" s="3428"/>
      <c r="RUA11" s="3428"/>
      <c r="RUB11" s="3428"/>
      <c r="RUC11" s="3428"/>
      <c r="RUD11" s="3428"/>
      <c r="RUE11" s="3428"/>
      <c r="RUF11" s="3428"/>
      <c r="RUG11" s="3428"/>
      <c r="RUH11" s="3428"/>
      <c r="RUI11" s="3428"/>
      <c r="RUJ11" s="3428"/>
      <c r="RUK11" s="3428"/>
      <c r="RUL11" s="3428"/>
      <c r="RUM11" s="3428"/>
      <c r="RUN11" s="3428"/>
      <c r="RUO11" s="3428"/>
      <c r="RUP11" s="3428"/>
      <c r="RUQ11" s="3428"/>
      <c r="RUR11" s="3428"/>
      <c r="RUS11" s="3428"/>
      <c r="RUT11" s="3428"/>
      <c r="RUU11" s="3428"/>
      <c r="RUV11" s="3428"/>
      <c r="RUW11" s="3428"/>
      <c r="RUX11" s="3428"/>
      <c r="RUY11" s="3428"/>
      <c r="RUZ11" s="3428"/>
      <c r="RVA11" s="3428"/>
      <c r="RVB11" s="3428"/>
      <c r="RVC11" s="3428"/>
      <c r="RVD11" s="3428"/>
      <c r="RVE11" s="3428"/>
      <c r="RVF11" s="3428"/>
      <c r="RVG11" s="3428"/>
      <c r="RVH11" s="3428"/>
      <c r="RVI11" s="3428"/>
      <c r="RVJ11" s="3428"/>
      <c r="RVK11" s="3428"/>
      <c r="RVL11" s="3428"/>
      <c r="RVM11" s="3428"/>
      <c r="RVN11" s="3428"/>
      <c r="RVO11" s="3428"/>
      <c r="RVP11" s="3428"/>
      <c r="RVQ11" s="3428"/>
      <c r="RVR11" s="3428"/>
      <c r="RVS11" s="3428"/>
      <c r="RVT11" s="3428"/>
      <c r="RVU11" s="3428"/>
      <c r="RVV11" s="3428"/>
      <c r="RVW11" s="3428"/>
      <c r="RVX11" s="3428"/>
      <c r="RVY11" s="3428"/>
      <c r="RVZ11" s="3428"/>
      <c r="RWA11" s="3428"/>
      <c r="RWB11" s="3428"/>
      <c r="RWC11" s="3428"/>
      <c r="RWD11" s="3428"/>
      <c r="RWE11" s="3428"/>
      <c r="RWF11" s="3428"/>
      <c r="RWG11" s="3428"/>
      <c r="RWH11" s="3428"/>
      <c r="RWI11" s="3428"/>
      <c r="RWJ11" s="3428"/>
      <c r="RWK11" s="3428"/>
      <c r="RWL11" s="3428"/>
      <c r="RWM11" s="3428"/>
      <c r="RWN11" s="3428"/>
      <c r="RWO11" s="3428"/>
      <c r="RWP11" s="3428"/>
      <c r="RWQ11" s="3428"/>
      <c r="RWR11" s="3428"/>
      <c r="RWS11" s="3428"/>
      <c r="RWT11" s="3428"/>
      <c r="RWU11" s="3428"/>
      <c r="RWV11" s="3428"/>
      <c r="RWW11" s="3428"/>
      <c r="RWX11" s="3428"/>
      <c r="RWY11" s="3428"/>
      <c r="RWZ11" s="3428"/>
      <c r="RXA11" s="3428"/>
      <c r="RXB11" s="3428"/>
      <c r="RXC11" s="3428"/>
      <c r="RXD11" s="3428"/>
      <c r="RXE11" s="3428"/>
      <c r="RXF11" s="3428"/>
      <c r="RXG11" s="3428"/>
      <c r="RXH11" s="3428"/>
      <c r="RXI11" s="3428"/>
      <c r="RXJ11" s="3428"/>
      <c r="RXK11" s="3428"/>
      <c r="RXL11" s="3428"/>
      <c r="RXM11" s="3428"/>
      <c r="RXN11" s="3428"/>
      <c r="RXO11" s="3428"/>
      <c r="RXP11" s="3428"/>
      <c r="RXQ11" s="3428"/>
      <c r="RXR11" s="3428"/>
      <c r="RXS11" s="3428"/>
      <c r="RXT11" s="3428"/>
      <c r="RXU11" s="3428"/>
      <c r="RXV11" s="3428"/>
      <c r="RXW11" s="3428"/>
      <c r="RXX11" s="3428"/>
      <c r="RXY11" s="3428"/>
      <c r="RXZ11" s="3428"/>
      <c r="RYA11" s="3428"/>
      <c r="RYB11" s="3428"/>
      <c r="RYC11" s="3428"/>
      <c r="RYD11" s="3428"/>
      <c r="RYE11" s="3428"/>
      <c r="RYF11" s="3428"/>
      <c r="RYG11" s="3428"/>
      <c r="RYH11" s="3428"/>
      <c r="RYI11" s="3428"/>
      <c r="RYJ11" s="3428"/>
      <c r="RYK11" s="3428"/>
      <c r="RYL11" s="3428"/>
      <c r="RYM11" s="3428"/>
      <c r="RYN11" s="3428"/>
      <c r="RYO11" s="3428"/>
      <c r="RYP11" s="3428"/>
      <c r="RYQ11" s="3428"/>
      <c r="RYR11" s="3428"/>
      <c r="RYS11" s="3428"/>
      <c r="RYT11" s="3428"/>
      <c r="RYU11" s="3428"/>
      <c r="RYV11" s="3428"/>
      <c r="RYW11" s="3428"/>
      <c r="RYX11" s="3428"/>
      <c r="RYY11" s="3428"/>
      <c r="RYZ11" s="3428"/>
      <c r="RZA11" s="3428"/>
      <c r="RZB11" s="3428"/>
      <c r="RZC11" s="3428"/>
      <c r="RZD11" s="3428"/>
      <c r="RZE11" s="3428"/>
      <c r="RZF11" s="3428"/>
      <c r="RZG11" s="3428"/>
      <c r="RZH11" s="3428"/>
      <c r="RZI11" s="3428"/>
      <c r="RZJ11" s="3428"/>
      <c r="RZK11" s="3428"/>
      <c r="RZL11" s="3428"/>
      <c r="RZM11" s="3428"/>
      <c r="RZN11" s="3428"/>
      <c r="RZO11" s="3428"/>
      <c r="RZP11" s="3428"/>
      <c r="RZQ11" s="3428"/>
      <c r="RZR11" s="3428"/>
      <c r="RZS11" s="3428"/>
      <c r="RZT11" s="3428"/>
      <c r="RZU11" s="3428"/>
      <c r="RZV11" s="3428"/>
      <c r="RZW11" s="3428"/>
      <c r="RZX11" s="3428"/>
      <c r="RZY11" s="3428"/>
      <c r="RZZ11" s="3428"/>
      <c r="SAA11" s="3428"/>
      <c r="SAB11" s="3428"/>
      <c r="SAC11" s="3428"/>
      <c r="SAD11" s="3428"/>
      <c r="SAE11" s="3428"/>
      <c r="SAF11" s="3428"/>
      <c r="SAG11" s="3428"/>
      <c r="SAH11" s="3428"/>
      <c r="SAI11" s="3428"/>
      <c r="SAJ11" s="3428"/>
      <c r="SAK11" s="3428"/>
      <c r="SAL11" s="3428"/>
      <c r="SAM11" s="3428"/>
      <c r="SAN11" s="3428"/>
      <c r="SAO11" s="3428"/>
      <c r="SAP11" s="3428"/>
      <c r="SAQ11" s="3428"/>
      <c r="SAR11" s="3428"/>
      <c r="SAS11" s="3428"/>
      <c r="SAT11" s="3428"/>
      <c r="SAU11" s="3428"/>
      <c r="SAV11" s="3428"/>
      <c r="SAW11" s="3428"/>
      <c r="SAX11" s="3428"/>
      <c r="SAY11" s="3428"/>
      <c r="SAZ11" s="3428"/>
      <c r="SBA11" s="3428"/>
      <c r="SBB11" s="3428"/>
      <c r="SBC11" s="3428"/>
      <c r="SBD11" s="3428"/>
      <c r="SBE11" s="3428"/>
      <c r="SBF11" s="3428"/>
      <c r="SBG11" s="3428"/>
      <c r="SBH11" s="3428"/>
      <c r="SBI11" s="3428"/>
      <c r="SBJ11" s="3428"/>
      <c r="SBK11" s="3428"/>
      <c r="SBL11" s="3428"/>
      <c r="SBM11" s="3428"/>
      <c r="SBN11" s="3428"/>
      <c r="SBO11" s="3428"/>
      <c r="SBP11" s="3428"/>
      <c r="SBQ11" s="3428"/>
      <c r="SBR11" s="3428"/>
      <c r="SBS11" s="3428"/>
      <c r="SBT11" s="3428"/>
      <c r="SBU11" s="3428"/>
      <c r="SBV11" s="3428"/>
      <c r="SBW11" s="3428"/>
      <c r="SBX11" s="3428"/>
      <c r="SBY11" s="3428"/>
      <c r="SBZ11" s="3428"/>
      <c r="SCA11" s="3428"/>
      <c r="SCB11" s="3428"/>
      <c r="SCC11" s="3428"/>
      <c r="SCD11" s="3428"/>
      <c r="SCE11" s="3428"/>
      <c r="SCF11" s="3428"/>
      <c r="SCG11" s="3428"/>
      <c r="SCH11" s="3428"/>
      <c r="SCI11" s="3428"/>
      <c r="SCJ11" s="3428"/>
      <c r="SCK11" s="3428"/>
      <c r="SCL11" s="3428"/>
      <c r="SCM11" s="3428"/>
      <c r="SCN11" s="3428"/>
      <c r="SCO11" s="3428"/>
      <c r="SCP11" s="3428"/>
      <c r="SCQ11" s="3428"/>
      <c r="SCR11" s="3428"/>
      <c r="SCS11" s="3428"/>
      <c r="SCT11" s="3428"/>
      <c r="SCU11" s="3428"/>
      <c r="SCV11" s="3428"/>
      <c r="SCW11" s="3428"/>
      <c r="SCX11" s="3428"/>
      <c r="SCY11" s="3428"/>
      <c r="SCZ11" s="3428"/>
      <c r="SDA11" s="3428"/>
      <c r="SDB11" s="3428"/>
      <c r="SDC11" s="3428"/>
      <c r="SDD11" s="3428"/>
      <c r="SDE11" s="3428"/>
      <c r="SDF11" s="3428"/>
      <c r="SDG11" s="3428"/>
      <c r="SDH11" s="3428"/>
      <c r="SDI11" s="3428"/>
      <c r="SDJ11" s="3428"/>
      <c r="SDK11" s="3428"/>
      <c r="SDL11" s="3428"/>
      <c r="SDM11" s="3428"/>
      <c r="SDN11" s="3428"/>
      <c r="SDO11" s="3428"/>
      <c r="SDP11" s="3428"/>
      <c r="SDQ11" s="3428"/>
      <c r="SDR11" s="3428"/>
      <c r="SDS11" s="3428"/>
      <c r="SDT11" s="3428"/>
      <c r="SDU11" s="3428"/>
      <c r="SDV11" s="3428"/>
      <c r="SDW11" s="3428"/>
      <c r="SDX11" s="3428"/>
      <c r="SDY11" s="3428"/>
      <c r="SDZ11" s="3428"/>
      <c r="SEA11" s="3428"/>
      <c r="SEB11" s="3428"/>
      <c r="SEC11" s="3428"/>
      <c r="SED11" s="3428"/>
      <c r="SEE11" s="3428"/>
      <c r="SEF11" s="3428"/>
      <c r="SEG11" s="3428"/>
      <c r="SEH11" s="3428"/>
      <c r="SEI11" s="3428"/>
      <c r="SEJ11" s="3428"/>
      <c r="SEK11" s="3428"/>
      <c r="SEL11" s="3428"/>
      <c r="SEM11" s="3428"/>
      <c r="SEN11" s="3428"/>
      <c r="SEO11" s="3428"/>
      <c r="SEP11" s="3428"/>
      <c r="SEQ11" s="3428"/>
      <c r="SER11" s="3428"/>
      <c r="SES11" s="3428"/>
      <c r="SET11" s="3428"/>
      <c r="SEU11" s="3428"/>
      <c r="SEV11" s="3428"/>
      <c r="SEW11" s="3428"/>
      <c r="SEX11" s="3428"/>
      <c r="SEY11" s="3428"/>
      <c r="SEZ11" s="3428"/>
      <c r="SFA11" s="3428"/>
      <c r="SFB11" s="3428"/>
      <c r="SFC11" s="3428"/>
      <c r="SFD11" s="3428"/>
      <c r="SFE11" s="3428"/>
      <c r="SFF11" s="3428"/>
      <c r="SFG11" s="3428"/>
      <c r="SFH11" s="3428"/>
      <c r="SFI11" s="3428"/>
      <c r="SFJ11" s="3428"/>
      <c r="SFK11" s="3428"/>
      <c r="SFL11" s="3428"/>
      <c r="SFM11" s="3428"/>
      <c r="SFN11" s="3428"/>
      <c r="SFO11" s="3428"/>
      <c r="SFP11" s="3428"/>
      <c r="SFQ11" s="3428"/>
      <c r="SFR11" s="3428"/>
      <c r="SFS11" s="3428"/>
      <c r="SFT11" s="3428"/>
      <c r="SFU11" s="3428"/>
      <c r="SFV11" s="3428"/>
      <c r="SFW11" s="3428"/>
      <c r="SFX11" s="3428"/>
      <c r="SFY11" s="3428"/>
      <c r="SFZ11" s="3428"/>
      <c r="SGA11" s="3428"/>
      <c r="SGB11" s="3428"/>
      <c r="SGC11" s="3428"/>
      <c r="SGD11" s="3428"/>
      <c r="SGE11" s="3428"/>
      <c r="SGF11" s="3428"/>
      <c r="SGG11" s="3428"/>
      <c r="SGH11" s="3428"/>
      <c r="SGI11" s="3428"/>
      <c r="SGJ11" s="3428"/>
      <c r="SGK11" s="3428"/>
      <c r="SGL11" s="3428"/>
      <c r="SGM11" s="3428"/>
      <c r="SGN11" s="3428"/>
      <c r="SGO11" s="3428"/>
      <c r="SGP11" s="3428"/>
      <c r="SGQ11" s="3428"/>
      <c r="SGR11" s="3428"/>
      <c r="SGS11" s="3428"/>
      <c r="SGT11" s="3428"/>
      <c r="SGU11" s="3428"/>
      <c r="SGV11" s="3428"/>
      <c r="SGW11" s="3428"/>
      <c r="SGX11" s="3428"/>
      <c r="SGY11" s="3428"/>
      <c r="SGZ11" s="3428"/>
      <c r="SHA11" s="3428"/>
      <c r="SHB11" s="3428"/>
      <c r="SHC11" s="3428"/>
      <c r="SHD11" s="3428"/>
      <c r="SHE11" s="3428"/>
      <c r="SHF11" s="3428"/>
      <c r="SHG11" s="3428"/>
      <c r="SHH11" s="3428"/>
      <c r="SHI11" s="3428"/>
      <c r="SHJ11" s="3428"/>
      <c r="SHK11" s="3428"/>
      <c r="SHL11" s="3428"/>
      <c r="SHM11" s="3428"/>
      <c r="SHN11" s="3428"/>
      <c r="SHO11" s="3428"/>
      <c r="SHP11" s="3428"/>
      <c r="SHQ11" s="3428"/>
      <c r="SHR11" s="3428"/>
      <c r="SHS11" s="3428"/>
      <c r="SHT11" s="3428"/>
      <c r="SHU11" s="3428"/>
      <c r="SHV11" s="3428"/>
      <c r="SHW11" s="3428"/>
      <c r="SHX11" s="3428"/>
      <c r="SHY11" s="3428"/>
      <c r="SHZ11" s="3428"/>
      <c r="SIA11" s="3428"/>
      <c r="SIB11" s="3428"/>
      <c r="SIC11" s="3428"/>
      <c r="SID11" s="3428"/>
      <c r="SIE11" s="3428"/>
      <c r="SIF11" s="3428"/>
      <c r="SIG11" s="3428"/>
      <c r="SIH11" s="3428"/>
      <c r="SII11" s="3428"/>
      <c r="SIJ11" s="3428"/>
      <c r="SIK11" s="3428"/>
      <c r="SIL11" s="3428"/>
      <c r="SIM11" s="3428"/>
      <c r="SIN11" s="3428"/>
      <c r="SIO11" s="3428"/>
      <c r="SIP11" s="3428"/>
      <c r="SIQ11" s="3428"/>
      <c r="SIR11" s="3428"/>
      <c r="SIS11" s="3428"/>
      <c r="SIT11" s="3428"/>
      <c r="SIU11" s="3428"/>
      <c r="SIV11" s="3428"/>
      <c r="SIW11" s="3428"/>
      <c r="SIX11" s="3428"/>
      <c r="SIY11" s="3428"/>
      <c r="SIZ11" s="3428"/>
      <c r="SJA11" s="3428"/>
      <c r="SJB11" s="3428"/>
      <c r="SJC11" s="3428"/>
      <c r="SJD11" s="3428"/>
      <c r="SJE11" s="3428"/>
      <c r="SJF11" s="3428"/>
      <c r="SJG11" s="3428"/>
      <c r="SJH11" s="3428"/>
      <c r="SJI11" s="3428"/>
      <c r="SJJ11" s="3428"/>
      <c r="SJK11" s="3428"/>
      <c r="SJL11" s="3428"/>
      <c r="SJM11" s="3428"/>
      <c r="SJN11" s="3428"/>
      <c r="SJO11" s="3428"/>
      <c r="SJP11" s="3428"/>
      <c r="SJQ11" s="3428"/>
      <c r="SJR11" s="3428"/>
      <c r="SJS11" s="3428"/>
      <c r="SJT11" s="3428"/>
      <c r="SJU11" s="3428"/>
      <c r="SJV11" s="3428"/>
      <c r="SJW11" s="3428"/>
      <c r="SJX11" s="3428"/>
      <c r="SJY11" s="3428"/>
      <c r="SJZ11" s="3428"/>
      <c r="SKA11" s="3428"/>
      <c r="SKB11" s="3428"/>
      <c r="SKC11" s="3428"/>
      <c r="SKD11" s="3428"/>
      <c r="SKE11" s="3428"/>
      <c r="SKF11" s="3428"/>
      <c r="SKG11" s="3428"/>
      <c r="SKH11" s="3428"/>
      <c r="SKI11" s="3428"/>
      <c r="SKJ11" s="3428"/>
      <c r="SKK11" s="3428"/>
      <c r="SKL11" s="3428"/>
      <c r="SKM11" s="3428"/>
      <c r="SKN11" s="3428"/>
      <c r="SKO11" s="3428"/>
      <c r="SKP11" s="3428"/>
      <c r="SKQ11" s="3428"/>
      <c r="SKR11" s="3428"/>
      <c r="SKS11" s="3428"/>
      <c r="SKT11" s="3428"/>
      <c r="SKU11" s="3428"/>
      <c r="SKV11" s="3428"/>
      <c r="SKW11" s="3428"/>
      <c r="SKX11" s="3428"/>
      <c r="SKY11" s="3428"/>
      <c r="SKZ11" s="3428"/>
      <c r="SLA11" s="3428"/>
      <c r="SLB11" s="3428"/>
      <c r="SLC11" s="3428"/>
      <c r="SLD11" s="3428"/>
      <c r="SLE11" s="3428"/>
      <c r="SLF11" s="3428"/>
      <c r="SLG11" s="3428"/>
      <c r="SLH11" s="3428"/>
      <c r="SLI11" s="3428"/>
      <c r="SLJ11" s="3428"/>
      <c r="SLK11" s="3428"/>
      <c r="SLL11" s="3428"/>
      <c r="SLM11" s="3428"/>
      <c r="SLN11" s="3428"/>
      <c r="SLO11" s="3428"/>
      <c r="SLP11" s="3428"/>
      <c r="SLQ11" s="3428"/>
      <c r="SLR11" s="3428"/>
      <c r="SLS11" s="3428"/>
      <c r="SLT11" s="3428"/>
      <c r="SLU11" s="3428"/>
      <c r="SLV11" s="3428"/>
      <c r="SLW11" s="3428"/>
      <c r="SLX11" s="3428"/>
      <c r="SLY11" s="3428"/>
      <c r="SLZ11" s="3428"/>
      <c r="SMA11" s="3428"/>
      <c r="SMB11" s="3428"/>
      <c r="SMC11" s="3428"/>
      <c r="SMD11" s="3428"/>
      <c r="SME11" s="3428"/>
      <c r="SMF11" s="3428"/>
      <c r="SMG11" s="3428"/>
      <c r="SMH11" s="3428"/>
      <c r="SMI11" s="3428"/>
      <c r="SMJ11" s="3428"/>
      <c r="SMK11" s="3428"/>
      <c r="SML11" s="3428"/>
      <c r="SMM11" s="3428"/>
      <c r="SMN11" s="3428"/>
      <c r="SMO11" s="3428"/>
      <c r="SMP11" s="3428"/>
      <c r="SMQ11" s="3428"/>
      <c r="SMR11" s="3428"/>
      <c r="SMS11" s="3428"/>
      <c r="SMT11" s="3428"/>
      <c r="SMU11" s="3428"/>
      <c r="SMV11" s="3428"/>
      <c r="SMW11" s="3428"/>
      <c r="SMX11" s="3428"/>
      <c r="SMY11" s="3428"/>
      <c r="SMZ11" s="3428"/>
      <c r="SNA11" s="3428"/>
      <c r="SNB11" s="3428"/>
      <c r="SNC11" s="3428"/>
      <c r="SND11" s="3428"/>
      <c r="SNE11" s="3428"/>
      <c r="SNF11" s="3428"/>
      <c r="SNG11" s="3428"/>
      <c r="SNH11" s="3428"/>
      <c r="SNI11" s="3428"/>
      <c r="SNJ11" s="3428"/>
      <c r="SNK11" s="3428"/>
      <c r="SNL11" s="3428"/>
      <c r="SNM11" s="3428"/>
      <c r="SNN11" s="3428"/>
      <c r="SNO11" s="3428"/>
      <c r="SNP11" s="3428"/>
      <c r="SNQ11" s="3428"/>
      <c r="SNR11" s="3428"/>
      <c r="SNS11" s="3428"/>
      <c r="SNT11" s="3428"/>
      <c r="SNU11" s="3428"/>
      <c r="SNV11" s="3428"/>
      <c r="SNW11" s="3428"/>
      <c r="SNX11" s="3428"/>
      <c r="SNY11" s="3428"/>
      <c r="SNZ11" s="3428"/>
      <c r="SOA11" s="3428"/>
      <c r="SOB11" s="3428"/>
      <c r="SOC11" s="3428"/>
      <c r="SOD11" s="3428"/>
      <c r="SOE11" s="3428"/>
      <c r="SOF11" s="3428"/>
      <c r="SOG11" s="3428"/>
      <c r="SOH11" s="3428"/>
      <c r="SOI11" s="3428"/>
      <c r="SOJ11" s="3428"/>
      <c r="SOK11" s="3428"/>
      <c r="SOL11" s="3428"/>
      <c r="SOM11" s="3428"/>
      <c r="SON11" s="3428"/>
      <c r="SOO11" s="3428"/>
      <c r="SOP11" s="3428"/>
      <c r="SOQ11" s="3428"/>
      <c r="SOR11" s="3428"/>
      <c r="SOS11" s="3428"/>
      <c r="SOT11" s="3428"/>
      <c r="SOU11" s="3428"/>
      <c r="SOV11" s="3428"/>
      <c r="SOW11" s="3428"/>
      <c r="SOX11" s="3428"/>
      <c r="SOY11" s="3428"/>
      <c r="SOZ11" s="3428"/>
      <c r="SPA11" s="3428"/>
      <c r="SPB11" s="3428"/>
      <c r="SPC11" s="3428"/>
      <c r="SPD11" s="3428"/>
      <c r="SPE11" s="3428"/>
      <c r="SPF11" s="3428"/>
      <c r="SPG11" s="3428"/>
      <c r="SPH11" s="3428"/>
      <c r="SPI11" s="3428"/>
      <c r="SPJ11" s="3428"/>
      <c r="SPK11" s="3428"/>
      <c r="SPL11" s="3428"/>
      <c r="SPM11" s="3428"/>
      <c r="SPN11" s="3428"/>
      <c r="SPO11" s="3428"/>
      <c r="SPP11" s="3428"/>
      <c r="SPQ11" s="3428"/>
      <c r="SPR11" s="3428"/>
      <c r="SPS11" s="3428"/>
      <c r="SPT11" s="3428"/>
      <c r="SPU11" s="3428"/>
      <c r="SPV11" s="3428"/>
      <c r="SPW11" s="3428"/>
      <c r="SPX11" s="3428"/>
      <c r="SPY11" s="3428"/>
      <c r="SPZ11" s="3428"/>
      <c r="SQA11" s="3428"/>
      <c r="SQB11" s="3428"/>
      <c r="SQC11" s="3428"/>
      <c r="SQD11" s="3428"/>
      <c r="SQE11" s="3428"/>
      <c r="SQF11" s="3428"/>
      <c r="SQG11" s="3428"/>
      <c r="SQH11" s="3428"/>
      <c r="SQI11" s="3428"/>
      <c r="SQJ11" s="3428"/>
      <c r="SQK11" s="3428"/>
      <c r="SQL11" s="3428"/>
      <c r="SQM11" s="3428"/>
      <c r="SQN11" s="3428"/>
      <c r="SQO11" s="3428"/>
      <c r="SQP11" s="3428"/>
      <c r="SQQ11" s="3428"/>
      <c r="SQR11" s="3428"/>
      <c r="SQS11" s="3428"/>
      <c r="SQT11" s="3428"/>
      <c r="SQU11" s="3428"/>
      <c r="SQV11" s="3428"/>
      <c r="SQW11" s="3428"/>
      <c r="SQX11" s="3428"/>
      <c r="SQY11" s="3428"/>
      <c r="SQZ11" s="3428"/>
      <c r="SRA11" s="3428"/>
      <c r="SRB11" s="3428"/>
      <c r="SRC11" s="3428"/>
      <c r="SRD11" s="3428"/>
      <c r="SRE11" s="3428"/>
      <c r="SRF11" s="3428"/>
      <c r="SRG11" s="3428"/>
      <c r="SRH11" s="3428"/>
      <c r="SRI11" s="3428"/>
      <c r="SRJ11" s="3428"/>
      <c r="SRK11" s="3428"/>
      <c r="SRL11" s="3428"/>
      <c r="SRM11" s="3428"/>
      <c r="SRN11" s="3428"/>
      <c r="SRO11" s="3428"/>
      <c r="SRP11" s="3428"/>
      <c r="SRQ11" s="3428"/>
      <c r="SRR11" s="3428"/>
      <c r="SRS11" s="3428"/>
      <c r="SRT11" s="3428"/>
      <c r="SRU11" s="3428"/>
      <c r="SRV11" s="3428"/>
      <c r="SRW11" s="3428"/>
      <c r="SRX11" s="3428"/>
      <c r="SRY11" s="3428"/>
      <c r="SRZ11" s="3428"/>
      <c r="SSA11" s="3428"/>
      <c r="SSB11" s="3428"/>
      <c r="SSC11" s="3428"/>
      <c r="SSD11" s="3428"/>
      <c r="SSE11" s="3428"/>
      <c r="SSF11" s="3428"/>
      <c r="SSG11" s="3428"/>
      <c r="SSH11" s="3428"/>
      <c r="SSI11" s="3428"/>
      <c r="SSJ11" s="3428"/>
      <c r="SSK11" s="3428"/>
      <c r="SSL11" s="3428"/>
      <c r="SSM11" s="3428"/>
      <c r="SSN11" s="3428"/>
      <c r="SSO11" s="3428"/>
      <c r="SSP11" s="3428"/>
      <c r="SSQ11" s="3428"/>
      <c r="SSR11" s="3428"/>
      <c r="SSS11" s="3428"/>
      <c r="SST11" s="3428"/>
      <c r="SSU11" s="3428"/>
      <c r="SSV11" s="3428"/>
      <c r="SSW11" s="3428"/>
      <c r="SSX11" s="3428"/>
      <c r="SSY11" s="3428"/>
      <c r="SSZ11" s="3428"/>
      <c r="STA11" s="3428"/>
      <c r="STB11" s="3428"/>
      <c r="STC11" s="3428"/>
      <c r="STD11" s="3428"/>
      <c r="STE11" s="3428"/>
      <c r="STF11" s="3428"/>
      <c r="STG11" s="3428"/>
      <c r="STH11" s="3428"/>
      <c r="STI11" s="3428"/>
      <c r="STJ11" s="3428"/>
      <c r="STK11" s="3428"/>
      <c r="STL11" s="3428"/>
      <c r="STM11" s="3428"/>
      <c r="STN11" s="3428"/>
      <c r="STO11" s="3428"/>
      <c r="STP11" s="3428"/>
      <c r="STQ11" s="3428"/>
      <c r="STR11" s="3428"/>
      <c r="STS11" s="3428"/>
      <c r="STT11" s="3428"/>
      <c r="STU11" s="3428"/>
      <c r="STV11" s="3428"/>
      <c r="STW11" s="3428"/>
      <c r="STX11" s="3428"/>
      <c r="STY11" s="3428"/>
      <c r="STZ11" s="3428"/>
      <c r="SUA11" s="3428"/>
      <c r="SUB11" s="3428"/>
      <c r="SUC11" s="3428"/>
      <c r="SUD11" s="3428"/>
      <c r="SUE11" s="3428"/>
      <c r="SUF11" s="3428"/>
      <c r="SUG11" s="3428"/>
      <c r="SUH11" s="3428"/>
      <c r="SUI11" s="3428"/>
      <c r="SUJ11" s="3428"/>
      <c r="SUK11" s="3428"/>
      <c r="SUL11" s="3428"/>
      <c r="SUM11" s="3428"/>
      <c r="SUN11" s="3428"/>
      <c r="SUO11" s="3428"/>
      <c r="SUP11" s="3428"/>
      <c r="SUQ11" s="3428"/>
      <c r="SUR11" s="3428"/>
      <c r="SUS11" s="3428"/>
      <c r="SUT11" s="3428"/>
      <c r="SUU11" s="3428"/>
      <c r="SUV11" s="3428"/>
      <c r="SUW11" s="3428"/>
      <c r="SUX11" s="3428"/>
      <c r="SUY11" s="3428"/>
      <c r="SUZ11" s="3428"/>
      <c r="SVA11" s="3428"/>
      <c r="SVB11" s="3428"/>
      <c r="SVC11" s="3428"/>
      <c r="SVD11" s="3428"/>
      <c r="SVE11" s="3428"/>
      <c r="SVF11" s="3428"/>
      <c r="SVG11" s="3428"/>
      <c r="SVH11" s="3428"/>
      <c r="SVI11" s="3428"/>
      <c r="SVJ11" s="3428"/>
      <c r="SVK11" s="3428"/>
      <c r="SVL11" s="3428"/>
      <c r="SVM11" s="3428"/>
      <c r="SVN11" s="3428"/>
      <c r="SVO11" s="3428"/>
      <c r="SVP11" s="3428"/>
      <c r="SVQ11" s="3428"/>
      <c r="SVR11" s="3428"/>
      <c r="SVS11" s="3428"/>
      <c r="SVT11" s="3428"/>
      <c r="SVU11" s="3428"/>
      <c r="SVV11" s="3428"/>
      <c r="SVW11" s="3428"/>
      <c r="SVX11" s="3428"/>
      <c r="SVY11" s="3428"/>
      <c r="SVZ11" s="3428"/>
      <c r="SWA11" s="3428"/>
      <c r="SWB11" s="3428"/>
      <c r="SWC11" s="3428"/>
      <c r="SWD11" s="3428"/>
      <c r="SWE11" s="3428"/>
      <c r="SWF11" s="3428"/>
      <c r="SWG11" s="3428"/>
      <c r="SWH11" s="3428"/>
      <c r="SWI11" s="3428"/>
      <c r="SWJ11" s="3428"/>
      <c r="SWK11" s="3428"/>
      <c r="SWL11" s="3428"/>
      <c r="SWM11" s="3428"/>
      <c r="SWN11" s="3428"/>
      <c r="SWO11" s="3428"/>
      <c r="SWP11" s="3428"/>
      <c r="SWQ11" s="3428"/>
      <c r="SWR11" s="3428"/>
      <c r="SWS11" s="3428"/>
      <c r="SWT11" s="3428"/>
      <c r="SWU11" s="3428"/>
      <c r="SWV11" s="3428"/>
      <c r="SWW11" s="3428"/>
      <c r="SWX11" s="3428"/>
      <c r="SWY11" s="3428"/>
      <c r="SWZ11" s="3428"/>
      <c r="SXA11" s="3428"/>
      <c r="SXB11" s="3428"/>
      <c r="SXC11" s="3428"/>
      <c r="SXD11" s="3428"/>
      <c r="SXE11" s="3428"/>
      <c r="SXF11" s="3428"/>
      <c r="SXG11" s="3428"/>
      <c r="SXH11" s="3428"/>
      <c r="SXI11" s="3428"/>
      <c r="SXJ11" s="3428"/>
      <c r="SXK11" s="3428"/>
      <c r="SXL11" s="3428"/>
      <c r="SXM11" s="3428"/>
      <c r="SXN11" s="3428"/>
      <c r="SXO11" s="3428"/>
      <c r="SXP11" s="3428"/>
      <c r="SXQ11" s="3428"/>
      <c r="SXR11" s="3428"/>
      <c r="SXS11" s="3428"/>
      <c r="SXT11" s="3428"/>
      <c r="SXU11" s="3428"/>
      <c r="SXV11" s="3428"/>
      <c r="SXW11" s="3428"/>
      <c r="SXX11" s="3428"/>
      <c r="SXY11" s="3428"/>
      <c r="SXZ11" s="3428"/>
      <c r="SYA11" s="3428"/>
      <c r="SYB11" s="3428"/>
      <c r="SYC11" s="3428"/>
      <c r="SYD11" s="3428"/>
      <c r="SYE11" s="3428"/>
      <c r="SYF11" s="3428"/>
      <c r="SYG11" s="3428"/>
      <c r="SYH11" s="3428"/>
      <c r="SYI11" s="3428"/>
      <c r="SYJ11" s="3428"/>
      <c r="SYK11" s="3428"/>
      <c r="SYL11" s="3428"/>
      <c r="SYM11" s="3428"/>
      <c r="SYN11" s="3428"/>
      <c r="SYO11" s="3428"/>
      <c r="SYP11" s="3428"/>
      <c r="SYQ11" s="3428"/>
      <c r="SYR11" s="3428"/>
      <c r="SYS11" s="3428"/>
      <c r="SYT11" s="3428"/>
      <c r="SYU11" s="3428"/>
      <c r="SYV11" s="3428"/>
      <c r="SYW11" s="3428"/>
      <c r="SYX11" s="3428"/>
      <c r="SYY11" s="3428"/>
      <c r="SYZ11" s="3428"/>
      <c r="SZA11" s="3428"/>
      <c r="SZB11" s="3428"/>
      <c r="SZC11" s="3428"/>
      <c r="SZD11" s="3428"/>
      <c r="SZE11" s="3428"/>
      <c r="SZF11" s="3428"/>
      <c r="SZG11" s="3428"/>
      <c r="SZH11" s="3428"/>
      <c r="SZI11" s="3428"/>
      <c r="SZJ11" s="3428"/>
      <c r="SZK11" s="3428"/>
      <c r="SZL11" s="3428"/>
      <c r="SZM11" s="3428"/>
      <c r="SZN11" s="3428"/>
      <c r="SZO11" s="3428"/>
      <c r="SZP11" s="3428"/>
      <c r="SZQ11" s="3428"/>
      <c r="SZR11" s="3428"/>
      <c r="SZS11" s="3428"/>
      <c r="SZT11" s="3428"/>
      <c r="SZU11" s="3428"/>
      <c r="SZV11" s="3428"/>
      <c r="SZW11" s="3428"/>
      <c r="SZX11" s="3428"/>
      <c r="SZY11" s="3428"/>
      <c r="SZZ11" s="3428"/>
      <c r="TAA11" s="3428"/>
      <c r="TAB11" s="3428"/>
      <c r="TAC11" s="3428"/>
      <c r="TAD11" s="3428"/>
      <c r="TAE11" s="3428"/>
      <c r="TAF11" s="3428"/>
      <c r="TAG11" s="3428"/>
      <c r="TAH11" s="3428"/>
      <c r="TAI11" s="3428"/>
      <c r="TAJ11" s="3428"/>
      <c r="TAK11" s="3428"/>
      <c r="TAL11" s="3428"/>
      <c r="TAM11" s="3428"/>
      <c r="TAN11" s="3428"/>
      <c r="TAO11" s="3428"/>
      <c r="TAP11" s="3428"/>
      <c r="TAQ11" s="3428"/>
      <c r="TAR11" s="3428"/>
      <c r="TAS11" s="3428"/>
      <c r="TAT11" s="3428"/>
      <c r="TAU11" s="3428"/>
      <c r="TAV11" s="3428"/>
      <c r="TAW11" s="3428"/>
      <c r="TAX11" s="3428"/>
      <c r="TAY11" s="3428"/>
      <c r="TAZ11" s="3428"/>
      <c r="TBA11" s="3428"/>
      <c r="TBB11" s="3428"/>
      <c r="TBC11" s="3428"/>
      <c r="TBD11" s="3428"/>
      <c r="TBE11" s="3428"/>
      <c r="TBF11" s="3428"/>
      <c r="TBG11" s="3428"/>
      <c r="TBH11" s="3428"/>
      <c r="TBI11" s="3428"/>
      <c r="TBJ11" s="3428"/>
      <c r="TBK11" s="3428"/>
      <c r="TBL11" s="3428"/>
      <c r="TBM11" s="3428"/>
      <c r="TBN11" s="3428"/>
      <c r="TBO11" s="3428"/>
      <c r="TBP11" s="3428"/>
      <c r="TBQ11" s="3428"/>
      <c r="TBR11" s="3428"/>
      <c r="TBS11" s="3428"/>
      <c r="TBT11" s="3428"/>
      <c r="TBU11" s="3428"/>
      <c r="TBV11" s="3428"/>
      <c r="TBW11" s="3428"/>
      <c r="TBX11" s="3428"/>
      <c r="TBY11" s="3428"/>
      <c r="TBZ11" s="3428"/>
      <c r="TCA11" s="3428"/>
      <c r="TCB11" s="3428"/>
      <c r="TCC11" s="3428"/>
      <c r="TCD11" s="3428"/>
      <c r="TCE11" s="3428"/>
      <c r="TCF11" s="3428"/>
      <c r="TCG11" s="3428"/>
      <c r="TCH11" s="3428"/>
      <c r="TCI11" s="3428"/>
      <c r="TCJ11" s="3428"/>
      <c r="TCK11" s="3428"/>
      <c r="TCL11" s="3428"/>
      <c r="TCM11" s="3428"/>
      <c r="TCN11" s="3428"/>
      <c r="TCO11" s="3428"/>
      <c r="TCP11" s="3428"/>
      <c r="TCQ11" s="3428"/>
      <c r="TCR11" s="3428"/>
      <c r="TCS11" s="3428"/>
      <c r="TCT11" s="3428"/>
      <c r="TCU11" s="3428"/>
      <c r="TCV11" s="3428"/>
      <c r="TCW11" s="3428"/>
      <c r="TCX11" s="3428"/>
      <c r="TCY11" s="3428"/>
      <c r="TCZ11" s="3428"/>
      <c r="TDA11" s="3428"/>
      <c r="TDB11" s="3428"/>
      <c r="TDC11" s="3428"/>
      <c r="TDD11" s="3428"/>
      <c r="TDE11" s="3428"/>
      <c r="TDF11" s="3428"/>
      <c r="TDG11" s="3428"/>
      <c r="TDH11" s="3428"/>
      <c r="TDI11" s="3428"/>
      <c r="TDJ11" s="3428"/>
      <c r="TDK11" s="3428"/>
      <c r="TDL11" s="3428"/>
      <c r="TDM11" s="3428"/>
      <c r="TDN11" s="3428"/>
      <c r="TDO11" s="3428"/>
      <c r="TDP11" s="3428"/>
      <c r="TDQ11" s="3428"/>
      <c r="TDR11" s="3428"/>
      <c r="TDS11" s="3428"/>
      <c r="TDT11" s="3428"/>
      <c r="TDU11" s="3428"/>
      <c r="TDV11" s="3428"/>
      <c r="TDW11" s="3428"/>
      <c r="TDX11" s="3428"/>
      <c r="TDY11" s="3428"/>
      <c r="TDZ11" s="3428"/>
      <c r="TEA11" s="3428"/>
      <c r="TEB11" s="3428"/>
      <c r="TEC11" s="3428"/>
      <c r="TED11" s="3428"/>
      <c r="TEE11" s="3428"/>
      <c r="TEF11" s="3428"/>
      <c r="TEG11" s="3428"/>
      <c r="TEH11" s="3428"/>
      <c r="TEI11" s="3428"/>
      <c r="TEJ11" s="3428"/>
      <c r="TEK11" s="3428"/>
      <c r="TEL11" s="3428"/>
      <c r="TEM11" s="3428"/>
      <c r="TEN11" s="3428"/>
      <c r="TEO11" s="3428"/>
      <c r="TEP11" s="3428"/>
      <c r="TEQ11" s="3428"/>
      <c r="TER11" s="3428"/>
      <c r="TES11" s="3428"/>
      <c r="TET11" s="3428"/>
      <c r="TEU11" s="3428"/>
      <c r="TEV11" s="3428"/>
      <c r="TEW11" s="3428"/>
      <c r="TEX11" s="3428"/>
      <c r="TEY11" s="3428"/>
      <c r="TEZ11" s="3428"/>
      <c r="TFA11" s="3428"/>
      <c r="TFB11" s="3428"/>
      <c r="TFC11" s="3428"/>
      <c r="TFD11" s="3428"/>
      <c r="TFE11" s="3428"/>
      <c r="TFF11" s="3428"/>
      <c r="TFG11" s="3428"/>
      <c r="TFH11" s="3428"/>
      <c r="TFI11" s="3428"/>
      <c r="TFJ11" s="3428"/>
      <c r="TFK11" s="3428"/>
      <c r="TFL11" s="3428"/>
      <c r="TFM11" s="3428"/>
      <c r="TFN11" s="3428"/>
      <c r="TFO11" s="3428"/>
      <c r="TFP11" s="3428"/>
      <c r="TFQ11" s="3428"/>
      <c r="TFR11" s="3428"/>
      <c r="TFS11" s="3428"/>
      <c r="TFT11" s="3428"/>
      <c r="TFU11" s="3428"/>
      <c r="TFV11" s="3428"/>
      <c r="TFW11" s="3428"/>
      <c r="TFX11" s="3428"/>
      <c r="TFY11" s="3428"/>
      <c r="TFZ11" s="3428"/>
      <c r="TGA11" s="3428"/>
      <c r="TGB11" s="3428"/>
      <c r="TGC11" s="3428"/>
      <c r="TGD11" s="3428"/>
      <c r="TGE11" s="3428"/>
      <c r="TGF11" s="3428"/>
      <c r="TGG11" s="3428"/>
      <c r="TGH11" s="3428"/>
      <c r="TGI11" s="3428"/>
      <c r="TGJ11" s="3428"/>
      <c r="TGK11" s="3428"/>
      <c r="TGL11" s="3428"/>
      <c r="TGM11" s="3428"/>
      <c r="TGN11" s="3428"/>
      <c r="TGO11" s="3428"/>
      <c r="TGP11" s="3428"/>
      <c r="TGQ11" s="3428"/>
      <c r="TGR11" s="3428"/>
      <c r="TGS11" s="3428"/>
      <c r="TGT11" s="3428"/>
      <c r="TGU11" s="3428"/>
      <c r="TGV11" s="3428"/>
      <c r="TGW11" s="3428"/>
      <c r="TGX11" s="3428"/>
      <c r="TGY11" s="3428"/>
      <c r="TGZ11" s="3428"/>
      <c r="THA11" s="3428"/>
      <c r="THB11" s="3428"/>
      <c r="THC11" s="3428"/>
      <c r="THD11" s="3428"/>
      <c r="THE11" s="3428"/>
      <c r="THF11" s="3428"/>
      <c r="THG11" s="3428"/>
      <c r="THH11" s="3428"/>
      <c r="THI11" s="3428"/>
      <c r="THJ11" s="3428"/>
      <c r="THK11" s="3428"/>
      <c r="THL11" s="3428"/>
      <c r="THM11" s="3428"/>
      <c r="THN11" s="3428"/>
      <c r="THO11" s="3428"/>
      <c r="THP11" s="3428"/>
      <c r="THQ11" s="3428"/>
      <c r="THR11" s="3428"/>
      <c r="THS11" s="3428"/>
      <c r="THT11" s="3428"/>
      <c r="THU11" s="3428"/>
      <c r="THV11" s="3428"/>
      <c r="THW11" s="3428"/>
      <c r="THX11" s="3428"/>
      <c r="THY11" s="3428"/>
      <c r="THZ11" s="3428"/>
      <c r="TIA11" s="3428"/>
      <c r="TIB11" s="3428"/>
      <c r="TIC11" s="3428"/>
      <c r="TID11" s="3428"/>
      <c r="TIE11" s="3428"/>
      <c r="TIF11" s="3428"/>
      <c r="TIG11" s="3428"/>
      <c r="TIH11" s="3428"/>
      <c r="TII11" s="3428"/>
      <c r="TIJ11" s="3428"/>
      <c r="TIK11" s="3428"/>
      <c r="TIL11" s="3428"/>
      <c r="TIM11" s="3428"/>
      <c r="TIN11" s="3428"/>
      <c r="TIO11" s="3428"/>
      <c r="TIP11" s="3428"/>
      <c r="TIQ11" s="3428"/>
      <c r="TIR11" s="3428"/>
      <c r="TIS11" s="3428"/>
      <c r="TIT11" s="3428"/>
      <c r="TIU11" s="3428"/>
      <c r="TIV11" s="3428"/>
      <c r="TIW11" s="3428"/>
      <c r="TIX11" s="3428"/>
      <c r="TIY11" s="3428"/>
      <c r="TIZ11" s="3428"/>
      <c r="TJA11" s="3428"/>
      <c r="TJB11" s="3428"/>
      <c r="TJC11" s="3428"/>
      <c r="TJD11" s="3428"/>
      <c r="TJE11" s="3428"/>
      <c r="TJF11" s="3428"/>
      <c r="TJG11" s="3428"/>
      <c r="TJH11" s="3428"/>
      <c r="TJI11" s="3428"/>
      <c r="TJJ11" s="3428"/>
      <c r="TJK11" s="3428"/>
      <c r="TJL11" s="3428"/>
      <c r="TJM11" s="3428"/>
      <c r="TJN11" s="3428"/>
      <c r="TJO11" s="3428"/>
      <c r="TJP11" s="3428"/>
      <c r="TJQ11" s="3428"/>
      <c r="TJR11" s="3428"/>
      <c r="TJS11" s="3428"/>
      <c r="TJT11" s="3428"/>
      <c r="TJU11" s="3428"/>
      <c r="TJV11" s="3428"/>
      <c r="TJW11" s="3428"/>
      <c r="TJX11" s="3428"/>
      <c r="TJY11" s="3428"/>
      <c r="TJZ11" s="3428"/>
      <c r="TKA11" s="3428"/>
      <c r="TKB11" s="3428"/>
      <c r="TKC11" s="3428"/>
      <c r="TKD11" s="3428"/>
      <c r="TKE11" s="3428"/>
      <c r="TKF11" s="3428"/>
      <c r="TKG11" s="3428"/>
      <c r="TKH11" s="3428"/>
      <c r="TKI11" s="3428"/>
      <c r="TKJ11" s="3428"/>
      <c r="TKK11" s="3428"/>
      <c r="TKL11" s="3428"/>
      <c r="TKM11" s="3428"/>
      <c r="TKN11" s="3428"/>
      <c r="TKO11" s="3428"/>
      <c r="TKP11" s="3428"/>
      <c r="TKQ11" s="3428"/>
      <c r="TKR11" s="3428"/>
      <c r="TKS11" s="3428"/>
      <c r="TKT11" s="3428"/>
      <c r="TKU11" s="3428"/>
      <c r="TKV11" s="3428"/>
      <c r="TKW11" s="3428"/>
      <c r="TKX11" s="3428"/>
      <c r="TKY11" s="3428"/>
      <c r="TKZ11" s="3428"/>
      <c r="TLA11" s="3428"/>
      <c r="TLB11" s="3428"/>
      <c r="TLC11" s="3428"/>
      <c r="TLD11" s="3428"/>
      <c r="TLE11" s="3428"/>
      <c r="TLF11" s="3428"/>
      <c r="TLG11" s="3428"/>
      <c r="TLH11" s="3428"/>
      <c r="TLI11" s="3428"/>
      <c r="TLJ11" s="3428"/>
      <c r="TLK11" s="3428"/>
      <c r="TLL11" s="3428"/>
      <c r="TLM11" s="3428"/>
      <c r="TLN11" s="3428"/>
      <c r="TLO11" s="3428"/>
      <c r="TLP11" s="3428"/>
      <c r="TLQ11" s="3428"/>
      <c r="TLR11" s="3428"/>
      <c r="TLS11" s="3428"/>
      <c r="TLT11" s="3428"/>
      <c r="TLU11" s="3428"/>
      <c r="TLV11" s="3428"/>
      <c r="TLW11" s="3428"/>
      <c r="TLX11" s="3428"/>
      <c r="TLY11" s="3428"/>
      <c r="TLZ11" s="3428"/>
      <c r="TMA11" s="3428"/>
      <c r="TMB11" s="3428"/>
      <c r="TMC11" s="3428"/>
      <c r="TMD11" s="3428"/>
      <c r="TME11" s="3428"/>
      <c r="TMF11" s="3428"/>
      <c r="TMG11" s="3428"/>
      <c r="TMH11" s="3428"/>
      <c r="TMI11" s="3428"/>
      <c r="TMJ11" s="3428"/>
      <c r="TMK11" s="3428"/>
      <c r="TML11" s="3428"/>
      <c r="TMM11" s="3428"/>
      <c r="TMN11" s="3428"/>
      <c r="TMO11" s="3428"/>
      <c r="TMP11" s="3428"/>
      <c r="TMQ11" s="3428"/>
      <c r="TMR11" s="3428"/>
      <c r="TMS11" s="3428"/>
      <c r="TMT11" s="3428"/>
      <c r="TMU11" s="3428"/>
      <c r="TMV11" s="3428"/>
      <c r="TMW11" s="3428"/>
      <c r="TMX11" s="3428"/>
      <c r="TMY11" s="3428"/>
      <c r="TMZ11" s="3428"/>
      <c r="TNA11" s="3428"/>
      <c r="TNB11" s="3428"/>
      <c r="TNC11" s="3428"/>
      <c r="TND11" s="3428"/>
      <c r="TNE11" s="3428"/>
      <c r="TNF11" s="3428"/>
      <c r="TNG11" s="3428"/>
      <c r="TNH11" s="3428"/>
      <c r="TNI11" s="3428"/>
      <c r="TNJ11" s="3428"/>
      <c r="TNK11" s="3428"/>
      <c r="TNL11" s="3428"/>
      <c r="TNM11" s="3428"/>
      <c r="TNN11" s="3428"/>
      <c r="TNO11" s="3428"/>
      <c r="TNP11" s="3428"/>
      <c r="TNQ11" s="3428"/>
      <c r="TNR11" s="3428"/>
      <c r="TNS11" s="3428"/>
      <c r="TNT11" s="3428"/>
      <c r="TNU11" s="3428"/>
      <c r="TNV11" s="3428"/>
      <c r="TNW11" s="3428"/>
      <c r="TNX11" s="3428"/>
      <c r="TNY11" s="3428"/>
      <c r="TNZ11" s="3428"/>
      <c r="TOA11" s="3428"/>
      <c r="TOB11" s="3428"/>
      <c r="TOC11" s="3428"/>
      <c r="TOD11" s="3428"/>
      <c r="TOE11" s="3428"/>
      <c r="TOF11" s="3428"/>
      <c r="TOG11" s="3428"/>
      <c r="TOH11" s="3428"/>
      <c r="TOI11" s="3428"/>
      <c r="TOJ11" s="3428"/>
      <c r="TOK11" s="3428"/>
      <c r="TOL11" s="3428"/>
      <c r="TOM11" s="3428"/>
      <c r="TON11" s="3428"/>
      <c r="TOO11" s="3428"/>
      <c r="TOP11" s="3428"/>
      <c r="TOQ11" s="3428"/>
      <c r="TOR11" s="3428"/>
      <c r="TOS11" s="3428"/>
      <c r="TOT11" s="3428"/>
      <c r="TOU11" s="3428"/>
      <c r="TOV11" s="3428"/>
      <c r="TOW11" s="3428"/>
      <c r="TOX11" s="3428"/>
      <c r="TOY11" s="3428"/>
      <c r="TOZ11" s="3428"/>
      <c r="TPA11" s="3428"/>
      <c r="TPB11" s="3428"/>
      <c r="TPC11" s="3428"/>
      <c r="TPD11" s="3428"/>
      <c r="TPE11" s="3428"/>
      <c r="TPF11" s="3428"/>
      <c r="TPG11" s="3428"/>
      <c r="TPH11" s="3428"/>
      <c r="TPI11" s="3428"/>
      <c r="TPJ11" s="3428"/>
      <c r="TPK11" s="3428"/>
      <c r="TPL11" s="3428"/>
      <c r="TPM11" s="3428"/>
      <c r="TPN11" s="3428"/>
      <c r="TPO11" s="3428"/>
      <c r="TPP11" s="3428"/>
      <c r="TPQ11" s="3428"/>
      <c r="TPR11" s="3428"/>
      <c r="TPS11" s="3428"/>
      <c r="TPT11" s="3428"/>
      <c r="TPU11" s="3428"/>
      <c r="TPV11" s="3428"/>
      <c r="TPW11" s="3428"/>
      <c r="TPX11" s="3428"/>
      <c r="TPY11" s="3428"/>
      <c r="TPZ11" s="3428"/>
      <c r="TQA11" s="3428"/>
      <c r="TQB11" s="3428"/>
      <c r="TQC11" s="3428"/>
      <c r="TQD11" s="3428"/>
      <c r="TQE11" s="3428"/>
      <c r="TQF11" s="3428"/>
      <c r="TQG11" s="3428"/>
      <c r="TQH11" s="3428"/>
      <c r="TQI11" s="3428"/>
      <c r="TQJ11" s="3428"/>
      <c r="TQK11" s="3428"/>
      <c r="TQL11" s="3428"/>
      <c r="TQM11" s="3428"/>
      <c r="TQN11" s="3428"/>
      <c r="TQO11" s="3428"/>
      <c r="TQP11" s="3428"/>
      <c r="TQQ11" s="3428"/>
      <c r="TQR11" s="3428"/>
      <c r="TQS11" s="3428"/>
      <c r="TQT11" s="3428"/>
      <c r="TQU11" s="3428"/>
      <c r="TQV11" s="3428"/>
      <c r="TQW11" s="3428"/>
      <c r="TQX11" s="3428"/>
      <c r="TQY11" s="3428"/>
      <c r="TQZ11" s="3428"/>
      <c r="TRA11" s="3428"/>
      <c r="TRB11" s="3428"/>
      <c r="TRC11" s="3428"/>
      <c r="TRD11" s="3428"/>
      <c r="TRE11" s="3428"/>
      <c r="TRF11" s="3428"/>
      <c r="TRG11" s="3428"/>
      <c r="TRH11" s="3428"/>
      <c r="TRI11" s="3428"/>
      <c r="TRJ11" s="3428"/>
      <c r="TRK11" s="3428"/>
      <c r="TRL11" s="3428"/>
      <c r="TRM11" s="3428"/>
      <c r="TRN11" s="3428"/>
      <c r="TRO11" s="3428"/>
      <c r="TRP11" s="3428"/>
      <c r="TRQ11" s="3428"/>
      <c r="TRR11" s="3428"/>
      <c r="TRS11" s="3428"/>
      <c r="TRT11" s="3428"/>
      <c r="TRU11" s="3428"/>
      <c r="TRV11" s="3428"/>
      <c r="TRW11" s="3428"/>
      <c r="TRX11" s="3428"/>
      <c r="TRY11" s="3428"/>
      <c r="TRZ11" s="3428"/>
      <c r="TSA11" s="3428"/>
      <c r="TSB11" s="3428"/>
      <c r="TSC11" s="3428"/>
      <c r="TSD11" s="3428"/>
      <c r="TSE11" s="3428"/>
      <c r="TSF11" s="3428"/>
      <c r="TSG11" s="3428"/>
      <c r="TSH11" s="3428"/>
      <c r="TSI11" s="3428"/>
      <c r="TSJ11" s="3428"/>
      <c r="TSK11" s="3428"/>
      <c r="TSL11" s="3428"/>
      <c r="TSM11" s="3428"/>
      <c r="TSN11" s="3428"/>
      <c r="TSO11" s="3428"/>
      <c r="TSP11" s="3428"/>
      <c r="TSQ11" s="3428"/>
      <c r="TSR11" s="3428"/>
      <c r="TSS11" s="3428"/>
      <c r="TST11" s="3428"/>
      <c r="TSU11" s="3428"/>
      <c r="TSV11" s="3428"/>
      <c r="TSW11" s="3428"/>
      <c r="TSX11" s="3428"/>
      <c r="TSY11" s="3428"/>
      <c r="TSZ11" s="3428"/>
      <c r="TTA11" s="3428"/>
      <c r="TTB11" s="3428"/>
      <c r="TTC11" s="3428"/>
      <c r="TTD11" s="3428"/>
      <c r="TTE11" s="3428"/>
      <c r="TTF11" s="3428"/>
      <c r="TTG11" s="3428"/>
      <c r="TTH11" s="3428"/>
      <c r="TTI11" s="3428"/>
      <c r="TTJ11" s="3428"/>
      <c r="TTK11" s="3428"/>
      <c r="TTL11" s="3428"/>
      <c r="TTM11" s="3428"/>
      <c r="TTN11" s="3428"/>
      <c r="TTO11" s="3428"/>
      <c r="TTP11" s="3428"/>
      <c r="TTQ11" s="3428"/>
      <c r="TTR11" s="3428"/>
      <c r="TTS11" s="3428"/>
      <c r="TTT11" s="3428"/>
      <c r="TTU11" s="3428"/>
      <c r="TTV11" s="3428"/>
      <c r="TTW11" s="3428"/>
      <c r="TTX11" s="3428"/>
      <c r="TTY11" s="3428"/>
      <c r="TTZ11" s="3428"/>
      <c r="TUA11" s="3428"/>
      <c r="TUB11" s="3428"/>
      <c r="TUC11" s="3428"/>
      <c r="TUD11" s="3428"/>
      <c r="TUE11" s="3428"/>
      <c r="TUF11" s="3428"/>
      <c r="TUG11" s="3428"/>
      <c r="TUH11" s="3428"/>
      <c r="TUI11" s="3428"/>
      <c r="TUJ11" s="3428"/>
      <c r="TUK11" s="3428"/>
      <c r="TUL11" s="3428"/>
      <c r="TUM11" s="3428"/>
      <c r="TUN11" s="3428"/>
      <c r="TUO11" s="3428"/>
      <c r="TUP11" s="3428"/>
      <c r="TUQ11" s="3428"/>
      <c r="TUR11" s="3428"/>
      <c r="TUS11" s="3428"/>
      <c r="TUT11" s="3428"/>
      <c r="TUU11" s="3428"/>
      <c r="TUV11" s="3428"/>
      <c r="TUW11" s="3428"/>
      <c r="TUX11" s="3428"/>
      <c r="TUY11" s="3428"/>
      <c r="TUZ11" s="3428"/>
      <c r="TVA11" s="3428"/>
      <c r="TVB11" s="3428"/>
      <c r="TVC11" s="3428"/>
      <c r="TVD11" s="3428"/>
      <c r="TVE11" s="3428"/>
      <c r="TVF11" s="3428"/>
      <c r="TVG11" s="3428"/>
      <c r="TVH11" s="3428"/>
      <c r="TVI11" s="3428"/>
      <c r="TVJ11" s="3428"/>
      <c r="TVK11" s="3428"/>
      <c r="TVL11" s="3428"/>
      <c r="TVM11" s="3428"/>
      <c r="TVN11" s="3428"/>
      <c r="TVO11" s="3428"/>
      <c r="TVP11" s="3428"/>
      <c r="TVQ11" s="3428"/>
      <c r="TVR11" s="3428"/>
      <c r="TVS11" s="3428"/>
      <c r="TVT11" s="3428"/>
      <c r="TVU11" s="3428"/>
      <c r="TVV11" s="3428"/>
      <c r="TVW11" s="3428"/>
      <c r="TVX11" s="3428"/>
      <c r="TVY11" s="3428"/>
      <c r="TVZ11" s="3428"/>
      <c r="TWA11" s="3428"/>
      <c r="TWB11" s="3428"/>
      <c r="TWC11" s="3428"/>
      <c r="TWD11" s="3428"/>
      <c r="TWE11" s="3428"/>
      <c r="TWF11" s="3428"/>
      <c r="TWG11" s="3428"/>
      <c r="TWH11" s="3428"/>
      <c r="TWI11" s="3428"/>
      <c r="TWJ11" s="3428"/>
      <c r="TWK11" s="3428"/>
      <c r="TWL11" s="3428"/>
      <c r="TWM11" s="3428"/>
      <c r="TWN11" s="3428"/>
      <c r="TWO11" s="3428"/>
      <c r="TWP11" s="3428"/>
      <c r="TWQ11" s="3428"/>
      <c r="TWR11" s="3428"/>
      <c r="TWS11" s="3428"/>
      <c r="TWT11" s="3428"/>
      <c r="TWU11" s="3428"/>
      <c r="TWV11" s="3428"/>
      <c r="TWW11" s="3428"/>
      <c r="TWX11" s="3428"/>
      <c r="TWY11" s="3428"/>
      <c r="TWZ11" s="3428"/>
      <c r="TXA11" s="3428"/>
      <c r="TXB11" s="3428"/>
      <c r="TXC11" s="3428"/>
      <c r="TXD11" s="3428"/>
      <c r="TXE11" s="3428"/>
      <c r="TXF11" s="3428"/>
      <c r="TXG11" s="3428"/>
      <c r="TXH11" s="3428"/>
      <c r="TXI11" s="3428"/>
      <c r="TXJ11" s="3428"/>
      <c r="TXK11" s="3428"/>
      <c r="TXL11" s="3428"/>
      <c r="TXM11" s="3428"/>
      <c r="TXN11" s="3428"/>
      <c r="TXO11" s="3428"/>
      <c r="TXP11" s="3428"/>
      <c r="TXQ11" s="3428"/>
      <c r="TXR11" s="3428"/>
      <c r="TXS11" s="3428"/>
      <c r="TXT11" s="3428"/>
      <c r="TXU11" s="3428"/>
      <c r="TXV11" s="3428"/>
      <c r="TXW11" s="3428"/>
      <c r="TXX11" s="3428"/>
      <c r="TXY11" s="3428"/>
      <c r="TXZ11" s="3428"/>
      <c r="TYA11" s="3428"/>
      <c r="TYB11" s="3428"/>
      <c r="TYC11" s="3428"/>
      <c r="TYD11" s="3428"/>
      <c r="TYE11" s="3428"/>
      <c r="TYF11" s="3428"/>
      <c r="TYG11" s="3428"/>
      <c r="TYH11" s="3428"/>
      <c r="TYI11" s="3428"/>
      <c r="TYJ11" s="3428"/>
      <c r="TYK11" s="3428"/>
      <c r="TYL11" s="3428"/>
      <c r="TYM11" s="3428"/>
      <c r="TYN11" s="3428"/>
      <c r="TYO11" s="3428"/>
      <c r="TYP11" s="3428"/>
      <c r="TYQ11" s="3428"/>
      <c r="TYR11" s="3428"/>
      <c r="TYS11" s="3428"/>
      <c r="TYT11" s="3428"/>
      <c r="TYU11" s="3428"/>
      <c r="TYV11" s="3428"/>
      <c r="TYW11" s="3428"/>
      <c r="TYX11" s="3428"/>
      <c r="TYY11" s="3428"/>
      <c r="TYZ11" s="3428"/>
      <c r="TZA11" s="3428"/>
      <c r="TZB11" s="3428"/>
      <c r="TZC11" s="3428"/>
      <c r="TZD11" s="3428"/>
      <c r="TZE11" s="3428"/>
      <c r="TZF11" s="3428"/>
      <c r="TZG11" s="3428"/>
      <c r="TZH11" s="3428"/>
      <c r="TZI11" s="3428"/>
      <c r="TZJ11" s="3428"/>
      <c r="TZK11" s="3428"/>
      <c r="TZL11" s="3428"/>
      <c r="TZM11" s="3428"/>
      <c r="TZN11" s="3428"/>
      <c r="TZO11" s="3428"/>
      <c r="TZP11" s="3428"/>
      <c r="TZQ11" s="3428"/>
      <c r="TZR11" s="3428"/>
      <c r="TZS11" s="3428"/>
      <c r="TZT11" s="3428"/>
      <c r="TZU11" s="3428"/>
      <c r="TZV11" s="3428"/>
      <c r="TZW11" s="3428"/>
      <c r="TZX11" s="3428"/>
      <c r="TZY11" s="3428"/>
      <c r="TZZ11" s="3428"/>
      <c r="UAA11" s="3428"/>
      <c r="UAB11" s="3428"/>
      <c r="UAC11" s="3428"/>
      <c r="UAD11" s="3428"/>
      <c r="UAE11" s="3428"/>
      <c r="UAF11" s="3428"/>
      <c r="UAG11" s="3428"/>
      <c r="UAH11" s="3428"/>
      <c r="UAI11" s="3428"/>
      <c r="UAJ11" s="3428"/>
      <c r="UAK11" s="3428"/>
      <c r="UAL11" s="3428"/>
      <c r="UAM11" s="3428"/>
      <c r="UAN11" s="3428"/>
      <c r="UAO11" s="3428"/>
      <c r="UAP11" s="3428"/>
      <c r="UAQ11" s="3428"/>
      <c r="UAR11" s="3428"/>
      <c r="UAS11" s="3428"/>
      <c r="UAT11" s="3428"/>
      <c r="UAU11" s="3428"/>
      <c r="UAV11" s="3428"/>
      <c r="UAW11" s="3428"/>
      <c r="UAX11" s="3428"/>
      <c r="UAY11" s="3428"/>
      <c r="UAZ11" s="3428"/>
      <c r="UBA11" s="3428"/>
      <c r="UBB11" s="3428"/>
      <c r="UBC11" s="3428"/>
      <c r="UBD11" s="3428"/>
      <c r="UBE11" s="3428"/>
      <c r="UBF11" s="3428"/>
      <c r="UBG11" s="3428"/>
      <c r="UBH11" s="3428"/>
      <c r="UBI11" s="3428"/>
      <c r="UBJ11" s="3428"/>
      <c r="UBK11" s="3428"/>
      <c r="UBL11" s="3428"/>
      <c r="UBM11" s="3428"/>
      <c r="UBN11" s="3428"/>
      <c r="UBO11" s="3428"/>
      <c r="UBP11" s="3428"/>
      <c r="UBQ11" s="3428"/>
      <c r="UBR11" s="3428"/>
      <c r="UBS11" s="3428"/>
      <c r="UBT11" s="3428"/>
      <c r="UBU11" s="3428"/>
      <c r="UBV11" s="3428"/>
      <c r="UBW11" s="3428"/>
      <c r="UBX11" s="3428"/>
      <c r="UBY11" s="3428"/>
      <c r="UBZ11" s="3428"/>
      <c r="UCA11" s="3428"/>
      <c r="UCB11" s="3428"/>
      <c r="UCC11" s="3428"/>
      <c r="UCD11" s="3428"/>
      <c r="UCE11" s="3428"/>
      <c r="UCF11" s="3428"/>
      <c r="UCG11" s="3428"/>
      <c r="UCH11" s="3428"/>
      <c r="UCI11" s="3428"/>
      <c r="UCJ11" s="3428"/>
      <c r="UCK11" s="3428"/>
      <c r="UCL11" s="3428"/>
      <c r="UCM11" s="3428"/>
      <c r="UCN11" s="3428"/>
      <c r="UCO11" s="3428"/>
      <c r="UCP11" s="3428"/>
      <c r="UCQ11" s="3428"/>
      <c r="UCR11" s="3428"/>
      <c r="UCS11" s="3428"/>
      <c r="UCT11" s="3428"/>
      <c r="UCU11" s="3428"/>
      <c r="UCV11" s="3428"/>
      <c r="UCW11" s="3428"/>
      <c r="UCX11" s="3428"/>
      <c r="UCY11" s="3428"/>
      <c r="UCZ11" s="3428"/>
      <c r="UDA11" s="3428"/>
      <c r="UDB11" s="3428"/>
      <c r="UDC11" s="3428"/>
      <c r="UDD11" s="3428"/>
      <c r="UDE11" s="3428"/>
      <c r="UDF11" s="3428"/>
      <c r="UDG11" s="3428"/>
      <c r="UDH11" s="3428"/>
      <c r="UDI11" s="3428"/>
      <c r="UDJ11" s="3428"/>
      <c r="UDK11" s="3428"/>
      <c r="UDL11" s="3428"/>
      <c r="UDM11" s="3428"/>
      <c r="UDN11" s="3428"/>
      <c r="UDO11" s="3428"/>
      <c r="UDP11" s="3428"/>
      <c r="UDQ11" s="3428"/>
      <c r="UDR11" s="3428"/>
      <c r="UDS11" s="3428"/>
      <c r="UDT11" s="3428"/>
      <c r="UDU11" s="3428"/>
      <c r="UDV11" s="3428"/>
      <c r="UDW11" s="3428"/>
      <c r="UDX11" s="3428"/>
      <c r="UDY11" s="3428"/>
      <c r="UDZ11" s="3428"/>
      <c r="UEA11" s="3428"/>
      <c r="UEB11" s="3428"/>
      <c r="UEC11" s="3428"/>
      <c r="UED11" s="3428"/>
      <c r="UEE11" s="3428"/>
      <c r="UEF11" s="3428"/>
      <c r="UEG11" s="3428"/>
      <c r="UEH11" s="3428"/>
      <c r="UEI11" s="3428"/>
      <c r="UEJ11" s="3428"/>
      <c r="UEK11" s="3428"/>
      <c r="UEL11" s="3428"/>
      <c r="UEM11" s="3428"/>
      <c r="UEN11" s="3428"/>
      <c r="UEO11" s="3428"/>
      <c r="UEP11" s="3428"/>
      <c r="UEQ11" s="3428"/>
      <c r="UER11" s="3428"/>
      <c r="UES11" s="3428"/>
      <c r="UET11" s="3428"/>
      <c r="UEU11" s="3428"/>
      <c r="UEV11" s="3428"/>
      <c r="UEW11" s="3428"/>
      <c r="UEX11" s="3428"/>
      <c r="UEY11" s="3428"/>
      <c r="UEZ11" s="3428"/>
      <c r="UFA11" s="3428"/>
      <c r="UFB11" s="3428"/>
      <c r="UFC11" s="3428"/>
      <c r="UFD11" s="3428"/>
      <c r="UFE11" s="3428"/>
      <c r="UFF11" s="3428"/>
      <c r="UFG11" s="3428"/>
      <c r="UFH11" s="3428"/>
      <c r="UFI11" s="3428"/>
      <c r="UFJ11" s="3428"/>
      <c r="UFK11" s="3428"/>
      <c r="UFL11" s="3428"/>
      <c r="UFM11" s="3428"/>
      <c r="UFN11" s="3428"/>
      <c r="UFO11" s="3428"/>
      <c r="UFP11" s="3428"/>
      <c r="UFQ11" s="3428"/>
      <c r="UFR11" s="3428"/>
      <c r="UFS11" s="3428"/>
      <c r="UFT11" s="3428"/>
      <c r="UFU11" s="3428"/>
      <c r="UFV11" s="3428"/>
      <c r="UFW11" s="3428"/>
      <c r="UFX11" s="3428"/>
      <c r="UFY11" s="3428"/>
      <c r="UFZ11" s="3428"/>
      <c r="UGA11" s="3428"/>
      <c r="UGB11" s="3428"/>
      <c r="UGC11" s="3428"/>
      <c r="UGD11" s="3428"/>
      <c r="UGE11" s="3428"/>
      <c r="UGF11" s="3428"/>
      <c r="UGG11" s="3428"/>
      <c r="UGH11" s="3428"/>
      <c r="UGI11" s="3428"/>
      <c r="UGJ11" s="3428"/>
      <c r="UGK11" s="3428"/>
      <c r="UGL11" s="3428"/>
      <c r="UGM11" s="3428"/>
      <c r="UGN11" s="3428"/>
      <c r="UGO11" s="3428"/>
      <c r="UGP11" s="3428"/>
      <c r="UGQ11" s="3428"/>
      <c r="UGR11" s="3428"/>
      <c r="UGS11" s="3428"/>
      <c r="UGT11" s="3428"/>
      <c r="UGU11" s="3428"/>
      <c r="UGV11" s="3428"/>
      <c r="UGW11" s="3428"/>
      <c r="UGX11" s="3428"/>
      <c r="UGY11" s="3428"/>
      <c r="UGZ11" s="3428"/>
      <c r="UHA11" s="3428"/>
      <c r="UHB11" s="3428"/>
      <c r="UHC11" s="3428"/>
      <c r="UHD11" s="3428"/>
      <c r="UHE11" s="3428"/>
      <c r="UHF11" s="3428"/>
      <c r="UHG11" s="3428"/>
      <c r="UHH11" s="3428"/>
      <c r="UHI11" s="3428"/>
      <c r="UHJ11" s="3428"/>
      <c r="UHK11" s="3428"/>
      <c r="UHL11" s="3428"/>
      <c r="UHM11" s="3428"/>
      <c r="UHN11" s="3428"/>
      <c r="UHO11" s="3428"/>
      <c r="UHP11" s="3428"/>
      <c r="UHQ11" s="3428"/>
      <c r="UHR11" s="3428"/>
      <c r="UHS11" s="3428"/>
      <c r="UHT11" s="3428"/>
      <c r="UHU11" s="3428"/>
      <c r="UHV11" s="3428"/>
      <c r="UHW11" s="3428"/>
      <c r="UHX11" s="3428"/>
      <c r="UHY11" s="3428"/>
      <c r="UHZ11" s="3428"/>
      <c r="UIA11" s="3428"/>
      <c r="UIB11" s="3428"/>
      <c r="UIC11" s="3428"/>
      <c r="UID11" s="3428"/>
      <c r="UIE11" s="3428"/>
      <c r="UIF11" s="3428"/>
      <c r="UIG11" s="3428"/>
      <c r="UIH11" s="3428"/>
      <c r="UII11" s="3428"/>
      <c r="UIJ11" s="3428"/>
      <c r="UIK11" s="3428"/>
      <c r="UIL11" s="3428"/>
      <c r="UIM11" s="3428"/>
      <c r="UIN11" s="3428"/>
      <c r="UIO11" s="3428"/>
      <c r="UIP11" s="3428"/>
      <c r="UIQ11" s="3428"/>
      <c r="UIR11" s="3428"/>
      <c r="UIS11" s="3428"/>
      <c r="UIT11" s="3428"/>
      <c r="UIU11" s="3428"/>
      <c r="UIV11" s="3428"/>
      <c r="UIW11" s="3428"/>
      <c r="UIX11" s="3428"/>
      <c r="UIY11" s="3428"/>
      <c r="UIZ11" s="3428"/>
      <c r="UJA11" s="3428"/>
      <c r="UJB11" s="3428"/>
      <c r="UJC11" s="3428"/>
      <c r="UJD11" s="3428"/>
      <c r="UJE11" s="3428"/>
      <c r="UJF11" s="3428"/>
      <c r="UJG11" s="3428"/>
      <c r="UJH11" s="3428"/>
      <c r="UJI11" s="3428"/>
      <c r="UJJ11" s="3428"/>
      <c r="UJK11" s="3428"/>
      <c r="UJL11" s="3428"/>
      <c r="UJM11" s="3428"/>
      <c r="UJN11" s="3428"/>
      <c r="UJO11" s="3428"/>
      <c r="UJP11" s="3428"/>
      <c r="UJQ11" s="3428"/>
      <c r="UJR11" s="3428"/>
      <c r="UJS11" s="3428"/>
      <c r="UJT11" s="3428"/>
      <c r="UJU11" s="3428"/>
      <c r="UJV11" s="3428"/>
      <c r="UJW11" s="3428"/>
      <c r="UJX11" s="3428"/>
      <c r="UJY11" s="3428"/>
      <c r="UJZ11" s="3428"/>
      <c r="UKA11" s="3428"/>
      <c r="UKB11" s="3428"/>
      <c r="UKC11" s="3428"/>
      <c r="UKD11" s="3428"/>
      <c r="UKE11" s="3428"/>
      <c r="UKF11" s="3428"/>
      <c r="UKG11" s="3428"/>
      <c r="UKH11" s="3428"/>
      <c r="UKI11" s="3428"/>
      <c r="UKJ11" s="3428"/>
      <c r="UKK11" s="3428"/>
      <c r="UKL11" s="3428"/>
      <c r="UKM11" s="3428"/>
      <c r="UKN11" s="3428"/>
      <c r="UKO11" s="3428"/>
      <c r="UKP11" s="3428"/>
      <c r="UKQ11" s="3428"/>
      <c r="UKR11" s="3428"/>
      <c r="UKS11" s="3428"/>
      <c r="UKT11" s="3428"/>
      <c r="UKU11" s="3428"/>
      <c r="UKV11" s="3428"/>
      <c r="UKW11" s="3428"/>
      <c r="UKX11" s="3428"/>
      <c r="UKY11" s="3428"/>
      <c r="UKZ11" s="3428"/>
      <c r="ULA11" s="3428"/>
      <c r="ULB11" s="3428"/>
      <c r="ULC11" s="3428"/>
      <c r="ULD11" s="3428"/>
      <c r="ULE11" s="3428"/>
      <c r="ULF11" s="3428"/>
      <c r="ULG11" s="3428"/>
      <c r="ULH11" s="3428"/>
      <c r="ULI11" s="3428"/>
      <c r="ULJ11" s="3428"/>
      <c r="ULK11" s="3428"/>
      <c r="ULL11" s="3428"/>
      <c r="ULM11" s="3428"/>
      <c r="ULN11" s="3428"/>
      <c r="ULO11" s="3428"/>
      <c r="ULP11" s="3428"/>
      <c r="ULQ11" s="3428"/>
      <c r="ULR11" s="3428"/>
      <c r="ULS11" s="3428"/>
      <c r="ULT11" s="3428"/>
      <c r="ULU11" s="3428"/>
      <c r="ULV11" s="3428"/>
      <c r="ULW11" s="3428"/>
      <c r="ULX11" s="3428"/>
      <c r="ULY11" s="3428"/>
      <c r="ULZ11" s="3428"/>
      <c r="UMA11" s="3428"/>
      <c r="UMB11" s="3428"/>
      <c r="UMC11" s="3428"/>
      <c r="UMD11" s="3428"/>
      <c r="UME11" s="3428"/>
      <c r="UMF11" s="3428"/>
      <c r="UMG11" s="3428"/>
      <c r="UMH11" s="3428"/>
      <c r="UMI11" s="3428"/>
      <c r="UMJ11" s="3428"/>
      <c r="UMK11" s="3428"/>
      <c r="UML11" s="3428"/>
      <c r="UMM11" s="3428"/>
      <c r="UMN11" s="3428"/>
      <c r="UMO11" s="3428"/>
      <c r="UMP11" s="3428"/>
      <c r="UMQ11" s="3428"/>
      <c r="UMR11" s="3428"/>
      <c r="UMS11" s="3428"/>
      <c r="UMT11" s="3428"/>
      <c r="UMU11" s="3428"/>
      <c r="UMV11" s="3428"/>
      <c r="UMW11" s="3428"/>
      <c r="UMX11" s="3428"/>
      <c r="UMY11" s="3428"/>
      <c r="UMZ11" s="3428"/>
      <c r="UNA11" s="3428"/>
      <c r="UNB11" s="3428"/>
      <c r="UNC11" s="3428"/>
      <c r="UND11" s="3428"/>
      <c r="UNE11" s="3428"/>
      <c r="UNF11" s="3428"/>
      <c r="UNG11" s="3428"/>
      <c r="UNH11" s="3428"/>
      <c r="UNI11" s="3428"/>
      <c r="UNJ11" s="3428"/>
      <c r="UNK11" s="3428"/>
      <c r="UNL11" s="3428"/>
      <c r="UNM11" s="3428"/>
      <c r="UNN11" s="3428"/>
      <c r="UNO11" s="3428"/>
      <c r="UNP11" s="3428"/>
      <c r="UNQ11" s="3428"/>
      <c r="UNR11" s="3428"/>
      <c r="UNS11" s="3428"/>
      <c r="UNT11" s="3428"/>
      <c r="UNU11" s="3428"/>
      <c r="UNV11" s="3428"/>
      <c r="UNW11" s="3428"/>
      <c r="UNX11" s="3428"/>
      <c r="UNY11" s="3428"/>
      <c r="UNZ11" s="3428"/>
      <c r="UOA11" s="3428"/>
      <c r="UOB11" s="3428"/>
      <c r="UOC11" s="3428"/>
      <c r="UOD11" s="3428"/>
      <c r="UOE11" s="3428"/>
      <c r="UOF11" s="3428"/>
      <c r="UOG11" s="3428"/>
      <c r="UOH11" s="3428"/>
      <c r="UOI11" s="3428"/>
      <c r="UOJ11" s="3428"/>
      <c r="UOK11" s="3428"/>
      <c r="UOL11" s="3428"/>
      <c r="UOM11" s="3428"/>
      <c r="UON11" s="3428"/>
      <c r="UOO11" s="3428"/>
      <c r="UOP11" s="3428"/>
      <c r="UOQ11" s="3428"/>
      <c r="UOR11" s="3428"/>
      <c r="UOS11" s="3428"/>
      <c r="UOT11" s="3428"/>
      <c r="UOU11" s="3428"/>
      <c r="UOV11" s="3428"/>
      <c r="UOW11" s="3428"/>
      <c r="UOX11" s="3428"/>
      <c r="UOY11" s="3428"/>
      <c r="UOZ11" s="3428"/>
      <c r="UPA11" s="3428"/>
      <c r="UPB11" s="3428"/>
      <c r="UPC11" s="3428"/>
      <c r="UPD11" s="3428"/>
      <c r="UPE11" s="3428"/>
      <c r="UPF11" s="3428"/>
      <c r="UPG11" s="3428"/>
      <c r="UPH11" s="3428"/>
      <c r="UPI11" s="3428"/>
      <c r="UPJ11" s="3428"/>
      <c r="UPK11" s="3428"/>
      <c r="UPL11" s="3428"/>
      <c r="UPM11" s="3428"/>
      <c r="UPN11" s="3428"/>
      <c r="UPO11" s="3428"/>
      <c r="UPP11" s="3428"/>
      <c r="UPQ11" s="3428"/>
      <c r="UPR11" s="3428"/>
      <c r="UPS11" s="3428"/>
      <c r="UPT11" s="3428"/>
      <c r="UPU11" s="3428"/>
      <c r="UPV11" s="3428"/>
      <c r="UPW11" s="3428"/>
      <c r="UPX11" s="3428"/>
      <c r="UPY11" s="3428"/>
      <c r="UPZ11" s="3428"/>
      <c r="UQA11" s="3428"/>
      <c r="UQB11" s="3428"/>
      <c r="UQC11" s="3428"/>
      <c r="UQD11" s="3428"/>
      <c r="UQE11" s="3428"/>
      <c r="UQF11" s="3428"/>
      <c r="UQG11" s="3428"/>
      <c r="UQH11" s="3428"/>
      <c r="UQI11" s="3428"/>
      <c r="UQJ11" s="3428"/>
      <c r="UQK11" s="3428"/>
      <c r="UQL11" s="3428"/>
      <c r="UQM11" s="3428"/>
      <c r="UQN11" s="3428"/>
      <c r="UQO11" s="3428"/>
      <c r="UQP11" s="3428"/>
      <c r="UQQ11" s="3428"/>
      <c r="UQR11" s="3428"/>
      <c r="UQS11" s="3428"/>
      <c r="UQT11" s="3428"/>
      <c r="UQU11" s="3428"/>
      <c r="UQV11" s="3428"/>
      <c r="UQW11" s="3428"/>
      <c r="UQX11" s="3428"/>
      <c r="UQY11" s="3428"/>
      <c r="UQZ11" s="3428"/>
      <c r="URA11" s="3428"/>
      <c r="URB11" s="3428"/>
      <c r="URC11" s="3428"/>
      <c r="URD11" s="3428"/>
      <c r="URE11" s="3428"/>
      <c r="URF11" s="3428"/>
      <c r="URG11" s="3428"/>
      <c r="URH11" s="3428"/>
      <c r="URI11" s="3428"/>
      <c r="URJ11" s="3428"/>
      <c r="URK11" s="3428"/>
      <c r="URL11" s="3428"/>
      <c r="URM11" s="3428"/>
      <c r="URN11" s="3428"/>
      <c r="URO11" s="3428"/>
      <c r="URP11" s="3428"/>
      <c r="URQ11" s="3428"/>
      <c r="URR11" s="3428"/>
      <c r="URS11" s="3428"/>
      <c r="URT11" s="3428"/>
      <c r="URU11" s="3428"/>
      <c r="URV11" s="3428"/>
      <c r="URW11" s="3428"/>
      <c r="URX11" s="3428"/>
      <c r="URY11" s="3428"/>
      <c r="URZ11" s="3428"/>
      <c r="USA11" s="3428"/>
      <c r="USB11" s="3428"/>
      <c r="USC11" s="3428"/>
      <c r="USD11" s="3428"/>
      <c r="USE11" s="3428"/>
      <c r="USF11" s="3428"/>
      <c r="USG11" s="3428"/>
      <c r="USH11" s="3428"/>
      <c r="USI11" s="3428"/>
      <c r="USJ11" s="3428"/>
      <c r="USK11" s="3428"/>
      <c r="USL11" s="3428"/>
      <c r="USM11" s="3428"/>
      <c r="USN11" s="3428"/>
      <c r="USO11" s="3428"/>
      <c r="USP11" s="3428"/>
      <c r="USQ11" s="3428"/>
      <c r="USR11" s="3428"/>
      <c r="USS11" s="3428"/>
      <c r="UST11" s="3428"/>
      <c r="USU11" s="3428"/>
      <c r="USV11" s="3428"/>
      <c r="USW11" s="3428"/>
      <c r="USX11" s="3428"/>
      <c r="USY11" s="3428"/>
      <c r="USZ11" s="3428"/>
      <c r="UTA11" s="3428"/>
      <c r="UTB11" s="3428"/>
      <c r="UTC11" s="3428"/>
      <c r="UTD11" s="3428"/>
      <c r="UTE11" s="3428"/>
      <c r="UTF11" s="3428"/>
      <c r="UTG11" s="3428"/>
      <c r="UTH11" s="3428"/>
      <c r="UTI11" s="3428"/>
      <c r="UTJ11" s="3428"/>
      <c r="UTK11" s="3428"/>
      <c r="UTL11" s="3428"/>
      <c r="UTM11" s="3428"/>
      <c r="UTN11" s="3428"/>
      <c r="UTO11" s="3428"/>
      <c r="UTP11" s="3428"/>
      <c r="UTQ11" s="3428"/>
      <c r="UTR11" s="3428"/>
      <c r="UTS11" s="3428"/>
      <c r="UTT11" s="3428"/>
      <c r="UTU11" s="3428"/>
      <c r="UTV11" s="3428"/>
      <c r="UTW11" s="3428"/>
      <c r="UTX11" s="3428"/>
      <c r="UTY11" s="3428"/>
      <c r="UTZ11" s="3428"/>
      <c r="UUA11" s="3428"/>
      <c r="UUB11" s="3428"/>
      <c r="UUC11" s="3428"/>
      <c r="UUD11" s="3428"/>
      <c r="UUE11" s="3428"/>
      <c r="UUF11" s="3428"/>
      <c r="UUG11" s="3428"/>
      <c r="UUH11" s="3428"/>
      <c r="UUI11" s="3428"/>
      <c r="UUJ11" s="3428"/>
      <c r="UUK11" s="3428"/>
      <c r="UUL11" s="3428"/>
      <c r="UUM11" s="3428"/>
      <c r="UUN11" s="3428"/>
      <c r="UUO11" s="3428"/>
      <c r="UUP11" s="3428"/>
      <c r="UUQ11" s="3428"/>
      <c r="UUR11" s="3428"/>
      <c r="UUS11" s="3428"/>
      <c r="UUT11" s="3428"/>
      <c r="UUU11" s="3428"/>
      <c r="UUV11" s="3428"/>
      <c r="UUW11" s="3428"/>
      <c r="UUX11" s="3428"/>
      <c r="UUY11" s="3428"/>
      <c r="UUZ11" s="3428"/>
      <c r="UVA11" s="3428"/>
      <c r="UVB11" s="3428"/>
      <c r="UVC11" s="3428"/>
      <c r="UVD11" s="3428"/>
      <c r="UVE11" s="3428"/>
      <c r="UVF11" s="3428"/>
      <c r="UVG11" s="3428"/>
      <c r="UVH11" s="3428"/>
      <c r="UVI11" s="3428"/>
      <c r="UVJ11" s="3428"/>
      <c r="UVK11" s="3428"/>
      <c r="UVL11" s="3428"/>
      <c r="UVM11" s="3428"/>
      <c r="UVN11" s="3428"/>
      <c r="UVO11" s="3428"/>
      <c r="UVP11" s="3428"/>
      <c r="UVQ11" s="3428"/>
      <c r="UVR11" s="3428"/>
      <c r="UVS11" s="3428"/>
      <c r="UVT11" s="3428"/>
      <c r="UVU11" s="3428"/>
      <c r="UVV11" s="3428"/>
      <c r="UVW11" s="3428"/>
      <c r="UVX11" s="3428"/>
      <c r="UVY11" s="3428"/>
      <c r="UVZ11" s="3428"/>
      <c r="UWA11" s="3428"/>
      <c r="UWB11" s="3428"/>
      <c r="UWC11" s="3428"/>
      <c r="UWD11" s="3428"/>
      <c r="UWE11" s="3428"/>
      <c r="UWF11" s="3428"/>
      <c r="UWG11" s="3428"/>
      <c r="UWH11" s="3428"/>
      <c r="UWI11" s="3428"/>
      <c r="UWJ11" s="3428"/>
      <c r="UWK11" s="3428"/>
      <c r="UWL11" s="3428"/>
      <c r="UWM11" s="3428"/>
      <c r="UWN11" s="3428"/>
      <c r="UWO11" s="3428"/>
      <c r="UWP11" s="3428"/>
      <c r="UWQ11" s="3428"/>
      <c r="UWR11" s="3428"/>
      <c r="UWS11" s="3428"/>
      <c r="UWT11" s="3428"/>
      <c r="UWU11" s="3428"/>
      <c r="UWV11" s="3428"/>
      <c r="UWW11" s="3428"/>
      <c r="UWX11" s="3428"/>
      <c r="UWY11" s="3428"/>
      <c r="UWZ11" s="3428"/>
      <c r="UXA11" s="3428"/>
      <c r="UXB11" s="3428"/>
      <c r="UXC11" s="3428"/>
      <c r="UXD11" s="3428"/>
      <c r="UXE11" s="3428"/>
      <c r="UXF11" s="3428"/>
      <c r="UXG11" s="3428"/>
      <c r="UXH11" s="3428"/>
      <c r="UXI11" s="3428"/>
      <c r="UXJ11" s="3428"/>
      <c r="UXK11" s="3428"/>
      <c r="UXL11" s="3428"/>
      <c r="UXM11" s="3428"/>
      <c r="UXN11" s="3428"/>
      <c r="UXO11" s="3428"/>
      <c r="UXP11" s="3428"/>
      <c r="UXQ11" s="3428"/>
      <c r="UXR11" s="3428"/>
      <c r="UXS11" s="3428"/>
      <c r="UXT11" s="3428"/>
      <c r="UXU11" s="3428"/>
      <c r="UXV11" s="3428"/>
      <c r="UXW11" s="3428"/>
      <c r="UXX11" s="3428"/>
      <c r="UXY11" s="3428"/>
      <c r="UXZ11" s="3428"/>
      <c r="UYA11" s="3428"/>
      <c r="UYB11" s="3428"/>
      <c r="UYC11" s="3428"/>
      <c r="UYD11" s="3428"/>
      <c r="UYE11" s="3428"/>
      <c r="UYF11" s="3428"/>
      <c r="UYG11" s="3428"/>
      <c r="UYH11" s="3428"/>
      <c r="UYI11" s="3428"/>
      <c r="UYJ11" s="3428"/>
      <c r="UYK11" s="3428"/>
      <c r="UYL11" s="3428"/>
      <c r="UYM11" s="3428"/>
      <c r="UYN11" s="3428"/>
      <c r="UYO11" s="3428"/>
      <c r="UYP11" s="3428"/>
      <c r="UYQ11" s="3428"/>
      <c r="UYR11" s="3428"/>
      <c r="UYS11" s="3428"/>
      <c r="UYT11" s="3428"/>
      <c r="UYU11" s="3428"/>
      <c r="UYV11" s="3428"/>
      <c r="UYW11" s="3428"/>
      <c r="UYX11" s="3428"/>
      <c r="UYY11" s="3428"/>
      <c r="UYZ11" s="3428"/>
      <c r="UZA11" s="3428"/>
      <c r="UZB11" s="3428"/>
      <c r="UZC11" s="3428"/>
      <c r="UZD11" s="3428"/>
      <c r="UZE11" s="3428"/>
      <c r="UZF11" s="3428"/>
      <c r="UZG11" s="3428"/>
      <c r="UZH11" s="3428"/>
      <c r="UZI11" s="3428"/>
      <c r="UZJ11" s="3428"/>
      <c r="UZK11" s="3428"/>
      <c r="UZL11" s="3428"/>
      <c r="UZM11" s="3428"/>
      <c r="UZN11" s="3428"/>
      <c r="UZO11" s="3428"/>
      <c r="UZP11" s="3428"/>
      <c r="UZQ11" s="3428"/>
      <c r="UZR11" s="3428"/>
      <c r="UZS11" s="3428"/>
      <c r="UZT11" s="3428"/>
      <c r="UZU11" s="3428"/>
      <c r="UZV11" s="3428"/>
      <c r="UZW11" s="3428"/>
      <c r="UZX11" s="3428"/>
      <c r="UZY11" s="3428"/>
      <c r="UZZ11" s="3428"/>
      <c r="VAA11" s="3428"/>
      <c r="VAB11" s="3428"/>
      <c r="VAC11" s="3428"/>
      <c r="VAD11" s="3428"/>
      <c r="VAE11" s="3428"/>
      <c r="VAF11" s="3428"/>
      <c r="VAG11" s="3428"/>
      <c r="VAH11" s="3428"/>
      <c r="VAI11" s="3428"/>
      <c r="VAJ11" s="3428"/>
      <c r="VAK11" s="3428"/>
      <c r="VAL11" s="3428"/>
      <c r="VAM11" s="3428"/>
      <c r="VAN11" s="3428"/>
      <c r="VAO11" s="3428"/>
      <c r="VAP11" s="3428"/>
      <c r="VAQ11" s="3428"/>
      <c r="VAR11" s="3428"/>
      <c r="VAS11" s="3428"/>
      <c r="VAT11" s="3428"/>
      <c r="VAU11" s="3428"/>
      <c r="VAV11" s="3428"/>
      <c r="VAW11" s="3428"/>
      <c r="VAX11" s="3428"/>
      <c r="VAY11" s="3428"/>
      <c r="VAZ11" s="3428"/>
      <c r="VBA11" s="3428"/>
      <c r="VBB11" s="3428"/>
      <c r="VBC11" s="3428"/>
      <c r="VBD11" s="3428"/>
      <c r="VBE11" s="3428"/>
      <c r="VBF11" s="3428"/>
      <c r="VBG11" s="3428"/>
      <c r="VBH11" s="3428"/>
      <c r="VBI11" s="3428"/>
      <c r="VBJ11" s="3428"/>
      <c r="VBK11" s="3428"/>
      <c r="VBL11" s="3428"/>
      <c r="VBM11" s="3428"/>
      <c r="VBN11" s="3428"/>
      <c r="VBO11" s="3428"/>
      <c r="VBP11" s="3428"/>
      <c r="VBQ11" s="3428"/>
      <c r="VBR11" s="3428"/>
      <c r="VBS11" s="3428"/>
      <c r="VBT11" s="3428"/>
      <c r="VBU11" s="3428"/>
      <c r="VBV11" s="3428"/>
      <c r="VBW11" s="3428"/>
      <c r="VBX11" s="3428"/>
      <c r="VBY11" s="3428"/>
      <c r="VBZ11" s="3428"/>
      <c r="VCA11" s="3428"/>
      <c r="VCB11" s="3428"/>
      <c r="VCC11" s="3428"/>
      <c r="VCD11" s="3428"/>
      <c r="VCE11" s="3428"/>
      <c r="VCF11" s="3428"/>
      <c r="VCG11" s="3428"/>
      <c r="VCH11" s="3428"/>
      <c r="VCI11" s="3428"/>
      <c r="VCJ11" s="3428"/>
      <c r="VCK11" s="3428"/>
      <c r="VCL11" s="3428"/>
      <c r="VCM11" s="3428"/>
      <c r="VCN11" s="3428"/>
      <c r="VCO11" s="3428"/>
      <c r="VCP11" s="3428"/>
      <c r="VCQ11" s="3428"/>
      <c r="VCR11" s="3428"/>
      <c r="VCS11" s="3428"/>
      <c r="VCT11" s="3428"/>
      <c r="VCU11" s="3428"/>
      <c r="VCV11" s="3428"/>
      <c r="VCW11" s="3428"/>
      <c r="VCX11" s="3428"/>
      <c r="VCY11" s="3428"/>
      <c r="VCZ11" s="3428"/>
      <c r="VDA11" s="3428"/>
      <c r="VDB11" s="3428"/>
      <c r="VDC11" s="3428"/>
      <c r="VDD11" s="3428"/>
      <c r="VDE11" s="3428"/>
      <c r="VDF11" s="3428"/>
      <c r="VDG11" s="3428"/>
      <c r="VDH11" s="3428"/>
      <c r="VDI11" s="3428"/>
      <c r="VDJ11" s="3428"/>
      <c r="VDK11" s="3428"/>
      <c r="VDL11" s="3428"/>
      <c r="VDM11" s="3428"/>
      <c r="VDN11" s="3428"/>
      <c r="VDO11" s="3428"/>
      <c r="VDP11" s="3428"/>
      <c r="VDQ11" s="3428"/>
      <c r="VDR11" s="3428"/>
      <c r="VDS11" s="3428"/>
      <c r="VDT11" s="3428"/>
      <c r="VDU11" s="3428"/>
      <c r="VDV11" s="3428"/>
      <c r="VDW11" s="3428"/>
      <c r="VDX11" s="3428"/>
      <c r="VDY11" s="3428"/>
      <c r="VDZ11" s="3428"/>
      <c r="VEA11" s="3428"/>
      <c r="VEB11" s="3428"/>
      <c r="VEC11" s="3428"/>
      <c r="VED11" s="3428"/>
      <c r="VEE11" s="3428"/>
      <c r="VEF11" s="3428"/>
      <c r="VEG11" s="3428"/>
      <c r="VEH11" s="3428"/>
      <c r="VEI11" s="3428"/>
      <c r="VEJ11" s="3428"/>
      <c r="VEK11" s="3428"/>
      <c r="VEL11" s="3428"/>
      <c r="VEM11" s="3428"/>
      <c r="VEN11" s="3428"/>
      <c r="VEO11" s="3428"/>
      <c r="VEP11" s="3428"/>
      <c r="VEQ11" s="3428"/>
      <c r="VER11" s="3428"/>
      <c r="VES11" s="3428"/>
      <c r="VET11" s="3428"/>
      <c r="VEU11" s="3428"/>
      <c r="VEV11" s="3428"/>
      <c r="VEW11" s="3428"/>
      <c r="VEX11" s="3428"/>
      <c r="VEY11" s="3428"/>
      <c r="VEZ11" s="3428"/>
      <c r="VFA11" s="3428"/>
      <c r="VFB11" s="3428"/>
      <c r="VFC11" s="3428"/>
      <c r="VFD11" s="3428"/>
      <c r="VFE11" s="3428"/>
      <c r="VFF11" s="3428"/>
      <c r="VFG11" s="3428"/>
      <c r="VFH11" s="3428"/>
      <c r="VFI11" s="3428"/>
      <c r="VFJ11" s="3428"/>
      <c r="VFK11" s="3428"/>
      <c r="VFL11" s="3428"/>
      <c r="VFM11" s="3428"/>
      <c r="VFN11" s="3428"/>
      <c r="VFO11" s="3428"/>
      <c r="VFP11" s="3428"/>
      <c r="VFQ11" s="3428"/>
      <c r="VFR11" s="3428"/>
      <c r="VFS11" s="3428"/>
      <c r="VFT11" s="3428"/>
      <c r="VFU11" s="3428"/>
      <c r="VFV11" s="3428"/>
      <c r="VFW11" s="3428"/>
      <c r="VFX11" s="3428"/>
      <c r="VFY11" s="3428"/>
      <c r="VFZ11" s="3428"/>
      <c r="VGA11" s="3428"/>
      <c r="VGB11" s="3428"/>
      <c r="VGC11" s="3428"/>
      <c r="VGD11" s="3428"/>
      <c r="VGE11" s="3428"/>
      <c r="VGF11" s="3428"/>
      <c r="VGG11" s="3428"/>
      <c r="VGH11" s="3428"/>
      <c r="VGI11" s="3428"/>
      <c r="VGJ11" s="3428"/>
      <c r="VGK11" s="3428"/>
      <c r="VGL11" s="3428"/>
      <c r="VGM11" s="3428"/>
      <c r="VGN11" s="3428"/>
      <c r="VGO11" s="3428"/>
      <c r="VGP11" s="3428"/>
      <c r="VGQ11" s="3428"/>
      <c r="VGR11" s="3428"/>
      <c r="VGS11" s="3428"/>
      <c r="VGT11" s="3428"/>
      <c r="VGU11" s="3428"/>
      <c r="VGV11" s="3428"/>
      <c r="VGW11" s="3428"/>
      <c r="VGX11" s="3428"/>
      <c r="VGY11" s="3428"/>
      <c r="VGZ11" s="3428"/>
      <c r="VHA11" s="3428"/>
      <c r="VHB11" s="3428"/>
      <c r="VHC11" s="3428"/>
      <c r="VHD11" s="3428"/>
      <c r="VHE11" s="3428"/>
      <c r="VHF11" s="3428"/>
      <c r="VHG11" s="3428"/>
      <c r="VHH11" s="3428"/>
      <c r="VHI11" s="3428"/>
      <c r="VHJ11" s="3428"/>
      <c r="VHK11" s="3428"/>
      <c r="VHL11" s="3428"/>
      <c r="VHM11" s="3428"/>
      <c r="VHN11" s="3428"/>
      <c r="VHO11" s="3428"/>
      <c r="VHP11" s="3428"/>
      <c r="VHQ11" s="3428"/>
      <c r="VHR11" s="3428"/>
      <c r="VHS11" s="3428"/>
      <c r="VHT11" s="3428"/>
      <c r="VHU11" s="3428"/>
      <c r="VHV11" s="3428"/>
      <c r="VHW11" s="3428"/>
      <c r="VHX11" s="3428"/>
      <c r="VHY11" s="3428"/>
      <c r="VHZ11" s="3428"/>
      <c r="VIA11" s="3428"/>
      <c r="VIB11" s="3428"/>
      <c r="VIC11" s="3428"/>
      <c r="VID11" s="3428"/>
      <c r="VIE11" s="3428"/>
      <c r="VIF11" s="3428"/>
      <c r="VIG11" s="3428"/>
      <c r="VIH11" s="3428"/>
      <c r="VII11" s="3428"/>
      <c r="VIJ11" s="3428"/>
      <c r="VIK11" s="3428"/>
      <c r="VIL11" s="3428"/>
      <c r="VIM11" s="3428"/>
      <c r="VIN11" s="3428"/>
      <c r="VIO11" s="3428"/>
      <c r="VIP11" s="3428"/>
      <c r="VIQ11" s="3428"/>
      <c r="VIR11" s="3428"/>
      <c r="VIS11" s="3428"/>
      <c r="VIT11" s="3428"/>
      <c r="VIU11" s="3428"/>
      <c r="VIV11" s="3428"/>
      <c r="VIW11" s="3428"/>
      <c r="VIX11" s="3428"/>
      <c r="VIY11" s="3428"/>
      <c r="VIZ11" s="3428"/>
      <c r="VJA11" s="3428"/>
      <c r="VJB11" s="3428"/>
      <c r="VJC11" s="3428"/>
      <c r="VJD11" s="3428"/>
      <c r="VJE11" s="3428"/>
      <c r="VJF11" s="3428"/>
      <c r="VJG11" s="3428"/>
      <c r="VJH11" s="3428"/>
      <c r="VJI11" s="3428"/>
      <c r="VJJ11" s="3428"/>
      <c r="VJK11" s="3428"/>
      <c r="VJL11" s="3428"/>
      <c r="VJM11" s="3428"/>
      <c r="VJN11" s="3428"/>
      <c r="VJO11" s="3428"/>
      <c r="VJP11" s="3428"/>
      <c r="VJQ11" s="3428"/>
      <c r="VJR11" s="3428"/>
      <c r="VJS11" s="3428"/>
      <c r="VJT11" s="3428"/>
      <c r="VJU11" s="3428"/>
      <c r="VJV11" s="3428"/>
      <c r="VJW11" s="3428"/>
      <c r="VJX11" s="3428"/>
      <c r="VJY11" s="3428"/>
      <c r="VJZ11" s="3428"/>
      <c r="VKA11" s="3428"/>
      <c r="VKB11" s="3428"/>
      <c r="VKC11" s="3428"/>
      <c r="VKD11" s="3428"/>
      <c r="VKE11" s="3428"/>
      <c r="VKF11" s="3428"/>
      <c r="VKG11" s="3428"/>
      <c r="VKH11" s="3428"/>
      <c r="VKI11" s="3428"/>
      <c r="VKJ11" s="3428"/>
      <c r="VKK11" s="3428"/>
      <c r="VKL11" s="3428"/>
      <c r="VKM11" s="3428"/>
      <c r="VKN11" s="3428"/>
      <c r="VKO11" s="3428"/>
      <c r="VKP11" s="3428"/>
      <c r="VKQ11" s="3428"/>
      <c r="VKR11" s="3428"/>
      <c r="VKS11" s="3428"/>
      <c r="VKT11" s="3428"/>
      <c r="VKU11" s="3428"/>
      <c r="VKV11" s="3428"/>
      <c r="VKW11" s="3428"/>
      <c r="VKX11" s="3428"/>
      <c r="VKY11" s="3428"/>
      <c r="VKZ11" s="3428"/>
      <c r="VLA11" s="3428"/>
      <c r="VLB11" s="3428"/>
      <c r="VLC11" s="3428"/>
      <c r="VLD11" s="3428"/>
      <c r="VLE11" s="3428"/>
      <c r="VLF11" s="3428"/>
      <c r="VLG11" s="3428"/>
      <c r="VLH11" s="3428"/>
      <c r="VLI11" s="3428"/>
      <c r="VLJ11" s="3428"/>
      <c r="VLK11" s="3428"/>
      <c r="VLL11" s="3428"/>
      <c r="VLM11" s="3428"/>
      <c r="VLN11" s="3428"/>
      <c r="VLO11" s="3428"/>
      <c r="VLP11" s="3428"/>
      <c r="VLQ11" s="3428"/>
      <c r="VLR11" s="3428"/>
      <c r="VLS11" s="3428"/>
      <c r="VLT11" s="3428"/>
      <c r="VLU11" s="3428"/>
      <c r="VLV11" s="3428"/>
      <c r="VLW11" s="3428"/>
      <c r="VLX11" s="3428"/>
      <c r="VLY11" s="3428"/>
      <c r="VLZ11" s="3428"/>
      <c r="VMA11" s="3428"/>
      <c r="VMB11" s="3428"/>
      <c r="VMC11" s="3428"/>
      <c r="VMD11" s="3428"/>
      <c r="VME11" s="3428"/>
      <c r="VMF11" s="3428"/>
      <c r="VMG11" s="3428"/>
      <c r="VMH11" s="3428"/>
      <c r="VMI11" s="3428"/>
      <c r="VMJ11" s="3428"/>
      <c r="VMK11" s="3428"/>
      <c r="VML11" s="3428"/>
      <c r="VMM11" s="3428"/>
      <c r="VMN11" s="3428"/>
      <c r="VMO11" s="3428"/>
      <c r="VMP11" s="3428"/>
      <c r="VMQ11" s="3428"/>
      <c r="VMR11" s="3428"/>
      <c r="VMS11" s="3428"/>
      <c r="VMT11" s="3428"/>
      <c r="VMU11" s="3428"/>
      <c r="VMV11" s="3428"/>
      <c r="VMW11" s="3428"/>
      <c r="VMX11" s="3428"/>
      <c r="VMY11" s="3428"/>
      <c r="VMZ11" s="3428"/>
      <c r="VNA11" s="3428"/>
      <c r="VNB11" s="3428"/>
      <c r="VNC11" s="3428"/>
      <c r="VND11" s="3428"/>
      <c r="VNE11" s="3428"/>
      <c r="VNF11" s="3428"/>
      <c r="VNG11" s="3428"/>
      <c r="VNH11" s="3428"/>
      <c r="VNI11" s="3428"/>
      <c r="VNJ11" s="3428"/>
      <c r="VNK11" s="3428"/>
      <c r="VNL11" s="3428"/>
      <c r="VNM11" s="3428"/>
      <c r="VNN11" s="3428"/>
      <c r="VNO11" s="3428"/>
      <c r="VNP11" s="3428"/>
      <c r="VNQ11" s="3428"/>
      <c r="VNR11" s="3428"/>
      <c r="VNS11" s="3428"/>
      <c r="VNT11" s="3428"/>
      <c r="VNU11" s="3428"/>
      <c r="VNV11" s="3428"/>
      <c r="VNW11" s="3428"/>
      <c r="VNX11" s="3428"/>
      <c r="VNY11" s="3428"/>
      <c r="VNZ11" s="3428"/>
      <c r="VOA11" s="3428"/>
      <c r="VOB11" s="3428"/>
      <c r="VOC11" s="3428"/>
      <c r="VOD11" s="3428"/>
      <c r="VOE11" s="3428"/>
      <c r="VOF11" s="3428"/>
      <c r="VOG11" s="3428"/>
      <c r="VOH11" s="3428"/>
      <c r="VOI11" s="3428"/>
      <c r="VOJ11" s="3428"/>
      <c r="VOK11" s="3428"/>
      <c r="VOL11" s="3428"/>
      <c r="VOM11" s="3428"/>
      <c r="VON11" s="3428"/>
      <c r="VOO11" s="3428"/>
      <c r="VOP11" s="3428"/>
      <c r="VOQ11" s="3428"/>
      <c r="VOR11" s="3428"/>
      <c r="VOS11" s="3428"/>
      <c r="VOT11" s="3428"/>
      <c r="VOU11" s="3428"/>
      <c r="VOV11" s="3428"/>
      <c r="VOW11" s="3428"/>
      <c r="VOX11" s="3428"/>
      <c r="VOY11" s="3428"/>
      <c r="VOZ11" s="3428"/>
      <c r="VPA11" s="3428"/>
      <c r="VPB11" s="3428"/>
      <c r="VPC11" s="3428"/>
      <c r="VPD11" s="3428"/>
      <c r="VPE11" s="3428"/>
      <c r="VPF11" s="3428"/>
      <c r="VPG11" s="3428"/>
      <c r="VPH11" s="3428"/>
      <c r="VPI11" s="3428"/>
      <c r="VPJ11" s="3428"/>
      <c r="VPK11" s="3428"/>
      <c r="VPL11" s="3428"/>
      <c r="VPM11" s="3428"/>
      <c r="VPN11" s="3428"/>
      <c r="VPO11" s="3428"/>
      <c r="VPP11" s="3428"/>
      <c r="VPQ11" s="3428"/>
      <c r="VPR11" s="3428"/>
      <c r="VPS11" s="3428"/>
      <c r="VPT11" s="3428"/>
      <c r="VPU11" s="3428"/>
      <c r="VPV11" s="3428"/>
      <c r="VPW11" s="3428"/>
      <c r="VPX11" s="3428"/>
      <c r="VPY11" s="3428"/>
      <c r="VPZ11" s="3428"/>
      <c r="VQA11" s="3428"/>
      <c r="VQB11" s="3428"/>
      <c r="VQC11" s="3428"/>
      <c r="VQD11" s="3428"/>
      <c r="VQE11" s="3428"/>
      <c r="VQF11" s="3428"/>
      <c r="VQG11" s="3428"/>
      <c r="VQH11" s="3428"/>
      <c r="VQI11" s="3428"/>
      <c r="VQJ11" s="3428"/>
      <c r="VQK11" s="3428"/>
      <c r="VQL11" s="3428"/>
      <c r="VQM11" s="3428"/>
      <c r="VQN11" s="3428"/>
      <c r="VQO11" s="3428"/>
      <c r="VQP11" s="3428"/>
      <c r="VQQ11" s="3428"/>
      <c r="VQR11" s="3428"/>
      <c r="VQS11" s="3428"/>
      <c r="VQT11" s="3428"/>
      <c r="VQU11" s="3428"/>
      <c r="VQV11" s="3428"/>
      <c r="VQW11" s="3428"/>
      <c r="VQX11" s="3428"/>
      <c r="VQY11" s="3428"/>
      <c r="VQZ11" s="3428"/>
      <c r="VRA11" s="3428"/>
      <c r="VRB11" s="3428"/>
      <c r="VRC11" s="3428"/>
      <c r="VRD11" s="3428"/>
      <c r="VRE11" s="3428"/>
      <c r="VRF11" s="3428"/>
      <c r="VRG11" s="3428"/>
      <c r="VRH11" s="3428"/>
      <c r="VRI11" s="3428"/>
      <c r="VRJ11" s="3428"/>
      <c r="VRK11" s="3428"/>
      <c r="VRL11" s="3428"/>
      <c r="VRM11" s="3428"/>
      <c r="VRN11" s="3428"/>
      <c r="VRO11" s="3428"/>
      <c r="VRP11" s="3428"/>
      <c r="VRQ11" s="3428"/>
      <c r="VRR11" s="3428"/>
      <c r="VRS11" s="3428"/>
      <c r="VRT11" s="3428"/>
      <c r="VRU11" s="3428"/>
      <c r="VRV11" s="3428"/>
      <c r="VRW11" s="3428"/>
      <c r="VRX11" s="3428"/>
      <c r="VRY11" s="3428"/>
      <c r="VRZ11" s="3428"/>
      <c r="VSA11" s="3428"/>
      <c r="VSB11" s="3428"/>
      <c r="VSC11" s="3428"/>
      <c r="VSD11" s="3428"/>
      <c r="VSE11" s="3428"/>
      <c r="VSF11" s="3428"/>
      <c r="VSG11" s="3428"/>
      <c r="VSH11" s="3428"/>
      <c r="VSI11" s="3428"/>
      <c r="VSJ11" s="3428"/>
      <c r="VSK11" s="3428"/>
      <c r="VSL11" s="3428"/>
      <c r="VSM11" s="3428"/>
      <c r="VSN11" s="3428"/>
      <c r="VSO11" s="3428"/>
      <c r="VSP11" s="3428"/>
      <c r="VSQ11" s="3428"/>
      <c r="VSR11" s="3428"/>
      <c r="VSS11" s="3428"/>
      <c r="VST11" s="3428"/>
      <c r="VSU11" s="3428"/>
      <c r="VSV11" s="3428"/>
      <c r="VSW11" s="3428"/>
      <c r="VSX11" s="3428"/>
      <c r="VSY11" s="3428"/>
      <c r="VSZ11" s="3428"/>
      <c r="VTA11" s="3428"/>
      <c r="VTB11" s="3428"/>
      <c r="VTC11" s="3428"/>
      <c r="VTD11" s="3428"/>
      <c r="VTE11" s="3428"/>
      <c r="VTF11" s="3428"/>
      <c r="VTG11" s="3428"/>
      <c r="VTH11" s="3428"/>
      <c r="VTI11" s="3428"/>
      <c r="VTJ11" s="3428"/>
      <c r="VTK11" s="3428"/>
      <c r="VTL11" s="3428"/>
      <c r="VTM11" s="3428"/>
      <c r="VTN11" s="3428"/>
      <c r="VTO11" s="3428"/>
      <c r="VTP11" s="3428"/>
      <c r="VTQ11" s="3428"/>
      <c r="VTR11" s="3428"/>
      <c r="VTS11" s="3428"/>
      <c r="VTT11" s="3428"/>
      <c r="VTU11" s="3428"/>
      <c r="VTV11" s="3428"/>
      <c r="VTW11" s="3428"/>
      <c r="VTX11" s="3428"/>
      <c r="VTY11" s="3428"/>
      <c r="VTZ11" s="3428"/>
      <c r="VUA11" s="3428"/>
      <c r="VUB11" s="3428"/>
      <c r="VUC11" s="3428"/>
      <c r="VUD11" s="3428"/>
      <c r="VUE11" s="3428"/>
      <c r="VUF11" s="3428"/>
      <c r="VUG11" s="3428"/>
      <c r="VUH11" s="3428"/>
      <c r="VUI11" s="3428"/>
      <c r="VUJ11" s="3428"/>
      <c r="VUK11" s="3428"/>
      <c r="VUL11" s="3428"/>
      <c r="VUM11" s="3428"/>
      <c r="VUN11" s="3428"/>
      <c r="VUO11" s="3428"/>
      <c r="VUP11" s="3428"/>
      <c r="VUQ11" s="3428"/>
      <c r="VUR11" s="3428"/>
      <c r="VUS11" s="3428"/>
      <c r="VUT11" s="3428"/>
      <c r="VUU11" s="3428"/>
      <c r="VUV11" s="3428"/>
      <c r="VUW11" s="3428"/>
      <c r="VUX11" s="3428"/>
      <c r="VUY11" s="3428"/>
      <c r="VUZ11" s="3428"/>
      <c r="VVA11" s="3428"/>
      <c r="VVB11" s="3428"/>
      <c r="VVC11" s="3428"/>
      <c r="VVD11" s="3428"/>
      <c r="VVE11" s="3428"/>
      <c r="VVF11" s="3428"/>
      <c r="VVG11" s="3428"/>
      <c r="VVH11" s="3428"/>
      <c r="VVI11" s="3428"/>
      <c r="VVJ11" s="3428"/>
      <c r="VVK11" s="3428"/>
      <c r="VVL11" s="3428"/>
      <c r="VVM11" s="3428"/>
      <c r="VVN11" s="3428"/>
      <c r="VVO11" s="3428"/>
      <c r="VVP11" s="3428"/>
      <c r="VVQ11" s="3428"/>
      <c r="VVR11" s="3428"/>
      <c r="VVS11" s="3428"/>
      <c r="VVT11" s="3428"/>
      <c r="VVU11" s="3428"/>
      <c r="VVV11" s="3428"/>
      <c r="VVW11" s="3428"/>
      <c r="VVX11" s="3428"/>
      <c r="VVY11" s="3428"/>
      <c r="VVZ11" s="3428"/>
      <c r="VWA11" s="3428"/>
      <c r="VWB11" s="3428"/>
      <c r="VWC11" s="3428"/>
      <c r="VWD11" s="3428"/>
      <c r="VWE11" s="3428"/>
      <c r="VWF11" s="3428"/>
      <c r="VWG11" s="3428"/>
      <c r="VWH11" s="3428"/>
      <c r="VWI11" s="3428"/>
      <c r="VWJ11" s="3428"/>
      <c r="VWK11" s="3428"/>
      <c r="VWL11" s="3428"/>
      <c r="VWM11" s="3428"/>
      <c r="VWN11" s="3428"/>
      <c r="VWO11" s="3428"/>
      <c r="VWP11" s="3428"/>
      <c r="VWQ11" s="3428"/>
      <c r="VWR11" s="3428"/>
      <c r="VWS11" s="3428"/>
      <c r="VWT11" s="3428"/>
      <c r="VWU11" s="3428"/>
      <c r="VWV11" s="3428"/>
      <c r="VWW11" s="3428"/>
      <c r="VWX11" s="3428"/>
      <c r="VWY11" s="3428"/>
      <c r="VWZ11" s="3428"/>
      <c r="VXA11" s="3428"/>
      <c r="VXB11" s="3428"/>
      <c r="VXC11" s="3428"/>
      <c r="VXD11" s="3428"/>
      <c r="VXE11" s="3428"/>
      <c r="VXF11" s="3428"/>
      <c r="VXG11" s="3428"/>
      <c r="VXH11" s="3428"/>
      <c r="VXI11" s="3428"/>
      <c r="VXJ11" s="3428"/>
      <c r="VXK11" s="3428"/>
      <c r="VXL11" s="3428"/>
      <c r="VXM11" s="3428"/>
      <c r="VXN11" s="3428"/>
      <c r="VXO11" s="3428"/>
      <c r="VXP11" s="3428"/>
      <c r="VXQ11" s="3428"/>
      <c r="VXR11" s="3428"/>
      <c r="VXS11" s="3428"/>
      <c r="VXT11" s="3428"/>
      <c r="VXU11" s="3428"/>
      <c r="VXV11" s="3428"/>
      <c r="VXW11" s="3428"/>
      <c r="VXX11" s="3428"/>
      <c r="VXY11" s="3428"/>
      <c r="VXZ11" s="3428"/>
      <c r="VYA11" s="3428"/>
      <c r="VYB11" s="3428"/>
      <c r="VYC11" s="3428"/>
      <c r="VYD11" s="3428"/>
      <c r="VYE11" s="3428"/>
      <c r="VYF11" s="3428"/>
      <c r="VYG11" s="3428"/>
      <c r="VYH11" s="3428"/>
      <c r="VYI11" s="3428"/>
      <c r="VYJ11" s="3428"/>
      <c r="VYK11" s="3428"/>
      <c r="VYL11" s="3428"/>
      <c r="VYM11" s="3428"/>
      <c r="VYN11" s="3428"/>
      <c r="VYO11" s="3428"/>
      <c r="VYP11" s="3428"/>
      <c r="VYQ11" s="3428"/>
      <c r="VYR11" s="3428"/>
      <c r="VYS11" s="3428"/>
      <c r="VYT11" s="3428"/>
      <c r="VYU11" s="3428"/>
      <c r="VYV11" s="3428"/>
      <c r="VYW11" s="3428"/>
      <c r="VYX11" s="3428"/>
      <c r="VYY11" s="3428"/>
      <c r="VYZ11" s="3428"/>
      <c r="VZA11" s="3428"/>
      <c r="VZB11" s="3428"/>
      <c r="VZC11" s="3428"/>
      <c r="VZD11" s="3428"/>
      <c r="VZE11" s="3428"/>
      <c r="VZF11" s="3428"/>
      <c r="VZG11" s="3428"/>
      <c r="VZH11" s="3428"/>
      <c r="VZI11" s="3428"/>
      <c r="VZJ11" s="3428"/>
      <c r="VZK11" s="3428"/>
      <c r="VZL11" s="3428"/>
      <c r="VZM11" s="3428"/>
      <c r="VZN11" s="3428"/>
      <c r="VZO11" s="3428"/>
      <c r="VZP11" s="3428"/>
      <c r="VZQ11" s="3428"/>
      <c r="VZR11" s="3428"/>
      <c r="VZS11" s="3428"/>
      <c r="VZT11" s="3428"/>
      <c r="VZU11" s="3428"/>
      <c r="VZV11" s="3428"/>
      <c r="VZW11" s="3428"/>
      <c r="VZX11" s="3428"/>
      <c r="VZY11" s="3428"/>
      <c r="VZZ11" s="3428"/>
      <c r="WAA11" s="3428"/>
      <c r="WAB11" s="3428"/>
      <c r="WAC11" s="3428"/>
      <c r="WAD11" s="3428"/>
      <c r="WAE11" s="3428"/>
      <c r="WAF11" s="3428"/>
      <c r="WAG11" s="3428"/>
      <c r="WAH11" s="3428"/>
      <c r="WAI11" s="3428"/>
      <c r="WAJ11" s="3428"/>
      <c r="WAK11" s="3428"/>
      <c r="WAL11" s="3428"/>
      <c r="WAM11" s="3428"/>
      <c r="WAN11" s="3428"/>
      <c r="WAO11" s="3428"/>
      <c r="WAP11" s="3428"/>
      <c r="WAQ11" s="3428"/>
      <c r="WAR11" s="3428"/>
      <c r="WAS11" s="3428"/>
      <c r="WAT11" s="3428"/>
      <c r="WAU11" s="3428"/>
      <c r="WAV11" s="3428"/>
      <c r="WAW11" s="3428"/>
      <c r="WAX11" s="3428"/>
      <c r="WAY11" s="3428"/>
      <c r="WAZ11" s="3428"/>
      <c r="WBA11" s="3428"/>
      <c r="WBB11" s="3428"/>
      <c r="WBC11" s="3428"/>
      <c r="WBD11" s="3428"/>
      <c r="WBE11" s="3428"/>
      <c r="WBF11" s="3428"/>
      <c r="WBG11" s="3428"/>
      <c r="WBH11" s="3428"/>
      <c r="WBI11" s="3428"/>
      <c r="WBJ11" s="3428"/>
      <c r="WBK11" s="3428"/>
      <c r="WBL11" s="3428"/>
      <c r="WBM11" s="3428"/>
      <c r="WBN11" s="3428"/>
      <c r="WBO11" s="3428"/>
      <c r="WBP11" s="3428"/>
      <c r="WBQ11" s="3428"/>
      <c r="WBR11" s="3428"/>
      <c r="WBS11" s="3428"/>
      <c r="WBT11" s="3428"/>
      <c r="WBU11" s="3428"/>
      <c r="WBV11" s="3428"/>
      <c r="WBW11" s="3428"/>
      <c r="WBX11" s="3428"/>
      <c r="WBY11" s="3428"/>
      <c r="WBZ11" s="3428"/>
      <c r="WCA11" s="3428"/>
      <c r="WCB11" s="3428"/>
      <c r="WCC11" s="3428"/>
      <c r="WCD11" s="3428"/>
      <c r="WCE11" s="3428"/>
      <c r="WCF11" s="3428"/>
      <c r="WCG11" s="3428"/>
      <c r="WCH11" s="3428"/>
      <c r="WCI11" s="3428"/>
      <c r="WCJ11" s="3428"/>
      <c r="WCK11" s="3428"/>
      <c r="WCL11" s="3428"/>
      <c r="WCM11" s="3428"/>
      <c r="WCN11" s="3428"/>
      <c r="WCO11" s="3428"/>
      <c r="WCP11" s="3428"/>
      <c r="WCQ11" s="3428"/>
      <c r="WCR11" s="3428"/>
      <c r="WCS11" s="3428"/>
      <c r="WCT11" s="3428"/>
      <c r="WCU11" s="3428"/>
      <c r="WCV11" s="3428"/>
      <c r="WCW11" s="3428"/>
      <c r="WCX11" s="3428"/>
      <c r="WCY11" s="3428"/>
      <c r="WCZ11" s="3428"/>
      <c r="WDA11" s="3428"/>
      <c r="WDB11" s="3428"/>
      <c r="WDC11" s="3428"/>
      <c r="WDD11" s="3428"/>
      <c r="WDE11" s="3428"/>
      <c r="WDF11" s="3428"/>
      <c r="WDG11" s="3428"/>
      <c r="WDH11" s="3428"/>
      <c r="WDI11" s="3428"/>
      <c r="WDJ11" s="3428"/>
      <c r="WDK11" s="3428"/>
      <c r="WDL11" s="3428"/>
      <c r="WDM11" s="3428"/>
      <c r="WDN11" s="3428"/>
      <c r="WDO11" s="3428"/>
      <c r="WDP11" s="3428"/>
      <c r="WDQ11" s="3428"/>
      <c r="WDR11" s="3428"/>
      <c r="WDS11" s="3428"/>
      <c r="WDT11" s="3428"/>
      <c r="WDU11" s="3428"/>
      <c r="WDV11" s="3428"/>
      <c r="WDW11" s="3428"/>
      <c r="WDX11" s="3428"/>
      <c r="WDY11" s="3428"/>
      <c r="WDZ11" s="3428"/>
      <c r="WEA11" s="3428"/>
      <c r="WEB11" s="3428"/>
      <c r="WEC11" s="3428"/>
      <c r="WED11" s="3428"/>
      <c r="WEE11" s="3428"/>
      <c r="WEF11" s="3428"/>
      <c r="WEG11" s="3428"/>
      <c r="WEH11" s="3428"/>
      <c r="WEI11" s="3428"/>
      <c r="WEJ11" s="3428"/>
      <c r="WEK11" s="3428"/>
      <c r="WEL11" s="3428"/>
      <c r="WEM11" s="3428"/>
      <c r="WEN11" s="3428"/>
      <c r="WEO11" s="3428"/>
      <c r="WEP11" s="3428"/>
      <c r="WEQ11" s="3428"/>
      <c r="WER11" s="3428"/>
      <c r="WES11" s="3428"/>
      <c r="WET11" s="3428"/>
      <c r="WEU11" s="3428"/>
      <c r="WEV11" s="3428"/>
      <c r="WEW11" s="3428"/>
      <c r="WEX11" s="3428"/>
      <c r="WEY11" s="3428"/>
      <c r="WEZ11" s="3428"/>
      <c r="WFA11" s="3428"/>
      <c r="WFB11" s="3428"/>
      <c r="WFC11" s="3428"/>
      <c r="WFD11" s="3428"/>
      <c r="WFE11" s="3428"/>
      <c r="WFF11" s="3428"/>
      <c r="WFG11" s="3428"/>
      <c r="WFH11" s="3428"/>
      <c r="WFI11" s="3428"/>
      <c r="WFJ11" s="3428"/>
      <c r="WFK11" s="3428"/>
      <c r="WFL11" s="3428"/>
      <c r="WFM11" s="3428"/>
      <c r="WFN11" s="3428"/>
      <c r="WFO11" s="3428"/>
      <c r="WFP11" s="3428"/>
      <c r="WFQ11" s="3428"/>
      <c r="WFR11" s="3428"/>
      <c r="WFS11" s="3428"/>
      <c r="WFT11" s="3428"/>
      <c r="WFU11" s="3428"/>
      <c r="WFV11" s="3428"/>
      <c r="WFW11" s="3428"/>
      <c r="WFX11" s="3428"/>
      <c r="WFY11" s="3428"/>
      <c r="WFZ11" s="3428"/>
      <c r="WGA11" s="3428"/>
      <c r="WGB11" s="3428"/>
      <c r="WGC11" s="3428"/>
      <c r="WGD11" s="3428"/>
      <c r="WGE11" s="3428"/>
      <c r="WGF11" s="3428"/>
      <c r="WGG11" s="3428"/>
      <c r="WGH11" s="3428"/>
      <c r="WGI11" s="3428"/>
      <c r="WGJ11" s="3428"/>
      <c r="WGK11" s="3428"/>
      <c r="WGL11" s="3428"/>
      <c r="WGM11" s="3428"/>
      <c r="WGN11" s="3428"/>
      <c r="WGO11" s="3428"/>
      <c r="WGP11" s="3428"/>
      <c r="WGQ11" s="3428"/>
      <c r="WGR11" s="3428"/>
      <c r="WGS11" s="3428"/>
      <c r="WGT11" s="3428"/>
      <c r="WGU11" s="3428"/>
      <c r="WGV11" s="3428"/>
      <c r="WGW11" s="3428"/>
      <c r="WGX11" s="3428"/>
      <c r="WGY11" s="3428"/>
      <c r="WGZ11" s="3428"/>
      <c r="WHA11" s="3428"/>
      <c r="WHB11" s="3428"/>
      <c r="WHC11" s="3428"/>
      <c r="WHD11" s="3428"/>
      <c r="WHE11" s="3428"/>
      <c r="WHF11" s="3428"/>
      <c r="WHG11" s="3428"/>
      <c r="WHH11" s="3428"/>
      <c r="WHI11" s="3428"/>
      <c r="WHJ11" s="3428"/>
      <c r="WHK11" s="3428"/>
      <c r="WHL11" s="3428"/>
      <c r="WHM11" s="3428"/>
      <c r="WHN11" s="3428"/>
      <c r="WHO11" s="3428"/>
      <c r="WHP11" s="3428"/>
      <c r="WHQ11" s="3428"/>
      <c r="WHR11" s="3428"/>
      <c r="WHS11" s="3428"/>
      <c r="WHT11" s="3428"/>
      <c r="WHU11" s="3428"/>
      <c r="WHV11" s="3428"/>
      <c r="WHW11" s="3428"/>
      <c r="WHX11" s="3428"/>
      <c r="WHY11" s="3428"/>
      <c r="WHZ11" s="3428"/>
      <c r="WIA11" s="3428"/>
      <c r="WIB11" s="3428"/>
      <c r="WIC11" s="3428"/>
      <c r="WID11" s="3428"/>
      <c r="WIE11" s="3428"/>
      <c r="WIF11" s="3428"/>
      <c r="WIG11" s="3428"/>
      <c r="WIH11" s="3428"/>
      <c r="WII11" s="3428"/>
      <c r="WIJ11" s="3428"/>
      <c r="WIK11" s="3428"/>
      <c r="WIL11" s="3428"/>
      <c r="WIM11" s="3428"/>
      <c r="WIN11" s="3428"/>
      <c r="WIO11" s="3428"/>
      <c r="WIP11" s="3428"/>
      <c r="WIQ11" s="3428"/>
      <c r="WIR11" s="3428"/>
      <c r="WIS11" s="3428"/>
      <c r="WIT11" s="3428"/>
      <c r="WIU11" s="3428"/>
      <c r="WIV11" s="3428"/>
      <c r="WIW11" s="3428"/>
      <c r="WIX11" s="3428"/>
      <c r="WIY11" s="3428"/>
      <c r="WIZ11" s="3428"/>
      <c r="WJA11" s="3428"/>
      <c r="WJB11" s="3428"/>
      <c r="WJC11" s="3428"/>
      <c r="WJD11" s="3428"/>
      <c r="WJE11" s="3428"/>
      <c r="WJF11" s="3428"/>
      <c r="WJG11" s="3428"/>
      <c r="WJH11" s="3428"/>
      <c r="WJI11" s="3428"/>
      <c r="WJJ11" s="3428"/>
      <c r="WJK11" s="3428"/>
      <c r="WJL11" s="3428"/>
      <c r="WJM11" s="3428"/>
      <c r="WJN11" s="3428"/>
      <c r="WJO11" s="3428"/>
      <c r="WJP11" s="3428"/>
      <c r="WJQ11" s="3428"/>
      <c r="WJR11" s="3428"/>
      <c r="WJS11" s="3428"/>
      <c r="WJT11" s="3428"/>
      <c r="WJU11" s="3428"/>
      <c r="WJV11" s="3428"/>
      <c r="WJW11" s="3428"/>
      <c r="WJX11" s="3428"/>
      <c r="WJY11" s="3428"/>
      <c r="WJZ11" s="3428"/>
      <c r="WKA11" s="3428"/>
      <c r="WKB11" s="3428"/>
      <c r="WKC11" s="3428"/>
      <c r="WKD11" s="3428"/>
      <c r="WKE11" s="3428"/>
      <c r="WKF11" s="3428"/>
      <c r="WKG11" s="3428"/>
      <c r="WKH11" s="3428"/>
      <c r="WKI11" s="3428"/>
      <c r="WKJ11" s="3428"/>
      <c r="WKK11" s="3428"/>
      <c r="WKL11" s="3428"/>
      <c r="WKM11" s="3428"/>
      <c r="WKN11" s="3428"/>
      <c r="WKO11" s="3428"/>
      <c r="WKP11" s="3428"/>
      <c r="WKQ11" s="3428"/>
      <c r="WKR11" s="3428"/>
      <c r="WKS11" s="3428"/>
      <c r="WKT11" s="3428"/>
      <c r="WKU11" s="3428"/>
      <c r="WKV11" s="3428"/>
      <c r="WKW11" s="3428"/>
      <c r="WKX11" s="3428"/>
      <c r="WKY11" s="3428"/>
      <c r="WKZ11" s="3428"/>
      <c r="WLA11" s="3428"/>
      <c r="WLB11" s="3428"/>
      <c r="WLC11" s="3428"/>
      <c r="WLD11" s="3428"/>
      <c r="WLE11" s="3428"/>
      <c r="WLF11" s="3428"/>
      <c r="WLG11" s="3428"/>
      <c r="WLH11" s="3428"/>
      <c r="WLI11" s="3428"/>
      <c r="WLJ11" s="3428"/>
      <c r="WLK11" s="3428"/>
      <c r="WLL11" s="3428"/>
      <c r="WLM11" s="3428"/>
      <c r="WLN11" s="3428"/>
      <c r="WLO11" s="3428"/>
      <c r="WLP11" s="3428"/>
      <c r="WLQ11" s="3428"/>
      <c r="WLR11" s="3428"/>
      <c r="WLS11" s="3428"/>
      <c r="WLT11" s="3428"/>
      <c r="WLU11" s="3428"/>
      <c r="WLV11" s="3428"/>
      <c r="WLW11" s="3428"/>
      <c r="WLX11" s="3428"/>
      <c r="WLY11" s="3428"/>
      <c r="WLZ11" s="3428"/>
      <c r="WMA11" s="3428"/>
      <c r="WMB11" s="3428"/>
      <c r="WMC11" s="3428"/>
      <c r="WMD11" s="3428"/>
      <c r="WME11" s="3428"/>
      <c r="WMF11" s="3428"/>
      <c r="WMG11" s="3428"/>
      <c r="WMH11" s="3428"/>
      <c r="WMI11" s="3428"/>
      <c r="WMJ11" s="3428"/>
      <c r="WMK11" s="3428"/>
      <c r="WML11" s="3428"/>
      <c r="WMM11" s="3428"/>
      <c r="WMN11" s="3428"/>
      <c r="WMO11" s="3428"/>
      <c r="WMP11" s="3428"/>
      <c r="WMQ11" s="3428"/>
      <c r="WMR11" s="3428"/>
      <c r="WMS11" s="3428"/>
      <c r="WMT11" s="3428"/>
      <c r="WMU11" s="3428"/>
      <c r="WMV11" s="3428"/>
      <c r="WMW11" s="3428"/>
      <c r="WMX11" s="3428"/>
      <c r="WMY11" s="3428"/>
      <c r="WMZ11" s="3428"/>
      <c r="WNA11" s="3428"/>
      <c r="WNB11" s="3428"/>
      <c r="WNC11" s="3428"/>
      <c r="WND11" s="3428"/>
      <c r="WNE11" s="3428"/>
      <c r="WNF11" s="3428"/>
      <c r="WNG11" s="3428"/>
      <c r="WNH11" s="3428"/>
      <c r="WNI11" s="3428"/>
      <c r="WNJ11" s="3428"/>
      <c r="WNK11" s="3428"/>
      <c r="WNL11" s="3428"/>
      <c r="WNM11" s="3428"/>
      <c r="WNN11" s="3428"/>
      <c r="WNO11" s="3428"/>
      <c r="WNP11" s="3428"/>
      <c r="WNQ11" s="3428"/>
      <c r="WNR11" s="3428"/>
      <c r="WNS11" s="3428"/>
      <c r="WNT11" s="3428"/>
      <c r="WNU11" s="3428"/>
      <c r="WNV11" s="3428"/>
      <c r="WNW11" s="3428"/>
      <c r="WNX11" s="3428"/>
      <c r="WNY11" s="3428"/>
      <c r="WNZ11" s="3428"/>
      <c r="WOA11" s="3428"/>
      <c r="WOB11" s="3428"/>
      <c r="WOC11" s="3428"/>
      <c r="WOD11" s="3428"/>
      <c r="WOE11" s="3428"/>
      <c r="WOF11" s="3428"/>
      <c r="WOG11" s="3428"/>
      <c r="WOH11" s="3428"/>
      <c r="WOI11" s="3428"/>
      <c r="WOJ11" s="3428"/>
      <c r="WOK11" s="3428"/>
      <c r="WOL11" s="3428"/>
      <c r="WOM11" s="3428"/>
      <c r="WON11" s="3428"/>
      <c r="WOO11" s="3428"/>
      <c r="WOP11" s="3428"/>
      <c r="WOQ11" s="3428"/>
      <c r="WOR11" s="3428"/>
      <c r="WOS11" s="3428"/>
      <c r="WOT11" s="3428"/>
      <c r="WOU11" s="3428"/>
      <c r="WOV11" s="3428"/>
      <c r="WOW11" s="3428"/>
      <c r="WOX11" s="3428"/>
      <c r="WOY11" s="3428"/>
      <c r="WOZ11" s="3428"/>
      <c r="WPA11" s="3428"/>
      <c r="WPB11" s="3428"/>
      <c r="WPC11" s="3428"/>
      <c r="WPD11" s="3428"/>
      <c r="WPE11" s="3428"/>
      <c r="WPF11" s="3428"/>
      <c r="WPG11" s="3428"/>
      <c r="WPH11" s="3428"/>
      <c r="WPI11" s="3428"/>
      <c r="WPJ11" s="3428"/>
      <c r="WPK11" s="3428"/>
      <c r="WPL11" s="3428"/>
      <c r="WPM11" s="3428"/>
      <c r="WPN11" s="3428"/>
      <c r="WPO11" s="3428"/>
      <c r="WPP11" s="3428"/>
      <c r="WPQ11" s="3428"/>
      <c r="WPR11" s="3428"/>
      <c r="WPS11" s="3428"/>
      <c r="WPT11" s="3428"/>
      <c r="WPU11" s="3428"/>
      <c r="WPV11" s="3428"/>
      <c r="WPW11" s="3428"/>
      <c r="WPX11" s="3428"/>
      <c r="WPY11" s="3428"/>
      <c r="WPZ11" s="3428"/>
      <c r="WQA11" s="3428"/>
      <c r="WQB11" s="3428"/>
      <c r="WQC11" s="3428"/>
      <c r="WQD11" s="3428"/>
      <c r="WQE11" s="3428"/>
      <c r="WQF11" s="3428"/>
      <c r="WQG11" s="3428"/>
      <c r="WQH11" s="3428"/>
      <c r="WQI11" s="3428"/>
      <c r="WQJ11" s="3428"/>
      <c r="WQK11" s="3428"/>
      <c r="WQL11" s="3428"/>
      <c r="WQM11" s="3428"/>
      <c r="WQN11" s="3428"/>
      <c r="WQO11" s="3428"/>
      <c r="WQP11" s="3428"/>
      <c r="WQQ11" s="3428"/>
      <c r="WQR11" s="3428"/>
      <c r="WQS11" s="3428"/>
      <c r="WQT11" s="3428"/>
      <c r="WQU11" s="3428"/>
      <c r="WQV11" s="3428"/>
      <c r="WQW11" s="3428"/>
      <c r="WQX11" s="3428"/>
      <c r="WQY11" s="3428"/>
      <c r="WQZ11" s="3428"/>
      <c r="WRA11" s="3428"/>
      <c r="WRB11" s="3428"/>
      <c r="WRC11" s="3428"/>
      <c r="WRD11" s="3428"/>
      <c r="WRE11" s="3428"/>
      <c r="WRF11" s="3428"/>
      <c r="WRG11" s="3428"/>
      <c r="WRH11" s="3428"/>
      <c r="WRI11" s="3428"/>
      <c r="WRJ11" s="3428"/>
      <c r="WRK11" s="3428"/>
      <c r="WRL11" s="3428"/>
      <c r="WRM11" s="3428"/>
      <c r="WRN11" s="3428"/>
      <c r="WRO11" s="3428"/>
      <c r="WRP11" s="3428"/>
      <c r="WRQ11" s="3428"/>
      <c r="WRR11" s="3428"/>
      <c r="WRS11" s="3428"/>
      <c r="WRT11" s="3428"/>
      <c r="WRU11" s="3428"/>
      <c r="WRV11" s="3428"/>
      <c r="WRW11" s="3428"/>
      <c r="WRX11" s="3428"/>
      <c r="WRY11" s="3428"/>
      <c r="WRZ11" s="3428"/>
      <c r="WSA11" s="3428"/>
      <c r="WSB11" s="3428"/>
      <c r="WSC11" s="3428"/>
      <c r="WSD11" s="3428"/>
      <c r="WSE11" s="3428"/>
      <c r="WSF11" s="3428"/>
      <c r="WSG11" s="3428"/>
      <c r="WSH11" s="3428"/>
      <c r="WSI11" s="3428"/>
      <c r="WSJ11" s="3428"/>
      <c r="WSK11" s="3428"/>
      <c r="WSL11" s="3428"/>
      <c r="WSM11" s="3428"/>
      <c r="WSN11" s="3428"/>
      <c r="WSO11" s="3428"/>
      <c r="WSP11" s="3428"/>
      <c r="WSQ11" s="3428"/>
      <c r="WSR11" s="3428"/>
      <c r="WSS11" s="3428"/>
      <c r="WST11" s="3428"/>
      <c r="WSU11" s="3428"/>
      <c r="WSV11" s="3428"/>
      <c r="WSW11" s="3428"/>
      <c r="WSX11" s="3428"/>
      <c r="WSY11" s="3428"/>
      <c r="WSZ11" s="3428"/>
      <c r="WTA11" s="3428"/>
      <c r="WTB11" s="3428"/>
      <c r="WTC11" s="3428"/>
      <c r="WTD11" s="3428"/>
      <c r="WTE11" s="3428"/>
      <c r="WTF11" s="3428"/>
      <c r="WTG11" s="3428"/>
      <c r="WTH11" s="3428"/>
      <c r="WTI11" s="3428"/>
      <c r="WTJ11" s="3428"/>
      <c r="WTK11" s="3428"/>
      <c r="WTL11" s="3428"/>
      <c r="WTM11" s="3428"/>
      <c r="WTN11" s="3428"/>
      <c r="WTO11" s="3428"/>
      <c r="WTP11" s="3428"/>
      <c r="WTQ11" s="3428"/>
      <c r="WTR11" s="3428"/>
      <c r="WTS11" s="3428"/>
      <c r="WTT11" s="3428"/>
      <c r="WTU11" s="3428"/>
      <c r="WTV11" s="3428"/>
      <c r="WTW11" s="3428"/>
      <c r="WTX11" s="3428"/>
      <c r="WTY11" s="3428"/>
      <c r="WTZ11" s="3428"/>
      <c r="WUA11" s="3428"/>
      <c r="WUB11" s="3428"/>
      <c r="WUC11" s="3428"/>
      <c r="WUD11" s="3428"/>
      <c r="WUE11" s="3428"/>
      <c r="WUF11" s="3428"/>
      <c r="WUG11" s="3428"/>
      <c r="WUH11" s="3428"/>
      <c r="WUI11" s="3428"/>
      <c r="WUJ11" s="3428"/>
      <c r="WUK11" s="3428"/>
      <c r="WUL11" s="3428"/>
      <c r="WUM11" s="3428"/>
      <c r="WUN11" s="3428"/>
      <c r="WUO11" s="3428"/>
      <c r="WUP11" s="3428"/>
      <c r="WUQ11" s="3428"/>
      <c r="WUR11" s="3428"/>
      <c r="WUS11" s="3428"/>
      <c r="WUT11" s="3428"/>
      <c r="WUU11" s="3428"/>
      <c r="WUV11" s="3428"/>
      <c r="WUW11" s="3428"/>
      <c r="WUX11" s="3428"/>
      <c r="WUY11" s="3428"/>
      <c r="WUZ11" s="3428"/>
      <c r="WVA11" s="3428"/>
      <c r="WVB11" s="3428"/>
      <c r="WVC11" s="3428"/>
      <c r="WVD11" s="3428"/>
      <c r="WVE11" s="3428"/>
      <c r="WVF11" s="3428"/>
      <c r="WVG11" s="3428"/>
      <c r="WVH11" s="3428"/>
      <c r="WVI11" s="3428"/>
      <c r="WVJ11" s="3428"/>
      <c r="WVK11" s="3428"/>
      <c r="WVL11" s="3428"/>
      <c r="WVM11" s="3428"/>
      <c r="WVN11" s="3428"/>
      <c r="WVO11" s="3428"/>
      <c r="WVP11" s="3428"/>
      <c r="WVQ11" s="3428"/>
      <c r="WVR11" s="3428"/>
      <c r="WVS11" s="3428"/>
      <c r="WVT11" s="3428"/>
      <c r="WVU11" s="3428"/>
      <c r="WVV11" s="3428"/>
      <c r="WVW11" s="3428"/>
      <c r="WVX11" s="3428"/>
      <c r="WVY11" s="3428"/>
      <c r="WVZ11" s="3428"/>
      <c r="WWA11" s="3428"/>
      <c r="WWB11" s="3428"/>
      <c r="WWC11" s="3428"/>
      <c r="WWD11" s="3428"/>
      <c r="WWE11" s="3428"/>
      <c r="WWF11" s="3428"/>
      <c r="WWG11" s="3428"/>
      <c r="WWH11" s="3428"/>
      <c r="WWI11" s="3428"/>
      <c r="WWJ11" s="3428"/>
      <c r="WWK11" s="3428"/>
      <c r="WWL11" s="3428"/>
      <c r="WWM11" s="3428"/>
      <c r="WWN11" s="3428"/>
      <c r="WWO11" s="3428"/>
      <c r="WWP11" s="3428"/>
      <c r="WWQ11" s="3428"/>
      <c r="WWR11" s="3428"/>
      <c r="WWS11" s="3428"/>
      <c r="WWT11" s="3428"/>
      <c r="WWU11" s="3428"/>
      <c r="WWV11" s="3428"/>
      <c r="WWW11" s="3428"/>
      <c r="WWX11" s="3428"/>
      <c r="WWY11" s="3428"/>
      <c r="WWZ11" s="3428"/>
      <c r="WXA11" s="3428"/>
      <c r="WXB11" s="3428"/>
      <c r="WXC11" s="3428"/>
      <c r="WXD11" s="3428"/>
      <c r="WXE11" s="3428"/>
      <c r="WXF11" s="3428"/>
      <c r="WXG11" s="3428"/>
      <c r="WXH11" s="3428"/>
      <c r="WXI11" s="3428"/>
      <c r="WXJ11" s="3428"/>
      <c r="WXK11" s="3428"/>
      <c r="WXL11" s="3428"/>
      <c r="WXM11" s="3428"/>
      <c r="WXN11" s="3428"/>
      <c r="WXO11" s="3428"/>
      <c r="WXP11" s="3428"/>
      <c r="WXQ11" s="3428"/>
      <c r="WXR11" s="3428"/>
      <c r="WXS11" s="3428"/>
      <c r="WXT11" s="3428"/>
      <c r="WXU11" s="3428"/>
      <c r="WXV11" s="3428"/>
      <c r="WXW11" s="3428"/>
      <c r="WXX11" s="3428"/>
      <c r="WXY11" s="3428"/>
      <c r="WXZ11" s="3428"/>
      <c r="WYA11" s="3428"/>
      <c r="WYB11" s="3428"/>
      <c r="WYC11" s="3428"/>
      <c r="WYD11" s="3428"/>
      <c r="WYE11" s="3428"/>
      <c r="WYF11" s="3428"/>
      <c r="WYG11" s="3428"/>
      <c r="WYH11" s="3428"/>
      <c r="WYI11" s="3428"/>
      <c r="WYJ11" s="3428"/>
      <c r="WYK11" s="3428"/>
      <c r="WYL11" s="3428"/>
      <c r="WYM11" s="3428"/>
      <c r="WYN11" s="3428"/>
      <c r="WYO11" s="3428"/>
      <c r="WYP11" s="3428"/>
      <c r="WYQ11" s="3428"/>
      <c r="WYR11" s="3428"/>
      <c r="WYS11" s="3428"/>
      <c r="WYT11" s="3428"/>
      <c r="WYU11" s="3428"/>
      <c r="WYV11" s="3428"/>
      <c r="WYW11" s="3428"/>
      <c r="WYX11" s="3428"/>
      <c r="WYY11" s="3428"/>
      <c r="WYZ11" s="3428"/>
      <c r="WZA11" s="3428"/>
      <c r="WZB11" s="3428"/>
      <c r="WZC11" s="3428"/>
      <c r="WZD11" s="3428"/>
      <c r="WZE11" s="3428"/>
      <c r="WZF11" s="3428"/>
      <c r="WZG11" s="3428"/>
      <c r="WZH11" s="3428"/>
      <c r="WZI11" s="3428"/>
      <c r="WZJ11" s="3428"/>
      <c r="WZK11" s="3428"/>
      <c r="WZL11" s="3428"/>
      <c r="WZM11" s="3428"/>
      <c r="WZN11" s="3428"/>
      <c r="WZO11" s="3428"/>
      <c r="WZP11" s="3428"/>
      <c r="WZQ11" s="3428"/>
      <c r="WZR11" s="3428"/>
      <c r="WZS11" s="3428"/>
      <c r="WZT11" s="3428"/>
      <c r="WZU11" s="3428"/>
      <c r="WZV11" s="3428"/>
      <c r="WZW11" s="3428"/>
      <c r="WZX11" s="3428"/>
      <c r="WZY11" s="3428"/>
      <c r="WZZ11" s="3428"/>
      <c r="XAA11" s="3428"/>
      <c r="XAB11" s="3428"/>
      <c r="XAC11" s="3428"/>
      <c r="XAD11" s="3428"/>
      <c r="XAE11" s="3428"/>
      <c r="XAF11" s="3428"/>
      <c r="XAG11" s="3428"/>
      <c r="XAH11" s="3428"/>
      <c r="XAI11" s="3428"/>
      <c r="XAJ11" s="3428"/>
      <c r="XAK11" s="3428"/>
      <c r="XAL11" s="3428"/>
      <c r="XAM11" s="3428"/>
      <c r="XAN11" s="3428"/>
      <c r="XAO11" s="3428"/>
      <c r="XAP11" s="3428"/>
      <c r="XAQ11" s="3428"/>
      <c r="XAR11" s="3428"/>
      <c r="XAS11" s="3428"/>
      <c r="XAT11" s="3428"/>
      <c r="XAU11" s="3428"/>
      <c r="XAV11" s="3428"/>
      <c r="XAW11" s="3428"/>
      <c r="XAX11" s="3428"/>
      <c r="XAY11" s="3428"/>
      <c r="XAZ11" s="3428"/>
      <c r="XBA11" s="3428"/>
      <c r="XBB11" s="3428"/>
      <c r="XBC11" s="3428"/>
      <c r="XBD11" s="3428"/>
      <c r="XBE11" s="3428"/>
      <c r="XBF11" s="3428"/>
      <c r="XBG11" s="3428"/>
      <c r="XBH11" s="3428"/>
      <c r="XBI11" s="3428"/>
      <c r="XBJ11" s="3428"/>
      <c r="XBK11" s="3428"/>
      <c r="XBL11" s="3428"/>
      <c r="XBM11" s="3428"/>
      <c r="XBN11" s="3428"/>
      <c r="XBO11" s="3428"/>
      <c r="XBP11" s="3428"/>
      <c r="XBQ11" s="3428"/>
      <c r="XBR11" s="3428"/>
      <c r="XBS11" s="3428"/>
      <c r="XBT11" s="3428"/>
      <c r="XBU11" s="3428"/>
      <c r="XBV11" s="3428"/>
      <c r="XBW11" s="3428"/>
      <c r="XBX11" s="3428"/>
      <c r="XBY11" s="3428"/>
      <c r="XBZ11" s="3428"/>
      <c r="XCA11" s="3428"/>
      <c r="XCB11" s="3428"/>
      <c r="XCC11" s="3428"/>
      <c r="XCD11" s="3428"/>
      <c r="XCE11" s="3428"/>
      <c r="XCF11" s="3428"/>
      <c r="XCG11" s="3428"/>
      <c r="XCH11" s="3428"/>
      <c r="XCI11" s="3428"/>
      <c r="XCJ11" s="3428"/>
      <c r="XCK11" s="3428"/>
      <c r="XCL11" s="3428"/>
      <c r="XCM11" s="3428"/>
      <c r="XCN11" s="3428"/>
      <c r="XCO11" s="3428"/>
      <c r="XCP11" s="3428"/>
      <c r="XCQ11" s="3428"/>
      <c r="XCR11" s="3428"/>
      <c r="XCS11" s="3428"/>
      <c r="XCT11" s="3428"/>
      <c r="XCU11" s="3428"/>
      <c r="XCV11" s="3428"/>
      <c r="XCW11" s="3428"/>
      <c r="XCX11" s="3428"/>
      <c r="XCY11" s="3428"/>
      <c r="XCZ11" s="3428"/>
      <c r="XDA11" s="3428"/>
      <c r="XDB11" s="3428"/>
      <c r="XDC11" s="3428"/>
      <c r="XDD11" s="3428"/>
      <c r="XDE11" s="3428"/>
      <c r="XDF11" s="3428"/>
      <c r="XDG11" s="3428"/>
      <c r="XDH11" s="3428"/>
      <c r="XDI11" s="3428"/>
      <c r="XDJ11" s="3428"/>
      <c r="XDK11" s="3428"/>
      <c r="XDL11" s="3428"/>
      <c r="XDM11" s="3428"/>
      <c r="XDN11" s="3428"/>
      <c r="XDO11" s="3428"/>
      <c r="XDP11" s="3428"/>
      <c r="XDQ11" s="3428"/>
      <c r="XDR11" s="3428"/>
      <c r="XDS11" s="3428"/>
      <c r="XDT11" s="3428"/>
      <c r="XDU11" s="3428"/>
      <c r="XDV11" s="3428"/>
      <c r="XDW11" s="3428"/>
      <c r="XDX11" s="3428"/>
      <c r="XDY11" s="3428"/>
      <c r="XDZ11" s="3428"/>
      <c r="XEA11" s="3428"/>
      <c r="XEB11" s="3428"/>
      <c r="XEC11" s="3428"/>
      <c r="XED11" s="3428"/>
      <c r="XEE11" s="3428"/>
      <c r="XEF11" s="3428"/>
      <c r="XEG11" s="3428"/>
      <c r="XEH11" s="3428"/>
      <c r="XEI11" s="3428"/>
      <c r="XEJ11" s="3428"/>
    </row>
  </sheetData>
  <phoneticPr fontId="22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F56A2-4765-4945-8616-B0D909FEC93A}">
  <sheetPr>
    <tabColor rgb="FF7030A0"/>
  </sheetPr>
  <dimension ref="A1"/>
  <sheetViews>
    <sheetView workbookViewId="0">
      <selection activeCell="K4" sqref="K4"/>
    </sheetView>
  </sheetViews>
  <sheetFormatPr defaultRowHeight="14.4"/>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0B0A8-B5A5-40B4-87C5-096E2E16B0A0}">
  <sheetPr>
    <tabColor rgb="FF7030A0"/>
  </sheetPr>
  <dimension ref="A1"/>
  <sheetViews>
    <sheetView topLeftCell="A103" workbookViewId="0">
      <selection activeCell="K4" sqref="K4"/>
    </sheetView>
  </sheetViews>
  <sheetFormatPr defaultRowHeight="14.4"/>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2A497-5380-4F05-9B64-8DB7CC8B8A6A}">
  <sheetPr>
    <tabColor rgb="FF92D050"/>
  </sheetPr>
  <dimension ref="M2:P5"/>
  <sheetViews>
    <sheetView workbookViewId="0">
      <selection activeCell="O6" sqref="O6"/>
    </sheetView>
  </sheetViews>
  <sheetFormatPr defaultRowHeight="14.4"/>
  <sheetData>
    <row r="2" spans="13:16">
      <c r="N2" s="2748" t="s">
        <v>3529</v>
      </c>
      <c r="O2" s="2748" t="s">
        <v>3528</v>
      </c>
      <c r="P2" s="2748" t="s">
        <v>3530</v>
      </c>
    </row>
    <row r="3" spans="13:16">
      <c r="M3" s="2748" t="s">
        <v>3348</v>
      </c>
      <c r="N3">
        <v>1.5</v>
      </c>
      <c r="O3">
        <v>1.2</v>
      </c>
    </row>
    <row r="4" spans="13:16">
      <c r="O4">
        <v>2023</v>
      </c>
    </row>
    <row r="5" spans="13:16">
      <c r="O5" s="2748" t="s">
        <v>3548</v>
      </c>
    </row>
  </sheetData>
  <phoneticPr fontId="22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E23" sqref="E23"/>
    </sheetView>
  </sheetViews>
  <sheetFormatPr defaultRowHeight="14.4"/>
  <cols>
    <col min="1" max="1" width="4.88671875" style="2236" customWidth="1"/>
    <col min="2" max="2" width="13.21875" style="2242" customWidth="1"/>
    <col min="3" max="3" width="15.6640625" style="2242" customWidth="1"/>
    <col min="4" max="4" width="9.33203125" style="2242" bestFit="1" customWidth="1"/>
    <col min="5" max="5" width="13.44140625" style="2242" customWidth="1"/>
    <col min="6" max="6" width="9" style="2242"/>
    <col min="7" max="7" width="9.33203125" style="2242" bestFit="1" customWidth="1"/>
    <col min="8" max="9" width="9" style="2242"/>
    <col min="10" max="10" width="9.33203125" style="2242" bestFit="1" customWidth="1"/>
    <col min="11" max="11" width="4" style="2236" customWidth="1"/>
    <col min="12" max="12" width="5.109375" style="2242" customWidth="1"/>
    <col min="13" max="13" width="13.77734375" style="2242" customWidth="1"/>
    <col min="14" max="256" width="9" style="2242"/>
    <col min="257" max="257" width="4.88671875" style="2234" customWidth="1"/>
    <col min="258" max="258" width="13.21875" style="2234" customWidth="1"/>
    <col min="259" max="259" width="15.6640625" style="2234" customWidth="1"/>
    <col min="260" max="260" width="9.33203125" style="2234" bestFit="1" customWidth="1"/>
    <col min="261" max="261" width="13.44140625" style="2234" customWidth="1"/>
    <col min="262" max="262" width="9" style="2234"/>
    <col min="263" max="263" width="9.33203125" style="2234" bestFit="1" customWidth="1"/>
    <col min="264" max="265" width="9" style="2234"/>
    <col min="266" max="266" width="9.33203125" style="2234" bestFit="1" customWidth="1"/>
    <col min="267" max="267" width="4" style="2234" customWidth="1"/>
    <col min="268" max="268" width="5.109375" style="2234" customWidth="1"/>
    <col min="269" max="269" width="13.77734375" style="2234" customWidth="1"/>
    <col min="270" max="512" width="9" style="2234"/>
    <col min="513" max="513" width="4.88671875" style="2234" customWidth="1"/>
    <col min="514" max="514" width="13.21875" style="2234" customWidth="1"/>
    <col min="515" max="515" width="15.6640625" style="2234" customWidth="1"/>
    <col min="516" max="516" width="9.33203125" style="2234" bestFit="1" customWidth="1"/>
    <col min="517" max="517" width="13.44140625" style="2234" customWidth="1"/>
    <col min="518" max="518" width="9" style="2234"/>
    <col min="519" max="519" width="9.33203125" style="2234" bestFit="1" customWidth="1"/>
    <col min="520" max="521" width="9" style="2234"/>
    <col min="522" max="522" width="9.33203125" style="2234" bestFit="1" customWidth="1"/>
    <col min="523" max="523" width="4" style="2234" customWidth="1"/>
    <col min="524" max="524" width="5.109375" style="2234" customWidth="1"/>
    <col min="525" max="525" width="13.77734375" style="2234" customWidth="1"/>
    <col min="526" max="768" width="9" style="2234"/>
    <col min="769" max="769" width="4.88671875" style="2234" customWidth="1"/>
    <col min="770" max="770" width="13.21875" style="2234" customWidth="1"/>
    <col min="771" max="771" width="15.6640625" style="2234" customWidth="1"/>
    <col min="772" max="772" width="9.33203125" style="2234" bestFit="1" customWidth="1"/>
    <col min="773" max="773" width="13.44140625" style="2234" customWidth="1"/>
    <col min="774" max="774" width="9" style="2234"/>
    <col min="775" max="775" width="9.33203125" style="2234" bestFit="1" customWidth="1"/>
    <col min="776" max="777" width="9" style="2234"/>
    <col min="778" max="778" width="9.33203125" style="2234" bestFit="1" customWidth="1"/>
    <col min="779" max="779" width="4" style="2234" customWidth="1"/>
    <col min="780" max="780" width="5.109375" style="2234" customWidth="1"/>
    <col min="781" max="781" width="13.77734375" style="2234" customWidth="1"/>
    <col min="782" max="1024" width="9" style="2234"/>
    <col min="1025" max="1025" width="4.88671875" style="2234" customWidth="1"/>
    <col min="1026" max="1026" width="13.21875" style="2234" customWidth="1"/>
    <col min="1027" max="1027" width="15.6640625" style="2234" customWidth="1"/>
    <col min="1028" max="1028" width="9.33203125" style="2234" bestFit="1" customWidth="1"/>
    <col min="1029" max="1029" width="13.44140625" style="2234" customWidth="1"/>
    <col min="1030" max="1030" width="9" style="2234"/>
    <col min="1031" max="1031" width="9.33203125" style="2234" bestFit="1" customWidth="1"/>
    <col min="1032" max="1033" width="9" style="2234"/>
    <col min="1034" max="1034" width="9.33203125" style="2234" bestFit="1" customWidth="1"/>
    <col min="1035" max="1035" width="4" style="2234" customWidth="1"/>
    <col min="1036" max="1036" width="5.109375" style="2234" customWidth="1"/>
    <col min="1037" max="1037" width="13.77734375" style="2234" customWidth="1"/>
    <col min="1038" max="1280" width="9" style="2234"/>
    <col min="1281" max="1281" width="4.88671875" style="2234" customWidth="1"/>
    <col min="1282" max="1282" width="13.21875" style="2234" customWidth="1"/>
    <col min="1283" max="1283" width="15.6640625" style="2234" customWidth="1"/>
    <col min="1284" max="1284" width="9.33203125" style="2234" bestFit="1" customWidth="1"/>
    <col min="1285" max="1285" width="13.44140625" style="2234" customWidth="1"/>
    <col min="1286" max="1286" width="9" style="2234"/>
    <col min="1287" max="1287" width="9.33203125" style="2234" bestFit="1" customWidth="1"/>
    <col min="1288" max="1289" width="9" style="2234"/>
    <col min="1290" max="1290" width="9.33203125" style="2234" bestFit="1" customWidth="1"/>
    <col min="1291" max="1291" width="4" style="2234" customWidth="1"/>
    <col min="1292" max="1292" width="5.109375" style="2234" customWidth="1"/>
    <col min="1293" max="1293" width="13.77734375" style="2234" customWidth="1"/>
    <col min="1294" max="1536" width="9" style="2234"/>
    <col min="1537" max="1537" width="4.88671875" style="2234" customWidth="1"/>
    <col min="1538" max="1538" width="13.21875" style="2234" customWidth="1"/>
    <col min="1539" max="1539" width="15.6640625" style="2234" customWidth="1"/>
    <col min="1540" max="1540" width="9.33203125" style="2234" bestFit="1" customWidth="1"/>
    <col min="1541" max="1541" width="13.44140625" style="2234" customWidth="1"/>
    <col min="1542" max="1542" width="9" style="2234"/>
    <col min="1543" max="1543" width="9.33203125" style="2234" bestFit="1" customWidth="1"/>
    <col min="1544" max="1545" width="9" style="2234"/>
    <col min="1546" max="1546" width="9.33203125" style="2234" bestFit="1" customWidth="1"/>
    <col min="1547" max="1547" width="4" style="2234" customWidth="1"/>
    <col min="1548" max="1548" width="5.109375" style="2234" customWidth="1"/>
    <col min="1549" max="1549" width="13.77734375" style="2234" customWidth="1"/>
    <col min="1550" max="1792" width="9" style="2234"/>
    <col min="1793" max="1793" width="4.88671875" style="2234" customWidth="1"/>
    <col min="1794" max="1794" width="13.21875" style="2234" customWidth="1"/>
    <col min="1795" max="1795" width="15.6640625" style="2234" customWidth="1"/>
    <col min="1796" max="1796" width="9.33203125" style="2234" bestFit="1" customWidth="1"/>
    <col min="1797" max="1797" width="13.44140625" style="2234" customWidth="1"/>
    <col min="1798" max="1798" width="9" style="2234"/>
    <col min="1799" max="1799" width="9.33203125" style="2234" bestFit="1" customWidth="1"/>
    <col min="1800" max="1801" width="9" style="2234"/>
    <col min="1802" max="1802" width="9.33203125" style="2234" bestFit="1" customWidth="1"/>
    <col min="1803" max="1803" width="4" style="2234" customWidth="1"/>
    <col min="1804" max="1804" width="5.109375" style="2234" customWidth="1"/>
    <col min="1805" max="1805" width="13.77734375" style="2234" customWidth="1"/>
    <col min="1806" max="2048" width="9" style="2234"/>
    <col min="2049" max="2049" width="4.88671875" style="2234" customWidth="1"/>
    <col min="2050" max="2050" width="13.21875" style="2234" customWidth="1"/>
    <col min="2051" max="2051" width="15.6640625" style="2234" customWidth="1"/>
    <col min="2052" max="2052" width="9.33203125" style="2234" bestFit="1" customWidth="1"/>
    <col min="2053" max="2053" width="13.44140625" style="2234" customWidth="1"/>
    <col min="2054" max="2054" width="9" style="2234"/>
    <col min="2055" max="2055" width="9.33203125" style="2234" bestFit="1" customWidth="1"/>
    <col min="2056" max="2057" width="9" style="2234"/>
    <col min="2058" max="2058" width="9.33203125" style="2234" bestFit="1" customWidth="1"/>
    <col min="2059" max="2059" width="4" style="2234" customWidth="1"/>
    <col min="2060" max="2060" width="5.109375" style="2234" customWidth="1"/>
    <col min="2061" max="2061" width="13.77734375" style="2234" customWidth="1"/>
    <col min="2062" max="2304" width="9" style="2234"/>
    <col min="2305" max="2305" width="4.88671875" style="2234" customWidth="1"/>
    <col min="2306" max="2306" width="13.21875" style="2234" customWidth="1"/>
    <col min="2307" max="2307" width="15.6640625" style="2234" customWidth="1"/>
    <col min="2308" max="2308" width="9.33203125" style="2234" bestFit="1" customWidth="1"/>
    <col min="2309" max="2309" width="13.44140625" style="2234" customWidth="1"/>
    <col min="2310" max="2310" width="9" style="2234"/>
    <col min="2311" max="2311" width="9.33203125" style="2234" bestFit="1" customWidth="1"/>
    <col min="2312" max="2313" width="9" style="2234"/>
    <col min="2314" max="2314" width="9.33203125" style="2234" bestFit="1" customWidth="1"/>
    <col min="2315" max="2315" width="4" style="2234" customWidth="1"/>
    <col min="2316" max="2316" width="5.109375" style="2234" customWidth="1"/>
    <col min="2317" max="2317" width="13.77734375" style="2234" customWidth="1"/>
    <col min="2318" max="2560" width="9" style="2234"/>
    <col min="2561" max="2561" width="4.88671875" style="2234" customWidth="1"/>
    <col min="2562" max="2562" width="13.21875" style="2234" customWidth="1"/>
    <col min="2563" max="2563" width="15.6640625" style="2234" customWidth="1"/>
    <col min="2564" max="2564" width="9.33203125" style="2234" bestFit="1" customWidth="1"/>
    <col min="2565" max="2565" width="13.44140625" style="2234" customWidth="1"/>
    <col min="2566" max="2566" width="9" style="2234"/>
    <col min="2567" max="2567" width="9.33203125" style="2234" bestFit="1" customWidth="1"/>
    <col min="2568" max="2569" width="9" style="2234"/>
    <col min="2570" max="2570" width="9.33203125" style="2234" bestFit="1" customWidth="1"/>
    <col min="2571" max="2571" width="4" style="2234" customWidth="1"/>
    <col min="2572" max="2572" width="5.109375" style="2234" customWidth="1"/>
    <col min="2573" max="2573" width="13.77734375" style="2234" customWidth="1"/>
    <col min="2574" max="2816" width="9" style="2234"/>
    <col min="2817" max="2817" width="4.88671875" style="2234" customWidth="1"/>
    <col min="2818" max="2818" width="13.21875" style="2234" customWidth="1"/>
    <col min="2819" max="2819" width="15.6640625" style="2234" customWidth="1"/>
    <col min="2820" max="2820" width="9.33203125" style="2234" bestFit="1" customWidth="1"/>
    <col min="2821" max="2821" width="13.44140625" style="2234" customWidth="1"/>
    <col min="2822" max="2822" width="9" style="2234"/>
    <col min="2823" max="2823" width="9.33203125" style="2234" bestFit="1" customWidth="1"/>
    <col min="2824" max="2825" width="9" style="2234"/>
    <col min="2826" max="2826" width="9.33203125" style="2234" bestFit="1" customWidth="1"/>
    <col min="2827" max="2827" width="4" style="2234" customWidth="1"/>
    <col min="2828" max="2828" width="5.109375" style="2234" customWidth="1"/>
    <col min="2829" max="2829" width="13.77734375" style="2234" customWidth="1"/>
    <col min="2830" max="3072" width="9" style="2234"/>
    <col min="3073" max="3073" width="4.88671875" style="2234" customWidth="1"/>
    <col min="3074" max="3074" width="13.21875" style="2234" customWidth="1"/>
    <col min="3075" max="3075" width="15.6640625" style="2234" customWidth="1"/>
    <col min="3076" max="3076" width="9.33203125" style="2234" bestFit="1" customWidth="1"/>
    <col min="3077" max="3077" width="13.44140625" style="2234" customWidth="1"/>
    <col min="3078" max="3078" width="9" style="2234"/>
    <col min="3079" max="3079" width="9.33203125" style="2234" bestFit="1" customWidth="1"/>
    <col min="3080" max="3081" width="9" style="2234"/>
    <col min="3082" max="3082" width="9.33203125" style="2234" bestFit="1" customWidth="1"/>
    <col min="3083" max="3083" width="4" style="2234" customWidth="1"/>
    <col min="3084" max="3084" width="5.109375" style="2234" customWidth="1"/>
    <col min="3085" max="3085" width="13.77734375" style="2234" customWidth="1"/>
    <col min="3086" max="3328" width="9" style="2234"/>
    <col min="3329" max="3329" width="4.88671875" style="2234" customWidth="1"/>
    <col min="3330" max="3330" width="13.21875" style="2234" customWidth="1"/>
    <col min="3331" max="3331" width="15.6640625" style="2234" customWidth="1"/>
    <col min="3332" max="3332" width="9.33203125" style="2234" bestFit="1" customWidth="1"/>
    <col min="3333" max="3333" width="13.44140625" style="2234" customWidth="1"/>
    <col min="3334" max="3334" width="9" style="2234"/>
    <col min="3335" max="3335" width="9.33203125" style="2234" bestFit="1" customWidth="1"/>
    <col min="3336" max="3337" width="9" style="2234"/>
    <col min="3338" max="3338" width="9.33203125" style="2234" bestFit="1" customWidth="1"/>
    <col min="3339" max="3339" width="4" style="2234" customWidth="1"/>
    <col min="3340" max="3340" width="5.109375" style="2234" customWidth="1"/>
    <col min="3341" max="3341" width="13.77734375" style="2234" customWidth="1"/>
    <col min="3342" max="3584" width="9" style="2234"/>
    <col min="3585" max="3585" width="4.88671875" style="2234" customWidth="1"/>
    <col min="3586" max="3586" width="13.21875" style="2234" customWidth="1"/>
    <col min="3587" max="3587" width="15.6640625" style="2234" customWidth="1"/>
    <col min="3588" max="3588" width="9.33203125" style="2234" bestFit="1" customWidth="1"/>
    <col min="3589" max="3589" width="13.44140625" style="2234" customWidth="1"/>
    <col min="3590" max="3590" width="9" style="2234"/>
    <col min="3591" max="3591" width="9.33203125" style="2234" bestFit="1" customWidth="1"/>
    <col min="3592" max="3593" width="9" style="2234"/>
    <col min="3594" max="3594" width="9.33203125" style="2234" bestFit="1" customWidth="1"/>
    <col min="3595" max="3595" width="4" style="2234" customWidth="1"/>
    <col min="3596" max="3596" width="5.109375" style="2234" customWidth="1"/>
    <col min="3597" max="3597" width="13.77734375" style="2234" customWidth="1"/>
    <col min="3598" max="3840" width="9" style="2234"/>
    <col min="3841" max="3841" width="4.88671875" style="2234" customWidth="1"/>
    <col min="3842" max="3842" width="13.21875" style="2234" customWidth="1"/>
    <col min="3843" max="3843" width="15.6640625" style="2234" customWidth="1"/>
    <col min="3844" max="3844" width="9.33203125" style="2234" bestFit="1" customWidth="1"/>
    <col min="3845" max="3845" width="13.44140625" style="2234" customWidth="1"/>
    <col min="3846" max="3846" width="9" style="2234"/>
    <col min="3847" max="3847" width="9.33203125" style="2234" bestFit="1" customWidth="1"/>
    <col min="3848" max="3849" width="9" style="2234"/>
    <col min="3850" max="3850" width="9.33203125" style="2234" bestFit="1" customWidth="1"/>
    <col min="3851" max="3851" width="4" style="2234" customWidth="1"/>
    <col min="3852" max="3852" width="5.109375" style="2234" customWidth="1"/>
    <col min="3853" max="3853" width="13.77734375" style="2234" customWidth="1"/>
    <col min="3854" max="4096" width="9" style="2234"/>
    <col min="4097" max="4097" width="4.88671875" style="2234" customWidth="1"/>
    <col min="4098" max="4098" width="13.21875" style="2234" customWidth="1"/>
    <col min="4099" max="4099" width="15.6640625" style="2234" customWidth="1"/>
    <col min="4100" max="4100" width="9.33203125" style="2234" bestFit="1" customWidth="1"/>
    <col min="4101" max="4101" width="13.44140625" style="2234" customWidth="1"/>
    <col min="4102" max="4102" width="9" style="2234"/>
    <col min="4103" max="4103" width="9.33203125" style="2234" bestFit="1" customWidth="1"/>
    <col min="4104" max="4105" width="9" style="2234"/>
    <col min="4106" max="4106" width="9.33203125" style="2234" bestFit="1" customWidth="1"/>
    <col min="4107" max="4107" width="4" style="2234" customWidth="1"/>
    <col min="4108" max="4108" width="5.109375" style="2234" customWidth="1"/>
    <col min="4109" max="4109" width="13.77734375" style="2234" customWidth="1"/>
    <col min="4110" max="4352" width="9" style="2234"/>
    <col min="4353" max="4353" width="4.88671875" style="2234" customWidth="1"/>
    <col min="4354" max="4354" width="13.21875" style="2234" customWidth="1"/>
    <col min="4355" max="4355" width="15.6640625" style="2234" customWidth="1"/>
    <col min="4356" max="4356" width="9.33203125" style="2234" bestFit="1" customWidth="1"/>
    <col min="4357" max="4357" width="13.44140625" style="2234" customWidth="1"/>
    <col min="4358" max="4358" width="9" style="2234"/>
    <col min="4359" max="4359" width="9.33203125" style="2234" bestFit="1" customWidth="1"/>
    <col min="4360" max="4361" width="9" style="2234"/>
    <col min="4362" max="4362" width="9.33203125" style="2234" bestFit="1" customWidth="1"/>
    <col min="4363" max="4363" width="4" style="2234" customWidth="1"/>
    <col min="4364" max="4364" width="5.109375" style="2234" customWidth="1"/>
    <col min="4365" max="4365" width="13.77734375" style="2234" customWidth="1"/>
    <col min="4366" max="4608" width="9" style="2234"/>
    <col min="4609" max="4609" width="4.88671875" style="2234" customWidth="1"/>
    <col min="4610" max="4610" width="13.21875" style="2234" customWidth="1"/>
    <col min="4611" max="4611" width="15.6640625" style="2234" customWidth="1"/>
    <col min="4612" max="4612" width="9.33203125" style="2234" bestFit="1" customWidth="1"/>
    <col min="4613" max="4613" width="13.44140625" style="2234" customWidth="1"/>
    <col min="4614" max="4614" width="9" style="2234"/>
    <col min="4615" max="4615" width="9.33203125" style="2234" bestFit="1" customWidth="1"/>
    <col min="4616" max="4617" width="9" style="2234"/>
    <col min="4618" max="4618" width="9.33203125" style="2234" bestFit="1" customWidth="1"/>
    <col min="4619" max="4619" width="4" style="2234" customWidth="1"/>
    <col min="4620" max="4620" width="5.109375" style="2234" customWidth="1"/>
    <col min="4621" max="4621" width="13.77734375" style="2234" customWidth="1"/>
    <col min="4622" max="4864" width="9" style="2234"/>
    <col min="4865" max="4865" width="4.88671875" style="2234" customWidth="1"/>
    <col min="4866" max="4866" width="13.21875" style="2234" customWidth="1"/>
    <col min="4867" max="4867" width="15.6640625" style="2234" customWidth="1"/>
    <col min="4868" max="4868" width="9.33203125" style="2234" bestFit="1" customWidth="1"/>
    <col min="4869" max="4869" width="13.44140625" style="2234" customWidth="1"/>
    <col min="4870" max="4870" width="9" style="2234"/>
    <col min="4871" max="4871" width="9.33203125" style="2234" bestFit="1" customWidth="1"/>
    <col min="4872" max="4873" width="9" style="2234"/>
    <col min="4874" max="4874" width="9.33203125" style="2234" bestFit="1" customWidth="1"/>
    <col min="4875" max="4875" width="4" style="2234" customWidth="1"/>
    <col min="4876" max="4876" width="5.109375" style="2234" customWidth="1"/>
    <col min="4877" max="4877" width="13.77734375" style="2234" customWidth="1"/>
    <col min="4878" max="5120" width="9" style="2234"/>
    <col min="5121" max="5121" width="4.88671875" style="2234" customWidth="1"/>
    <col min="5122" max="5122" width="13.21875" style="2234" customWidth="1"/>
    <col min="5123" max="5123" width="15.6640625" style="2234" customWidth="1"/>
    <col min="5124" max="5124" width="9.33203125" style="2234" bestFit="1" customWidth="1"/>
    <col min="5125" max="5125" width="13.44140625" style="2234" customWidth="1"/>
    <col min="5126" max="5126" width="9" style="2234"/>
    <col min="5127" max="5127" width="9.33203125" style="2234" bestFit="1" customWidth="1"/>
    <col min="5128" max="5129" width="9" style="2234"/>
    <col min="5130" max="5130" width="9.33203125" style="2234" bestFit="1" customWidth="1"/>
    <col min="5131" max="5131" width="4" style="2234" customWidth="1"/>
    <col min="5132" max="5132" width="5.109375" style="2234" customWidth="1"/>
    <col min="5133" max="5133" width="13.77734375" style="2234" customWidth="1"/>
    <col min="5134" max="5376" width="9" style="2234"/>
    <col min="5377" max="5377" width="4.88671875" style="2234" customWidth="1"/>
    <col min="5378" max="5378" width="13.21875" style="2234" customWidth="1"/>
    <col min="5379" max="5379" width="15.6640625" style="2234" customWidth="1"/>
    <col min="5380" max="5380" width="9.33203125" style="2234" bestFit="1" customWidth="1"/>
    <col min="5381" max="5381" width="13.44140625" style="2234" customWidth="1"/>
    <col min="5382" max="5382" width="9" style="2234"/>
    <col min="5383" max="5383" width="9.33203125" style="2234" bestFit="1" customWidth="1"/>
    <col min="5384" max="5385" width="9" style="2234"/>
    <col min="5386" max="5386" width="9.33203125" style="2234" bestFit="1" customWidth="1"/>
    <col min="5387" max="5387" width="4" style="2234" customWidth="1"/>
    <col min="5388" max="5388" width="5.109375" style="2234" customWidth="1"/>
    <col min="5389" max="5389" width="13.77734375" style="2234" customWidth="1"/>
    <col min="5390" max="5632" width="9" style="2234"/>
    <col min="5633" max="5633" width="4.88671875" style="2234" customWidth="1"/>
    <col min="5634" max="5634" width="13.21875" style="2234" customWidth="1"/>
    <col min="5635" max="5635" width="15.6640625" style="2234" customWidth="1"/>
    <col min="5636" max="5636" width="9.33203125" style="2234" bestFit="1" customWidth="1"/>
    <col min="5637" max="5637" width="13.44140625" style="2234" customWidth="1"/>
    <col min="5638" max="5638" width="9" style="2234"/>
    <col min="5639" max="5639" width="9.33203125" style="2234" bestFit="1" customWidth="1"/>
    <col min="5640" max="5641" width="9" style="2234"/>
    <col min="5642" max="5642" width="9.33203125" style="2234" bestFit="1" customWidth="1"/>
    <col min="5643" max="5643" width="4" style="2234" customWidth="1"/>
    <col min="5644" max="5644" width="5.109375" style="2234" customWidth="1"/>
    <col min="5645" max="5645" width="13.77734375" style="2234" customWidth="1"/>
    <col min="5646" max="5888" width="9" style="2234"/>
    <col min="5889" max="5889" width="4.88671875" style="2234" customWidth="1"/>
    <col min="5890" max="5890" width="13.21875" style="2234" customWidth="1"/>
    <col min="5891" max="5891" width="15.6640625" style="2234" customWidth="1"/>
    <col min="5892" max="5892" width="9.33203125" style="2234" bestFit="1" customWidth="1"/>
    <col min="5893" max="5893" width="13.44140625" style="2234" customWidth="1"/>
    <col min="5894" max="5894" width="9" style="2234"/>
    <col min="5895" max="5895" width="9.33203125" style="2234" bestFit="1" customWidth="1"/>
    <col min="5896" max="5897" width="9" style="2234"/>
    <col min="5898" max="5898" width="9.33203125" style="2234" bestFit="1" customWidth="1"/>
    <col min="5899" max="5899" width="4" style="2234" customWidth="1"/>
    <col min="5900" max="5900" width="5.109375" style="2234" customWidth="1"/>
    <col min="5901" max="5901" width="13.77734375" style="2234" customWidth="1"/>
    <col min="5902" max="6144" width="9" style="2234"/>
    <col min="6145" max="6145" width="4.88671875" style="2234" customWidth="1"/>
    <col min="6146" max="6146" width="13.21875" style="2234" customWidth="1"/>
    <col min="6147" max="6147" width="15.6640625" style="2234" customWidth="1"/>
    <col min="6148" max="6148" width="9.33203125" style="2234" bestFit="1" customWidth="1"/>
    <col min="6149" max="6149" width="13.44140625" style="2234" customWidth="1"/>
    <col min="6150" max="6150" width="9" style="2234"/>
    <col min="6151" max="6151" width="9.33203125" style="2234" bestFit="1" customWidth="1"/>
    <col min="6152" max="6153" width="9" style="2234"/>
    <col min="6154" max="6154" width="9.33203125" style="2234" bestFit="1" customWidth="1"/>
    <col min="6155" max="6155" width="4" style="2234" customWidth="1"/>
    <col min="6156" max="6156" width="5.109375" style="2234" customWidth="1"/>
    <col min="6157" max="6157" width="13.77734375" style="2234" customWidth="1"/>
    <col min="6158" max="6400" width="9" style="2234"/>
    <col min="6401" max="6401" width="4.88671875" style="2234" customWidth="1"/>
    <col min="6402" max="6402" width="13.21875" style="2234" customWidth="1"/>
    <col min="6403" max="6403" width="15.6640625" style="2234" customWidth="1"/>
    <col min="6404" max="6404" width="9.33203125" style="2234" bestFit="1" customWidth="1"/>
    <col min="6405" max="6405" width="13.44140625" style="2234" customWidth="1"/>
    <col min="6406" max="6406" width="9" style="2234"/>
    <col min="6407" max="6407" width="9.33203125" style="2234" bestFit="1" customWidth="1"/>
    <col min="6408" max="6409" width="9" style="2234"/>
    <col min="6410" max="6410" width="9.33203125" style="2234" bestFit="1" customWidth="1"/>
    <col min="6411" max="6411" width="4" style="2234" customWidth="1"/>
    <col min="6412" max="6412" width="5.109375" style="2234" customWidth="1"/>
    <col min="6413" max="6413" width="13.77734375" style="2234" customWidth="1"/>
    <col min="6414" max="6656" width="9" style="2234"/>
    <col min="6657" max="6657" width="4.88671875" style="2234" customWidth="1"/>
    <col min="6658" max="6658" width="13.21875" style="2234" customWidth="1"/>
    <col min="6659" max="6659" width="15.6640625" style="2234" customWidth="1"/>
    <col min="6660" max="6660" width="9.33203125" style="2234" bestFit="1" customWidth="1"/>
    <col min="6661" max="6661" width="13.44140625" style="2234" customWidth="1"/>
    <col min="6662" max="6662" width="9" style="2234"/>
    <col min="6663" max="6663" width="9.33203125" style="2234" bestFit="1" customWidth="1"/>
    <col min="6664" max="6665" width="9" style="2234"/>
    <col min="6666" max="6666" width="9.33203125" style="2234" bestFit="1" customWidth="1"/>
    <col min="6667" max="6667" width="4" style="2234" customWidth="1"/>
    <col min="6668" max="6668" width="5.109375" style="2234" customWidth="1"/>
    <col min="6669" max="6669" width="13.77734375" style="2234" customWidth="1"/>
    <col min="6670" max="6912" width="9" style="2234"/>
    <col min="6913" max="6913" width="4.88671875" style="2234" customWidth="1"/>
    <col min="6914" max="6914" width="13.21875" style="2234" customWidth="1"/>
    <col min="6915" max="6915" width="15.6640625" style="2234" customWidth="1"/>
    <col min="6916" max="6916" width="9.33203125" style="2234" bestFit="1" customWidth="1"/>
    <col min="6917" max="6917" width="13.44140625" style="2234" customWidth="1"/>
    <col min="6918" max="6918" width="9" style="2234"/>
    <col min="6919" max="6919" width="9.33203125" style="2234" bestFit="1" customWidth="1"/>
    <col min="6920" max="6921" width="9" style="2234"/>
    <col min="6922" max="6922" width="9.33203125" style="2234" bestFit="1" customWidth="1"/>
    <col min="6923" max="6923" width="4" style="2234" customWidth="1"/>
    <col min="6924" max="6924" width="5.109375" style="2234" customWidth="1"/>
    <col min="6925" max="6925" width="13.77734375" style="2234" customWidth="1"/>
    <col min="6926" max="7168" width="9" style="2234"/>
    <col min="7169" max="7169" width="4.88671875" style="2234" customWidth="1"/>
    <col min="7170" max="7170" width="13.21875" style="2234" customWidth="1"/>
    <col min="7171" max="7171" width="15.6640625" style="2234" customWidth="1"/>
    <col min="7172" max="7172" width="9.33203125" style="2234" bestFit="1" customWidth="1"/>
    <col min="7173" max="7173" width="13.44140625" style="2234" customWidth="1"/>
    <col min="7174" max="7174" width="9" style="2234"/>
    <col min="7175" max="7175" width="9.33203125" style="2234" bestFit="1" customWidth="1"/>
    <col min="7176" max="7177" width="9" style="2234"/>
    <col min="7178" max="7178" width="9.33203125" style="2234" bestFit="1" customWidth="1"/>
    <col min="7179" max="7179" width="4" style="2234" customWidth="1"/>
    <col min="7180" max="7180" width="5.109375" style="2234" customWidth="1"/>
    <col min="7181" max="7181" width="13.77734375" style="2234" customWidth="1"/>
    <col min="7182" max="7424" width="9" style="2234"/>
    <col min="7425" max="7425" width="4.88671875" style="2234" customWidth="1"/>
    <col min="7426" max="7426" width="13.21875" style="2234" customWidth="1"/>
    <col min="7427" max="7427" width="15.6640625" style="2234" customWidth="1"/>
    <col min="7428" max="7428" width="9.33203125" style="2234" bestFit="1" customWidth="1"/>
    <col min="7429" max="7429" width="13.44140625" style="2234" customWidth="1"/>
    <col min="7430" max="7430" width="9" style="2234"/>
    <col min="7431" max="7431" width="9.33203125" style="2234" bestFit="1" customWidth="1"/>
    <col min="7432" max="7433" width="9" style="2234"/>
    <col min="7434" max="7434" width="9.33203125" style="2234" bestFit="1" customWidth="1"/>
    <col min="7435" max="7435" width="4" style="2234" customWidth="1"/>
    <col min="7436" max="7436" width="5.109375" style="2234" customWidth="1"/>
    <col min="7437" max="7437" width="13.77734375" style="2234" customWidth="1"/>
    <col min="7438" max="7680" width="9" style="2234"/>
    <col min="7681" max="7681" width="4.88671875" style="2234" customWidth="1"/>
    <col min="7682" max="7682" width="13.21875" style="2234" customWidth="1"/>
    <col min="7683" max="7683" width="15.6640625" style="2234" customWidth="1"/>
    <col min="7684" max="7684" width="9.33203125" style="2234" bestFit="1" customWidth="1"/>
    <col min="7685" max="7685" width="13.44140625" style="2234" customWidth="1"/>
    <col min="7686" max="7686" width="9" style="2234"/>
    <col min="7687" max="7687" width="9.33203125" style="2234" bestFit="1" customWidth="1"/>
    <col min="7688" max="7689" width="9" style="2234"/>
    <col min="7690" max="7690" width="9.33203125" style="2234" bestFit="1" customWidth="1"/>
    <col min="7691" max="7691" width="4" style="2234" customWidth="1"/>
    <col min="7692" max="7692" width="5.109375" style="2234" customWidth="1"/>
    <col min="7693" max="7693" width="13.77734375" style="2234" customWidth="1"/>
    <col min="7694" max="7936" width="9" style="2234"/>
    <col min="7937" max="7937" width="4.88671875" style="2234" customWidth="1"/>
    <col min="7938" max="7938" width="13.21875" style="2234" customWidth="1"/>
    <col min="7939" max="7939" width="15.6640625" style="2234" customWidth="1"/>
    <col min="7940" max="7940" width="9.33203125" style="2234" bestFit="1" customWidth="1"/>
    <col min="7941" max="7941" width="13.44140625" style="2234" customWidth="1"/>
    <col min="7942" max="7942" width="9" style="2234"/>
    <col min="7943" max="7943" width="9.33203125" style="2234" bestFit="1" customWidth="1"/>
    <col min="7944" max="7945" width="9" style="2234"/>
    <col min="7946" max="7946" width="9.33203125" style="2234" bestFit="1" customWidth="1"/>
    <col min="7947" max="7947" width="4" style="2234" customWidth="1"/>
    <col min="7948" max="7948" width="5.109375" style="2234" customWidth="1"/>
    <col min="7949" max="7949" width="13.77734375" style="2234" customWidth="1"/>
    <col min="7950" max="8192" width="9" style="2234"/>
    <col min="8193" max="8193" width="4.88671875" style="2234" customWidth="1"/>
    <col min="8194" max="8194" width="13.21875" style="2234" customWidth="1"/>
    <col min="8195" max="8195" width="15.6640625" style="2234" customWidth="1"/>
    <col min="8196" max="8196" width="9.33203125" style="2234" bestFit="1" customWidth="1"/>
    <col min="8197" max="8197" width="13.44140625" style="2234" customWidth="1"/>
    <col min="8198" max="8198" width="9" style="2234"/>
    <col min="8199" max="8199" width="9.33203125" style="2234" bestFit="1" customWidth="1"/>
    <col min="8200" max="8201" width="9" style="2234"/>
    <col min="8202" max="8202" width="9.33203125" style="2234" bestFit="1" customWidth="1"/>
    <col min="8203" max="8203" width="4" style="2234" customWidth="1"/>
    <col min="8204" max="8204" width="5.109375" style="2234" customWidth="1"/>
    <col min="8205" max="8205" width="13.77734375" style="2234" customWidth="1"/>
    <col min="8206" max="8448" width="9" style="2234"/>
    <col min="8449" max="8449" width="4.88671875" style="2234" customWidth="1"/>
    <col min="8450" max="8450" width="13.21875" style="2234" customWidth="1"/>
    <col min="8451" max="8451" width="15.6640625" style="2234" customWidth="1"/>
    <col min="8452" max="8452" width="9.33203125" style="2234" bestFit="1" customWidth="1"/>
    <col min="8453" max="8453" width="13.44140625" style="2234" customWidth="1"/>
    <col min="8454" max="8454" width="9" style="2234"/>
    <col min="8455" max="8455" width="9.33203125" style="2234" bestFit="1" customWidth="1"/>
    <col min="8456" max="8457" width="9" style="2234"/>
    <col min="8458" max="8458" width="9.33203125" style="2234" bestFit="1" customWidth="1"/>
    <col min="8459" max="8459" width="4" style="2234" customWidth="1"/>
    <col min="8460" max="8460" width="5.109375" style="2234" customWidth="1"/>
    <col min="8461" max="8461" width="13.77734375" style="2234" customWidth="1"/>
    <col min="8462" max="8704" width="9" style="2234"/>
    <col min="8705" max="8705" width="4.88671875" style="2234" customWidth="1"/>
    <col min="8706" max="8706" width="13.21875" style="2234" customWidth="1"/>
    <col min="8707" max="8707" width="15.6640625" style="2234" customWidth="1"/>
    <col min="8708" max="8708" width="9.33203125" style="2234" bestFit="1" customWidth="1"/>
    <col min="8709" max="8709" width="13.44140625" style="2234" customWidth="1"/>
    <col min="8710" max="8710" width="9" style="2234"/>
    <col min="8711" max="8711" width="9.33203125" style="2234" bestFit="1" customWidth="1"/>
    <col min="8712" max="8713" width="9" style="2234"/>
    <col min="8714" max="8714" width="9.33203125" style="2234" bestFit="1" customWidth="1"/>
    <col min="8715" max="8715" width="4" style="2234" customWidth="1"/>
    <col min="8716" max="8716" width="5.109375" style="2234" customWidth="1"/>
    <col min="8717" max="8717" width="13.77734375" style="2234" customWidth="1"/>
    <col min="8718" max="8960" width="9" style="2234"/>
    <col min="8961" max="8961" width="4.88671875" style="2234" customWidth="1"/>
    <col min="8962" max="8962" width="13.21875" style="2234" customWidth="1"/>
    <col min="8963" max="8963" width="15.6640625" style="2234" customWidth="1"/>
    <col min="8964" max="8964" width="9.33203125" style="2234" bestFit="1" customWidth="1"/>
    <col min="8965" max="8965" width="13.44140625" style="2234" customWidth="1"/>
    <col min="8966" max="8966" width="9" style="2234"/>
    <col min="8967" max="8967" width="9.33203125" style="2234" bestFit="1" customWidth="1"/>
    <col min="8968" max="8969" width="9" style="2234"/>
    <col min="8970" max="8970" width="9.33203125" style="2234" bestFit="1" customWidth="1"/>
    <col min="8971" max="8971" width="4" style="2234" customWidth="1"/>
    <col min="8972" max="8972" width="5.109375" style="2234" customWidth="1"/>
    <col min="8973" max="8973" width="13.77734375" style="2234" customWidth="1"/>
    <col min="8974" max="9216" width="9" style="2234"/>
    <col min="9217" max="9217" width="4.88671875" style="2234" customWidth="1"/>
    <col min="9218" max="9218" width="13.21875" style="2234" customWidth="1"/>
    <col min="9219" max="9219" width="15.6640625" style="2234" customWidth="1"/>
    <col min="9220" max="9220" width="9.33203125" style="2234" bestFit="1" customWidth="1"/>
    <col min="9221" max="9221" width="13.44140625" style="2234" customWidth="1"/>
    <col min="9222" max="9222" width="9" style="2234"/>
    <col min="9223" max="9223" width="9.33203125" style="2234" bestFit="1" customWidth="1"/>
    <col min="9224" max="9225" width="9" style="2234"/>
    <col min="9226" max="9226" width="9.33203125" style="2234" bestFit="1" customWidth="1"/>
    <col min="9227" max="9227" width="4" style="2234" customWidth="1"/>
    <col min="9228" max="9228" width="5.109375" style="2234" customWidth="1"/>
    <col min="9229" max="9229" width="13.77734375" style="2234" customWidth="1"/>
    <col min="9230" max="9472" width="9" style="2234"/>
    <col min="9473" max="9473" width="4.88671875" style="2234" customWidth="1"/>
    <col min="9474" max="9474" width="13.21875" style="2234" customWidth="1"/>
    <col min="9475" max="9475" width="15.6640625" style="2234" customWidth="1"/>
    <col min="9476" max="9476" width="9.33203125" style="2234" bestFit="1" customWidth="1"/>
    <col min="9477" max="9477" width="13.44140625" style="2234" customWidth="1"/>
    <col min="9478" max="9478" width="9" style="2234"/>
    <col min="9479" max="9479" width="9.33203125" style="2234" bestFit="1" customWidth="1"/>
    <col min="9480" max="9481" width="9" style="2234"/>
    <col min="9482" max="9482" width="9.33203125" style="2234" bestFit="1" customWidth="1"/>
    <col min="9483" max="9483" width="4" style="2234" customWidth="1"/>
    <col min="9484" max="9484" width="5.109375" style="2234" customWidth="1"/>
    <col min="9485" max="9485" width="13.77734375" style="2234" customWidth="1"/>
    <col min="9486" max="9728" width="9" style="2234"/>
    <col min="9729" max="9729" width="4.88671875" style="2234" customWidth="1"/>
    <col min="9730" max="9730" width="13.21875" style="2234" customWidth="1"/>
    <col min="9731" max="9731" width="15.6640625" style="2234" customWidth="1"/>
    <col min="9732" max="9732" width="9.33203125" style="2234" bestFit="1" customWidth="1"/>
    <col min="9733" max="9733" width="13.44140625" style="2234" customWidth="1"/>
    <col min="9734" max="9734" width="9" style="2234"/>
    <col min="9735" max="9735" width="9.33203125" style="2234" bestFit="1" customWidth="1"/>
    <col min="9736" max="9737" width="9" style="2234"/>
    <col min="9738" max="9738" width="9.33203125" style="2234" bestFit="1" customWidth="1"/>
    <col min="9739" max="9739" width="4" style="2234" customWidth="1"/>
    <col min="9740" max="9740" width="5.109375" style="2234" customWidth="1"/>
    <col min="9741" max="9741" width="13.77734375" style="2234" customWidth="1"/>
    <col min="9742" max="9984" width="9" style="2234"/>
    <col min="9985" max="9985" width="4.88671875" style="2234" customWidth="1"/>
    <col min="9986" max="9986" width="13.21875" style="2234" customWidth="1"/>
    <col min="9987" max="9987" width="15.6640625" style="2234" customWidth="1"/>
    <col min="9988" max="9988" width="9.33203125" style="2234" bestFit="1" customWidth="1"/>
    <col min="9989" max="9989" width="13.44140625" style="2234" customWidth="1"/>
    <col min="9990" max="9990" width="9" style="2234"/>
    <col min="9991" max="9991" width="9.33203125" style="2234" bestFit="1" customWidth="1"/>
    <col min="9992" max="9993" width="9" style="2234"/>
    <col min="9994" max="9994" width="9.33203125" style="2234" bestFit="1" customWidth="1"/>
    <col min="9995" max="9995" width="4" style="2234" customWidth="1"/>
    <col min="9996" max="9996" width="5.109375" style="2234" customWidth="1"/>
    <col min="9997" max="9997" width="13.77734375" style="2234" customWidth="1"/>
    <col min="9998" max="10240" width="9" style="2234"/>
    <col min="10241" max="10241" width="4.88671875" style="2234" customWidth="1"/>
    <col min="10242" max="10242" width="13.21875" style="2234" customWidth="1"/>
    <col min="10243" max="10243" width="15.6640625" style="2234" customWidth="1"/>
    <col min="10244" max="10244" width="9.33203125" style="2234" bestFit="1" customWidth="1"/>
    <col min="10245" max="10245" width="13.44140625" style="2234" customWidth="1"/>
    <col min="10246" max="10246" width="9" style="2234"/>
    <col min="10247" max="10247" width="9.33203125" style="2234" bestFit="1" customWidth="1"/>
    <col min="10248" max="10249" width="9" style="2234"/>
    <col min="10250" max="10250" width="9.33203125" style="2234" bestFit="1" customWidth="1"/>
    <col min="10251" max="10251" width="4" style="2234" customWidth="1"/>
    <col min="10252" max="10252" width="5.109375" style="2234" customWidth="1"/>
    <col min="10253" max="10253" width="13.77734375" style="2234" customWidth="1"/>
    <col min="10254" max="10496" width="9" style="2234"/>
    <col min="10497" max="10497" width="4.88671875" style="2234" customWidth="1"/>
    <col min="10498" max="10498" width="13.21875" style="2234" customWidth="1"/>
    <col min="10499" max="10499" width="15.6640625" style="2234" customWidth="1"/>
    <col min="10500" max="10500" width="9.33203125" style="2234" bestFit="1" customWidth="1"/>
    <col min="10501" max="10501" width="13.44140625" style="2234" customWidth="1"/>
    <col min="10502" max="10502" width="9" style="2234"/>
    <col min="10503" max="10503" width="9.33203125" style="2234" bestFit="1" customWidth="1"/>
    <col min="10504" max="10505" width="9" style="2234"/>
    <col min="10506" max="10506" width="9.33203125" style="2234" bestFit="1" customWidth="1"/>
    <col min="10507" max="10507" width="4" style="2234" customWidth="1"/>
    <col min="10508" max="10508" width="5.109375" style="2234" customWidth="1"/>
    <col min="10509" max="10509" width="13.77734375" style="2234" customWidth="1"/>
    <col min="10510" max="10752" width="9" style="2234"/>
    <col min="10753" max="10753" width="4.88671875" style="2234" customWidth="1"/>
    <col min="10754" max="10754" width="13.21875" style="2234" customWidth="1"/>
    <col min="10755" max="10755" width="15.6640625" style="2234" customWidth="1"/>
    <col min="10756" max="10756" width="9.33203125" style="2234" bestFit="1" customWidth="1"/>
    <col min="10757" max="10757" width="13.44140625" style="2234" customWidth="1"/>
    <col min="10758" max="10758" width="9" style="2234"/>
    <col min="10759" max="10759" width="9.33203125" style="2234" bestFit="1" customWidth="1"/>
    <col min="10760" max="10761" width="9" style="2234"/>
    <col min="10762" max="10762" width="9.33203125" style="2234" bestFit="1" customWidth="1"/>
    <col min="10763" max="10763" width="4" style="2234" customWidth="1"/>
    <col min="10764" max="10764" width="5.109375" style="2234" customWidth="1"/>
    <col min="10765" max="10765" width="13.77734375" style="2234" customWidth="1"/>
    <col min="10766" max="11008" width="9" style="2234"/>
    <col min="11009" max="11009" width="4.88671875" style="2234" customWidth="1"/>
    <col min="11010" max="11010" width="13.21875" style="2234" customWidth="1"/>
    <col min="11011" max="11011" width="15.6640625" style="2234" customWidth="1"/>
    <col min="11012" max="11012" width="9.33203125" style="2234" bestFit="1" customWidth="1"/>
    <col min="11013" max="11013" width="13.44140625" style="2234" customWidth="1"/>
    <col min="11014" max="11014" width="9" style="2234"/>
    <col min="11015" max="11015" width="9.33203125" style="2234" bestFit="1" customWidth="1"/>
    <col min="11016" max="11017" width="9" style="2234"/>
    <col min="11018" max="11018" width="9.33203125" style="2234" bestFit="1" customWidth="1"/>
    <col min="11019" max="11019" width="4" style="2234" customWidth="1"/>
    <col min="11020" max="11020" width="5.109375" style="2234" customWidth="1"/>
    <col min="11021" max="11021" width="13.77734375" style="2234" customWidth="1"/>
    <col min="11022" max="11264" width="9" style="2234"/>
    <col min="11265" max="11265" width="4.88671875" style="2234" customWidth="1"/>
    <col min="11266" max="11266" width="13.21875" style="2234" customWidth="1"/>
    <col min="11267" max="11267" width="15.6640625" style="2234" customWidth="1"/>
    <col min="11268" max="11268" width="9.33203125" style="2234" bestFit="1" customWidth="1"/>
    <col min="11269" max="11269" width="13.44140625" style="2234" customWidth="1"/>
    <col min="11270" max="11270" width="9" style="2234"/>
    <col min="11271" max="11271" width="9.33203125" style="2234" bestFit="1" customWidth="1"/>
    <col min="11272" max="11273" width="9" style="2234"/>
    <col min="11274" max="11274" width="9.33203125" style="2234" bestFit="1" customWidth="1"/>
    <col min="11275" max="11275" width="4" style="2234" customWidth="1"/>
    <col min="11276" max="11276" width="5.109375" style="2234" customWidth="1"/>
    <col min="11277" max="11277" width="13.77734375" style="2234" customWidth="1"/>
    <col min="11278" max="11520" width="9" style="2234"/>
    <col min="11521" max="11521" width="4.88671875" style="2234" customWidth="1"/>
    <col min="11522" max="11522" width="13.21875" style="2234" customWidth="1"/>
    <col min="11523" max="11523" width="15.6640625" style="2234" customWidth="1"/>
    <col min="11524" max="11524" width="9.33203125" style="2234" bestFit="1" customWidth="1"/>
    <col min="11525" max="11525" width="13.44140625" style="2234" customWidth="1"/>
    <col min="11526" max="11526" width="9" style="2234"/>
    <col min="11527" max="11527" width="9.33203125" style="2234" bestFit="1" customWidth="1"/>
    <col min="11528" max="11529" width="9" style="2234"/>
    <col min="11530" max="11530" width="9.33203125" style="2234" bestFit="1" customWidth="1"/>
    <col min="11531" max="11531" width="4" style="2234" customWidth="1"/>
    <col min="11532" max="11532" width="5.109375" style="2234" customWidth="1"/>
    <col min="11533" max="11533" width="13.77734375" style="2234" customWidth="1"/>
    <col min="11534" max="11776" width="9" style="2234"/>
    <col min="11777" max="11777" width="4.88671875" style="2234" customWidth="1"/>
    <col min="11778" max="11778" width="13.21875" style="2234" customWidth="1"/>
    <col min="11779" max="11779" width="15.6640625" style="2234" customWidth="1"/>
    <col min="11780" max="11780" width="9.33203125" style="2234" bestFit="1" customWidth="1"/>
    <col min="11781" max="11781" width="13.44140625" style="2234" customWidth="1"/>
    <col min="11782" max="11782" width="9" style="2234"/>
    <col min="11783" max="11783" width="9.33203125" style="2234" bestFit="1" customWidth="1"/>
    <col min="11784" max="11785" width="9" style="2234"/>
    <col min="11786" max="11786" width="9.33203125" style="2234" bestFit="1" customWidth="1"/>
    <col min="11787" max="11787" width="4" style="2234" customWidth="1"/>
    <col min="11788" max="11788" width="5.109375" style="2234" customWidth="1"/>
    <col min="11789" max="11789" width="13.77734375" style="2234" customWidth="1"/>
    <col min="11790" max="12032" width="9" style="2234"/>
    <col min="12033" max="12033" width="4.88671875" style="2234" customWidth="1"/>
    <col min="12034" max="12034" width="13.21875" style="2234" customWidth="1"/>
    <col min="12035" max="12035" width="15.6640625" style="2234" customWidth="1"/>
    <col min="12036" max="12036" width="9.33203125" style="2234" bestFit="1" customWidth="1"/>
    <col min="12037" max="12037" width="13.44140625" style="2234" customWidth="1"/>
    <col min="12038" max="12038" width="9" style="2234"/>
    <col min="12039" max="12039" width="9.33203125" style="2234" bestFit="1" customWidth="1"/>
    <col min="12040" max="12041" width="9" style="2234"/>
    <col min="12042" max="12042" width="9.33203125" style="2234" bestFit="1" customWidth="1"/>
    <col min="12043" max="12043" width="4" style="2234" customWidth="1"/>
    <col min="12044" max="12044" width="5.109375" style="2234" customWidth="1"/>
    <col min="12045" max="12045" width="13.77734375" style="2234" customWidth="1"/>
    <col min="12046" max="12288" width="9" style="2234"/>
    <col min="12289" max="12289" width="4.88671875" style="2234" customWidth="1"/>
    <col min="12290" max="12290" width="13.21875" style="2234" customWidth="1"/>
    <col min="12291" max="12291" width="15.6640625" style="2234" customWidth="1"/>
    <col min="12292" max="12292" width="9.33203125" style="2234" bestFit="1" customWidth="1"/>
    <col min="12293" max="12293" width="13.44140625" style="2234" customWidth="1"/>
    <col min="12294" max="12294" width="9" style="2234"/>
    <col min="12295" max="12295" width="9.33203125" style="2234" bestFit="1" customWidth="1"/>
    <col min="12296" max="12297" width="9" style="2234"/>
    <col min="12298" max="12298" width="9.33203125" style="2234" bestFit="1" customWidth="1"/>
    <col min="12299" max="12299" width="4" style="2234" customWidth="1"/>
    <col min="12300" max="12300" width="5.109375" style="2234" customWidth="1"/>
    <col min="12301" max="12301" width="13.77734375" style="2234" customWidth="1"/>
    <col min="12302" max="12544" width="9" style="2234"/>
    <col min="12545" max="12545" width="4.88671875" style="2234" customWidth="1"/>
    <col min="12546" max="12546" width="13.21875" style="2234" customWidth="1"/>
    <col min="12547" max="12547" width="15.6640625" style="2234" customWidth="1"/>
    <col min="12548" max="12548" width="9.33203125" style="2234" bestFit="1" customWidth="1"/>
    <col min="12549" max="12549" width="13.44140625" style="2234" customWidth="1"/>
    <col min="12550" max="12550" width="9" style="2234"/>
    <col min="12551" max="12551" width="9.33203125" style="2234" bestFit="1" customWidth="1"/>
    <col min="12552" max="12553" width="9" style="2234"/>
    <col min="12554" max="12554" width="9.33203125" style="2234" bestFit="1" customWidth="1"/>
    <col min="12555" max="12555" width="4" style="2234" customWidth="1"/>
    <col min="12556" max="12556" width="5.109375" style="2234" customWidth="1"/>
    <col min="12557" max="12557" width="13.77734375" style="2234" customWidth="1"/>
    <col min="12558" max="12800" width="9" style="2234"/>
    <col min="12801" max="12801" width="4.88671875" style="2234" customWidth="1"/>
    <col min="12802" max="12802" width="13.21875" style="2234" customWidth="1"/>
    <col min="12803" max="12803" width="15.6640625" style="2234" customWidth="1"/>
    <col min="12804" max="12804" width="9.33203125" style="2234" bestFit="1" customWidth="1"/>
    <col min="12805" max="12805" width="13.44140625" style="2234" customWidth="1"/>
    <col min="12806" max="12806" width="9" style="2234"/>
    <col min="12807" max="12807" width="9.33203125" style="2234" bestFit="1" customWidth="1"/>
    <col min="12808" max="12809" width="9" style="2234"/>
    <col min="12810" max="12810" width="9.33203125" style="2234" bestFit="1" customWidth="1"/>
    <col min="12811" max="12811" width="4" style="2234" customWidth="1"/>
    <col min="12812" max="12812" width="5.109375" style="2234" customWidth="1"/>
    <col min="12813" max="12813" width="13.77734375" style="2234" customWidth="1"/>
    <col min="12814" max="13056" width="9" style="2234"/>
    <col min="13057" max="13057" width="4.88671875" style="2234" customWidth="1"/>
    <col min="13058" max="13058" width="13.21875" style="2234" customWidth="1"/>
    <col min="13059" max="13059" width="15.6640625" style="2234" customWidth="1"/>
    <col min="13060" max="13060" width="9.33203125" style="2234" bestFit="1" customWidth="1"/>
    <col min="13061" max="13061" width="13.44140625" style="2234" customWidth="1"/>
    <col min="13062" max="13062" width="9" style="2234"/>
    <col min="13063" max="13063" width="9.33203125" style="2234" bestFit="1" customWidth="1"/>
    <col min="13064" max="13065" width="9" style="2234"/>
    <col min="13066" max="13066" width="9.33203125" style="2234" bestFit="1" customWidth="1"/>
    <col min="13067" max="13067" width="4" style="2234" customWidth="1"/>
    <col min="13068" max="13068" width="5.109375" style="2234" customWidth="1"/>
    <col min="13069" max="13069" width="13.77734375" style="2234" customWidth="1"/>
    <col min="13070" max="13312" width="9" style="2234"/>
    <col min="13313" max="13313" width="4.88671875" style="2234" customWidth="1"/>
    <col min="13314" max="13314" width="13.21875" style="2234" customWidth="1"/>
    <col min="13315" max="13315" width="15.6640625" style="2234" customWidth="1"/>
    <col min="13316" max="13316" width="9.33203125" style="2234" bestFit="1" customWidth="1"/>
    <col min="13317" max="13317" width="13.44140625" style="2234" customWidth="1"/>
    <col min="13318" max="13318" width="9" style="2234"/>
    <col min="13319" max="13319" width="9.33203125" style="2234" bestFit="1" customWidth="1"/>
    <col min="13320" max="13321" width="9" style="2234"/>
    <col min="13322" max="13322" width="9.33203125" style="2234" bestFit="1" customWidth="1"/>
    <col min="13323" max="13323" width="4" style="2234" customWidth="1"/>
    <col min="13324" max="13324" width="5.109375" style="2234" customWidth="1"/>
    <col min="13325" max="13325" width="13.77734375" style="2234" customWidth="1"/>
    <col min="13326" max="13568" width="9" style="2234"/>
    <col min="13569" max="13569" width="4.88671875" style="2234" customWidth="1"/>
    <col min="13570" max="13570" width="13.21875" style="2234" customWidth="1"/>
    <col min="13571" max="13571" width="15.6640625" style="2234" customWidth="1"/>
    <col min="13572" max="13572" width="9.33203125" style="2234" bestFit="1" customWidth="1"/>
    <col min="13573" max="13573" width="13.44140625" style="2234" customWidth="1"/>
    <col min="13574" max="13574" width="9" style="2234"/>
    <col min="13575" max="13575" width="9.33203125" style="2234" bestFit="1" customWidth="1"/>
    <col min="13576" max="13577" width="9" style="2234"/>
    <col min="13578" max="13578" width="9.33203125" style="2234" bestFit="1" customWidth="1"/>
    <col min="13579" max="13579" width="4" style="2234" customWidth="1"/>
    <col min="13580" max="13580" width="5.109375" style="2234" customWidth="1"/>
    <col min="13581" max="13581" width="13.77734375" style="2234" customWidth="1"/>
    <col min="13582" max="13824" width="9" style="2234"/>
    <col min="13825" max="13825" width="4.88671875" style="2234" customWidth="1"/>
    <col min="13826" max="13826" width="13.21875" style="2234" customWidth="1"/>
    <col min="13827" max="13827" width="15.6640625" style="2234" customWidth="1"/>
    <col min="13828" max="13828" width="9.33203125" style="2234" bestFit="1" customWidth="1"/>
    <col min="13829" max="13829" width="13.44140625" style="2234" customWidth="1"/>
    <col min="13830" max="13830" width="9" style="2234"/>
    <col min="13831" max="13831" width="9.33203125" style="2234" bestFit="1" customWidth="1"/>
    <col min="13832" max="13833" width="9" style="2234"/>
    <col min="13834" max="13834" width="9.33203125" style="2234" bestFit="1" customWidth="1"/>
    <col min="13835" max="13835" width="4" style="2234" customWidth="1"/>
    <col min="13836" max="13836" width="5.109375" style="2234" customWidth="1"/>
    <col min="13837" max="13837" width="13.77734375" style="2234" customWidth="1"/>
    <col min="13838" max="14080" width="9" style="2234"/>
    <col min="14081" max="14081" width="4.88671875" style="2234" customWidth="1"/>
    <col min="14082" max="14082" width="13.21875" style="2234" customWidth="1"/>
    <col min="14083" max="14083" width="15.6640625" style="2234" customWidth="1"/>
    <col min="14084" max="14084" width="9.33203125" style="2234" bestFit="1" customWidth="1"/>
    <col min="14085" max="14085" width="13.44140625" style="2234" customWidth="1"/>
    <col min="14086" max="14086" width="9" style="2234"/>
    <col min="14087" max="14087" width="9.33203125" style="2234" bestFit="1" customWidth="1"/>
    <col min="14088" max="14089" width="9" style="2234"/>
    <col min="14090" max="14090" width="9.33203125" style="2234" bestFit="1" customWidth="1"/>
    <col min="14091" max="14091" width="4" style="2234" customWidth="1"/>
    <col min="14092" max="14092" width="5.109375" style="2234" customWidth="1"/>
    <col min="14093" max="14093" width="13.77734375" style="2234" customWidth="1"/>
    <col min="14094" max="14336" width="9" style="2234"/>
    <col min="14337" max="14337" width="4.88671875" style="2234" customWidth="1"/>
    <col min="14338" max="14338" width="13.21875" style="2234" customWidth="1"/>
    <col min="14339" max="14339" width="15.6640625" style="2234" customWidth="1"/>
    <col min="14340" max="14340" width="9.33203125" style="2234" bestFit="1" customWidth="1"/>
    <col min="14341" max="14341" width="13.44140625" style="2234" customWidth="1"/>
    <col min="14342" max="14342" width="9" style="2234"/>
    <col min="14343" max="14343" width="9.33203125" style="2234" bestFit="1" customWidth="1"/>
    <col min="14344" max="14345" width="9" style="2234"/>
    <col min="14346" max="14346" width="9.33203125" style="2234" bestFit="1" customWidth="1"/>
    <col min="14347" max="14347" width="4" style="2234" customWidth="1"/>
    <col min="14348" max="14348" width="5.109375" style="2234" customWidth="1"/>
    <col min="14349" max="14349" width="13.77734375" style="2234" customWidth="1"/>
    <col min="14350" max="14592" width="9" style="2234"/>
    <col min="14593" max="14593" width="4.88671875" style="2234" customWidth="1"/>
    <col min="14594" max="14594" width="13.21875" style="2234" customWidth="1"/>
    <col min="14595" max="14595" width="15.6640625" style="2234" customWidth="1"/>
    <col min="14596" max="14596" width="9.33203125" style="2234" bestFit="1" customWidth="1"/>
    <col min="14597" max="14597" width="13.44140625" style="2234" customWidth="1"/>
    <col min="14598" max="14598" width="9" style="2234"/>
    <col min="14599" max="14599" width="9.33203125" style="2234" bestFit="1" customWidth="1"/>
    <col min="14600" max="14601" width="9" style="2234"/>
    <col min="14602" max="14602" width="9.33203125" style="2234" bestFit="1" customWidth="1"/>
    <col min="14603" max="14603" width="4" style="2234" customWidth="1"/>
    <col min="14604" max="14604" width="5.109375" style="2234" customWidth="1"/>
    <col min="14605" max="14605" width="13.77734375" style="2234" customWidth="1"/>
    <col min="14606" max="14848" width="9" style="2234"/>
    <col min="14849" max="14849" width="4.88671875" style="2234" customWidth="1"/>
    <col min="14850" max="14850" width="13.21875" style="2234" customWidth="1"/>
    <col min="14851" max="14851" width="15.6640625" style="2234" customWidth="1"/>
    <col min="14852" max="14852" width="9.33203125" style="2234" bestFit="1" customWidth="1"/>
    <col min="14853" max="14853" width="13.44140625" style="2234" customWidth="1"/>
    <col min="14854" max="14854" width="9" style="2234"/>
    <col min="14855" max="14855" width="9.33203125" style="2234" bestFit="1" customWidth="1"/>
    <col min="14856" max="14857" width="9" style="2234"/>
    <col min="14858" max="14858" width="9.33203125" style="2234" bestFit="1" customWidth="1"/>
    <col min="14859" max="14859" width="4" style="2234" customWidth="1"/>
    <col min="14860" max="14860" width="5.109375" style="2234" customWidth="1"/>
    <col min="14861" max="14861" width="13.77734375" style="2234" customWidth="1"/>
    <col min="14862" max="15104" width="9" style="2234"/>
    <col min="15105" max="15105" width="4.88671875" style="2234" customWidth="1"/>
    <col min="15106" max="15106" width="13.21875" style="2234" customWidth="1"/>
    <col min="15107" max="15107" width="15.6640625" style="2234" customWidth="1"/>
    <col min="15108" max="15108" width="9.33203125" style="2234" bestFit="1" customWidth="1"/>
    <col min="15109" max="15109" width="13.44140625" style="2234" customWidth="1"/>
    <col min="15110" max="15110" width="9" style="2234"/>
    <col min="15111" max="15111" width="9.33203125" style="2234" bestFit="1" customWidth="1"/>
    <col min="15112" max="15113" width="9" style="2234"/>
    <col min="15114" max="15114" width="9.33203125" style="2234" bestFit="1" customWidth="1"/>
    <col min="15115" max="15115" width="4" style="2234" customWidth="1"/>
    <col min="15116" max="15116" width="5.109375" style="2234" customWidth="1"/>
    <col min="15117" max="15117" width="13.77734375" style="2234" customWidth="1"/>
    <col min="15118" max="15360" width="9" style="2234"/>
    <col min="15361" max="15361" width="4.88671875" style="2234" customWidth="1"/>
    <col min="15362" max="15362" width="13.21875" style="2234" customWidth="1"/>
    <col min="15363" max="15363" width="15.6640625" style="2234" customWidth="1"/>
    <col min="15364" max="15364" width="9.33203125" style="2234" bestFit="1" customWidth="1"/>
    <col min="15365" max="15365" width="13.44140625" style="2234" customWidth="1"/>
    <col min="15366" max="15366" width="9" style="2234"/>
    <col min="15367" max="15367" width="9.33203125" style="2234" bestFit="1" customWidth="1"/>
    <col min="15368" max="15369" width="9" style="2234"/>
    <col min="15370" max="15370" width="9.33203125" style="2234" bestFit="1" customWidth="1"/>
    <col min="15371" max="15371" width="4" style="2234" customWidth="1"/>
    <col min="15372" max="15372" width="5.109375" style="2234" customWidth="1"/>
    <col min="15373" max="15373" width="13.77734375" style="2234" customWidth="1"/>
    <col min="15374" max="15616" width="9" style="2234"/>
    <col min="15617" max="15617" width="4.88671875" style="2234" customWidth="1"/>
    <col min="15618" max="15618" width="13.21875" style="2234" customWidth="1"/>
    <col min="15619" max="15619" width="15.6640625" style="2234" customWidth="1"/>
    <col min="15620" max="15620" width="9.33203125" style="2234" bestFit="1" customWidth="1"/>
    <col min="15621" max="15621" width="13.44140625" style="2234" customWidth="1"/>
    <col min="15622" max="15622" width="9" style="2234"/>
    <col min="15623" max="15623" width="9.33203125" style="2234" bestFit="1" customWidth="1"/>
    <col min="15624" max="15625" width="9" style="2234"/>
    <col min="15626" max="15626" width="9.33203125" style="2234" bestFit="1" customWidth="1"/>
    <col min="15627" max="15627" width="4" style="2234" customWidth="1"/>
    <col min="15628" max="15628" width="5.109375" style="2234" customWidth="1"/>
    <col min="15629" max="15629" width="13.77734375" style="2234" customWidth="1"/>
    <col min="15630" max="15872" width="9" style="2234"/>
    <col min="15873" max="15873" width="4.88671875" style="2234" customWidth="1"/>
    <col min="15874" max="15874" width="13.21875" style="2234" customWidth="1"/>
    <col min="15875" max="15875" width="15.6640625" style="2234" customWidth="1"/>
    <col min="15876" max="15876" width="9.33203125" style="2234" bestFit="1" customWidth="1"/>
    <col min="15877" max="15877" width="13.44140625" style="2234" customWidth="1"/>
    <col min="15878" max="15878" width="9" style="2234"/>
    <col min="15879" max="15879" width="9.33203125" style="2234" bestFit="1" customWidth="1"/>
    <col min="15880" max="15881" width="9" style="2234"/>
    <col min="15882" max="15882" width="9.33203125" style="2234" bestFit="1" customWidth="1"/>
    <col min="15883" max="15883" width="4" style="2234" customWidth="1"/>
    <col min="15884" max="15884" width="5.109375" style="2234" customWidth="1"/>
    <col min="15885" max="15885" width="13.77734375" style="2234" customWidth="1"/>
    <col min="15886" max="16128" width="9" style="2234"/>
    <col min="16129" max="16129" width="4.88671875" style="2234" customWidth="1"/>
    <col min="16130" max="16130" width="13.21875" style="2234" customWidth="1"/>
    <col min="16131" max="16131" width="15.6640625" style="2234" customWidth="1"/>
    <col min="16132" max="16132" width="9.33203125" style="2234" bestFit="1" customWidth="1"/>
    <col min="16133" max="16133" width="13.44140625" style="2234" customWidth="1"/>
    <col min="16134" max="16134" width="9" style="2234"/>
    <col min="16135" max="16135" width="9.33203125" style="2234" bestFit="1" customWidth="1"/>
    <col min="16136" max="16137" width="9" style="2234"/>
    <col min="16138" max="16138" width="9.33203125" style="2234" bestFit="1" customWidth="1"/>
    <col min="16139" max="16139" width="4" style="2234" customWidth="1"/>
    <col min="16140" max="16140" width="5.109375" style="2234" customWidth="1"/>
    <col min="16141" max="16141" width="13.77734375" style="2234" customWidth="1"/>
    <col min="16142" max="16384" width="9" style="2234"/>
  </cols>
  <sheetData>
    <row r="1" spans="1:257" s="2288" customFormat="1" ht="15" thickBot="1">
      <c r="A1" s="2236"/>
      <c r="B1" s="2290" t="s">
        <v>2065</v>
      </c>
      <c r="C1" s="2294">
        <f>项目基本情况!D3</f>
        <v>45849</v>
      </c>
      <c r="H1" s="2233">
        <f>IF(C1&gt;C13,0,MATCH(C1,C$13:C$115,-1))+IF(SUMIF(C13:C115,C1,D13:D115)=0,13,12)</f>
        <v>13</v>
      </c>
      <c r="I1" s="2233">
        <f>MATCH(C2,H3:H7,1)+IF(SUMIF(H3:H7,C2,I3:I7)=0,2,1)</f>
        <v>5</v>
      </c>
      <c r="J1" s="2289">
        <f ca="1">MATCH(C3,H3:H7,1)+IF(SUMIF(H3:H7,C3,J3:J7)=0,2,1)</f>
        <v>2</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6" thickTop="1" thickBot="1">
      <c r="A2" s="2235"/>
      <c r="B2" s="2291" t="s">
        <v>2096</v>
      </c>
      <c r="C2" s="2295">
        <f>'数据-取费表'!B22</f>
        <v>2</v>
      </c>
      <c r="D2" s="2290" t="s">
        <v>2066</v>
      </c>
      <c r="E2" s="2293">
        <f ca="1">INDIRECT("I"&amp;$I$1)/100</f>
        <v>0.03</v>
      </c>
      <c r="G2" s="2235"/>
      <c r="H2" s="2235"/>
      <c r="I2" s="2235" t="s">
        <v>2067</v>
      </c>
      <c r="K2" s="2235"/>
      <c r="L2" s="2235"/>
      <c r="M2" s="2235"/>
      <c r="N2" s="2235" t="s">
        <v>2068</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2098</v>
      </c>
      <c r="C3" s="2292">
        <f>'数据-取费表'!B19</f>
        <v>0</v>
      </c>
      <c r="D3" s="2290" t="s">
        <v>2066</v>
      </c>
      <c r="E3" s="2293">
        <f ca="1">INDIRECT("J"&amp;$J$1)/100</f>
        <v>0</v>
      </c>
      <c r="G3" s="2237" t="s">
        <v>2069</v>
      </c>
      <c r="H3" s="2238">
        <v>0</v>
      </c>
      <c r="I3" s="2239">
        <f ca="1">INDIRECT("d"&amp;$H$1)</f>
        <v>3</v>
      </c>
      <c r="J3" s="2239">
        <f ca="1">INDIRECT("d"&amp;$H$1)</f>
        <v>3</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2097</v>
      </c>
      <c r="C4" s="2293">
        <f ca="1">N4/100</f>
        <v>1.4999999999999999E-2</v>
      </c>
      <c r="G4" s="2243" t="s">
        <v>2070</v>
      </c>
      <c r="H4" s="2244">
        <v>0.5</v>
      </c>
      <c r="I4" s="2245">
        <f ca="1">INDIRECT("e"&amp;$H$1)</f>
        <v>3</v>
      </c>
      <c r="J4" s="2245">
        <f ca="1">INDIRECT("e"&amp;$H$1)</f>
        <v>3</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2071</v>
      </c>
      <c r="H5" s="2244">
        <v>1</v>
      </c>
      <c r="I5" s="2245">
        <f ca="1">INDIRECT("f"&amp;$H$1)</f>
        <v>3</v>
      </c>
      <c r="J5" s="2245">
        <f ca="1">INDIRECT("f"&amp;$H$1)</f>
        <v>3</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2072</v>
      </c>
      <c r="H6" s="2244">
        <v>3</v>
      </c>
      <c r="I6" s="2245">
        <f ca="1">INDIRECT("g"&amp;$H$1)</f>
        <v>3</v>
      </c>
      <c r="J6" s="2245">
        <f ca="1">INDIRECT("g"&amp;$H$1)</f>
        <v>3</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5" thickBot="1">
      <c r="A7" s="2236"/>
      <c r="G7" s="2248" t="s">
        <v>2073</v>
      </c>
      <c r="H7" s="2249">
        <v>5</v>
      </c>
      <c r="I7" s="2250">
        <f ca="1">INDIRECT("h"&amp;$H$1)</f>
        <v>3.5</v>
      </c>
      <c r="J7" s="2250">
        <f ca="1">INDIRECT("h"&amp;$H$1)</f>
        <v>3.5</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399999999999999">
      <c r="A9" s="2256"/>
      <c r="B9" s="2257" t="s">
        <v>2074</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2">
      <c r="A10" s="2262"/>
      <c r="B10" s="2263" t="s">
        <v>2075</v>
      </c>
      <c r="C10" s="2262"/>
      <c r="D10" s="2262"/>
      <c r="E10" s="2262"/>
      <c r="F10" s="2262"/>
      <c r="G10" s="2262"/>
      <c r="H10" s="2262"/>
      <c r="I10" s="2236"/>
      <c r="J10" s="2236"/>
      <c r="K10" s="2262"/>
      <c r="L10" s="2263" t="s">
        <v>2076</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2077</v>
      </c>
      <c r="C11" s="2267" t="s">
        <v>2078</v>
      </c>
      <c r="D11" s="2268" t="s">
        <v>2079</v>
      </c>
      <c r="E11" s="2269"/>
      <c r="F11" s="2268" t="s">
        <v>2080</v>
      </c>
      <c r="G11" s="2270"/>
      <c r="H11" s="2269"/>
      <c r="I11" s="2268" t="s">
        <v>2081</v>
      </c>
      <c r="J11" s="2269"/>
      <c r="K11" s="2265"/>
      <c r="L11" s="2266" t="s">
        <v>2077</v>
      </c>
      <c r="M11" s="2267" t="s">
        <v>2078</v>
      </c>
      <c r="N11" s="2266" t="s">
        <v>2082</v>
      </c>
      <c r="O11" s="2268" t="s">
        <v>2083</v>
      </c>
      <c r="P11" s="2270"/>
      <c r="Q11" s="2270"/>
      <c r="R11" s="2270"/>
      <c r="S11" s="2270"/>
      <c r="T11" s="2269"/>
      <c r="U11" s="2268" t="s">
        <v>2084</v>
      </c>
      <c r="V11" s="2270"/>
      <c r="W11" s="2269"/>
      <c r="X11" s="2266" t="s">
        <v>2085</v>
      </c>
      <c r="Y11" s="2266" t="s">
        <v>2086</v>
      </c>
      <c r="Z11" s="2266" t="s">
        <v>2087</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2088</v>
      </c>
      <c r="E12" s="2274" t="s">
        <v>2089</v>
      </c>
      <c r="F12" s="2274" t="s">
        <v>2090</v>
      </c>
      <c r="G12" s="2274" t="s">
        <v>2091</v>
      </c>
      <c r="H12" s="2274" t="s">
        <v>2073</v>
      </c>
      <c r="I12" s="2275" t="s">
        <v>2092</v>
      </c>
      <c r="J12" s="2275" t="s">
        <v>2092</v>
      </c>
      <c r="K12" s="2265"/>
      <c r="L12" s="2272"/>
      <c r="M12" s="2273"/>
      <c r="N12" s="2272"/>
      <c r="O12" s="2275" t="s">
        <v>2093</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31.2">
      <c r="A13" s="2276"/>
      <c r="B13" s="2277" t="s">
        <v>2094</v>
      </c>
      <c r="C13" s="2278">
        <v>45797</v>
      </c>
      <c r="D13" s="2279">
        <v>3</v>
      </c>
      <c r="E13" s="2279">
        <f t="shared" ref="E13:E18" si="0">D13</f>
        <v>3</v>
      </c>
      <c r="F13" s="2279">
        <f t="shared" ref="F13:F18" si="1">D13</f>
        <v>3</v>
      </c>
      <c r="G13" s="2279">
        <f t="shared" ref="G13:G18" si="2">D13</f>
        <v>3</v>
      </c>
      <c r="H13" s="2279">
        <v>3.5</v>
      </c>
      <c r="I13" s="2279"/>
      <c r="J13" s="2279"/>
      <c r="K13" s="2276"/>
      <c r="L13" s="2277" t="s">
        <v>2094</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5.6">
      <c r="A14" s="2276"/>
      <c r="B14" s="2277"/>
      <c r="C14" s="2284">
        <v>45586</v>
      </c>
      <c r="D14" s="2283">
        <v>3.1</v>
      </c>
      <c r="E14" s="2283">
        <f t="shared" si="0"/>
        <v>3.1</v>
      </c>
      <c r="F14" s="2283">
        <f t="shared" si="1"/>
        <v>3.1</v>
      </c>
      <c r="G14" s="2283">
        <f t="shared" si="2"/>
        <v>3.1</v>
      </c>
      <c r="H14" s="2283">
        <v>3.6</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5.6">
      <c r="A15" s="2276"/>
      <c r="B15" s="2277"/>
      <c r="C15" s="2284">
        <v>45495</v>
      </c>
      <c r="D15" s="2283">
        <v>3.35</v>
      </c>
      <c r="E15" s="2283">
        <f t="shared" si="0"/>
        <v>3.35</v>
      </c>
      <c r="F15" s="2283">
        <f t="shared" si="1"/>
        <v>3.35</v>
      </c>
      <c r="G15" s="2283">
        <f t="shared" si="2"/>
        <v>3.35</v>
      </c>
      <c r="H15" s="2283">
        <v>3.85</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5.6">
      <c r="A16" s="2276"/>
      <c r="B16" s="2277"/>
      <c r="C16" s="2284">
        <v>45342</v>
      </c>
      <c r="D16" s="2283">
        <v>3.45</v>
      </c>
      <c r="E16" s="2283">
        <f t="shared" si="0"/>
        <v>3.45</v>
      </c>
      <c r="F16" s="2283">
        <f t="shared" si="1"/>
        <v>3.45</v>
      </c>
      <c r="G16" s="2283">
        <f t="shared" si="2"/>
        <v>3.45</v>
      </c>
      <c r="H16" s="2283">
        <v>3.95</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5.6">
      <c r="A17" s="2276"/>
      <c r="B17" s="2277"/>
      <c r="C17" s="2284">
        <v>45159</v>
      </c>
      <c r="D17" s="2283">
        <v>3.45</v>
      </c>
      <c r="E17" s="2283">
        <f t="shared" si="0"/>
        <v>3.45</v>
      </c>
      <c r="F17" s="2283">
        <f t="shared" si="1"/>
        <v>3.45</v>
      </c>
      <c r="G17" s="2283">
        <f t="shared" si="2"/>
        <v>3.45</v>
      </c>
      <c r="H17" s="2283">
        <v>4.2</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6.8">
      <c r="A18" s="2276"/>
      <c r="B18" s="2277"/>
      <c r="C18" s="2284">
        <v>45097</v>
      </c>
      <c r="D18" s="2283">
        <v>3.55</v>
      </c>
      <c r="E18" s="2283">
        <f t="shared" si="0"/>
        <v>3.55</v>
      </c>
      <c r="F18" s="2283">
        <f t="shared" si="1"/>
        <v>3.55</v>
      </c>
      <c r="G18" s="2283">
        <f t="shared" si="2"/>
        <v>3.55</v>
      </c>
      <c r="H18" s="2283">
        <v>4.2</v>
      </c>
      <c r="I18" s="2279"/>
      <c r="J18" s="2279"/>
      <c r="L18" s="2783"/>
      <c r="M18" s="2782">
        <v>41965</v>
      </c>
      <c r="N18" s="2783">
        <v>0.35</v>
      </c>
      <c r="O18" s="2783">
        <v>2.35</v>
      </c>
      <c r="P18" s="2783">
        <v>2.5499999999999998</v>
      </c>
      <c r="Q18" s="2783">
        <v>2.75</v>
      </c>
      <c r="R18" s="2783">
        <v>3.35</v>
      </c>
      <c r="S18" s="2783">
        <v>4</v>
      </c>
      <c r="T18" s="2783">
        <v>4.75</v>
      </c>
      <c r="U18" s="2784">
        <v>2.35</v>
      </c>
      <c r="V18" s="2784">
        <v>2.5499999999999998</v>
      </c>
      <c r="W18" s="2784">
        <v>2.75</v>
      </c>
      <c r="X18" s="2783"/>
      <c r="Y18" s="2784">
        <v>0.8</v>
      </c>
      <c r="Z18" s="2784">
        <v>1.35</v>
      </c>
    </row>
    <row r="19" spans="1:256" s="2785" customFormat="1" ht="15.6">
      <c r="A19" s="2276"/>
      <c r="B19" s="2277"/>
      <c r="C19" s="2284">
        <v>44795</v>
      </c>
      <c r="D19" s="2283">
        <v>3.65</v>
      </c>
      <c r="E19" s="2283">
        <v>3.65</v>
      </c>
      <c r="F19" s="2283">
        <v>3.65</v>
      </c>
      <c r="G19" s="2283">
        <v>3.65</v>
      </c>
      <c r="H19" s="2283">
        <v>4.3</v>
      </c>
      <c r="I19" s="2279"/>
      <c r="J19" s="2279"/>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5.6">
      <c r="A20" s="2276"/>
      <c r="B20" s="2277"/>
      <c r="C20" s="2284">
        <v>44701</v>
      </c>
      <c r="D20" s="2283">
        <v>3.7</v>
      </c>
      <c r="E20" s="2283">
        <f>D20</f>
        <v>3.7</v>
      </c>
      <c r="F20" s="2283">
        <f>D20</f>
        <v>3.7</v>
      </c>
      <c r="G20" s="2283">
        <f>D20</f>
        <v>3.7</v>
      </c>
      <c r="H20" s="2283">
        <v>4.45</v>
      </c>
      <c r="I20" s="2279"/>
      <c r="J20" s="2279"/>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5.6">
      <c r="A21" s="2276"/>
      <c r="B21" s="2277"/>
      <c r="C21" s="2284">
        <v>44581</v>
      </c>
      <c r="D21" s="2283">
        <v>3.7</v>
      </c>
      <c r="E21" s="2283">
        <f>D21</f>
        <v>3.7</v>
      </c>
      <c r="F21" s="2283">
        <f>D21</f>
        <v>3.7</v>
      </c>
      <c r="G21" s="2283">
        <f>D21</f>
        <v>3.7</v>
      </c>
      <c r="H21" s="2283">
        <v>4.5999999999999996</v>
      </c>
      <c r="I21" s="2279"/>
      <c r="J21" s="2279"/>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5.6">
      <c r="A22" s="2276"/>
      <c r="B22" s="2277"/>
      <c r="C22" s="2284">
        <v>44550</v>
      </c>
      <c r="D22" s="2283">
        <v>3.8</v>
      </c>
      <c r="E22" s="2283">
        <f>D22</f>
        <v>3.8</v>
      </c>
      <c r="F22" s="2283">
        <f>D22</f>
        <v>3.8</v>
      </c>
      <c r="G22" s="2283">
        <f>D22</f>
        <v>3.8</v>
      </c>
      <c r="H22" s="2283">
        <v>4.6500000000000004</v>
      </c>
      <c r="I22" s="2279"/>
      <c r="J22" s="2279"/>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5.6">
      <c r="A23" s="2780"/>
      <c r="B23" s="2283"/>
      <c r="C23" s="2284">
        <v>43941</v>
      </c>
      <c r="D23" s="2283">
        <v>3.85</v>
      </c>
      <c r="E23" s="2283">
        <v>3.85</v>
      </c>
      <c r="F23" s="2283">
        <v>3.85</v>
      </c>
      <c r="G23" s="2283">
        <v>3.85</v>
      </c>
      <c r="H23" s="2283">
        <v>4.6500000000000004</v>
      </c>
      <c r="I23" s="2283"/>
      <c r="J23" s="2283"/>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c r="B24" s="2283"/>
      <c r="C24" s="2284">
        <v>43881</v>
      </c>
      <c r="D24" s="2283">
        <v>4.05</v>
      </c>
      <c r="E24" s="2283">
        <v>4.05</v>
      </c>
      <c r="F24" s="2283">
        <v>4.05</v>
      </c>
      <c r="G24" s="2283">
        <v>4.05</v>
      </c>
      <c r="H24" s="2283">
        <v>4.75</v>
      </c>
      <c r="I24" s="2283"/>
      <c r="J24" s="22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c r="B25" s="2283"/>
      <c r="C25" s="2284">
        <v>43789</v>
      </c>
      <c r="D25" s="2283">
        <v>4.1500000000000004</v>
      </c>
      <c r="E25" s="2283">
        <v>4.1500000000000004</v>
      </c>
      <c r="F25" s="2283">
        <v>4.1500000000000004</v>
      </c>
      <c r="G25" s="2283">
        <v>4.1500000000000004</v>
      </c>
      <c r="H25" s="2283">
        <v>4.8</v>
      </c>
      <c r="I25" s="2283"/>
      <c r="J25" s="2283"/>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c r="B26" s="2283"/>
      <c r="C26" s="2284">
        <v>43728</v>
      </c>
      <c r="D26" s="2283">
        <v>4.2</v>
      </c>
      <c r="E26" s="2283">
        <v>4.2</v>
      </c>
      <c r="F26" s="2283">
        <v>4.2</v>
      </c>
      <c r="G26" s="2283">
        <v>4.2</v>
      </c>
      <c r="H26" s="2283">
        <v>4.8499999999999996</v>
      </c>
      <c r="I26" s="2283"/>
      <c r="J26" s="2283"/>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ht="15.6">
      <c r="B27" s="2277" t="s">
        <v>2286</v>
      </c>
      <c r="C27" s="2285">
        <v>43697</v>
      </c>
      <c r="D27" s="2777">
        <v>4.25</v>
      </c>
      <c r="E27" s="2777">
        <v>4.25</v>
      </c>
      <c r="F27" s="2777">
        <v>4.25</v>
      </c>
      <c r="G27" s="2777">
        <v>4.25</v>
      </c>
      <c r="H27" s="2777">
        <v>4.8499999999999996</v>
      </c>
      <c r="I27" s="2777"/>
      <c r="J27" s="2777"/>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ht="15.6">
      <c r="B28" s="2781"/>
      <c r="C28" s="2782">
        <v>42301</v>
      </c>
      <c r="D28" s="2783">
        <v>4.3499999999999996</v>
      </c>
      <c r="E28" s="2783">
        <v>4.3499999999999996</v>
      </c>
      <c r="F28" s="2783">
        <v>4.75</v>
      </c>
      <c r="G28" s="2783">
        <v>4.75</v>
      </c>
      <c r="H28" s="2783">
        <v>4.9000000000000004</v>
      </c>
      <c r="I28" s="2783"/>
      <c r="J28" s="2783"/>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42242</v>
      </c>
      <c r="D29" s="2283">
        <v>4.5999999999999996</v>
      </c>
      <c r="E29" s="2283">
        <v>4.5999999999999996</v>
      </c>
      <c r="F29" s="2283">
        <v>5</v>
      </c>
      <c r="G29" s="2283">
        <v>5</v>
      </c>
      <c r="H29" s="2283">
        <v>5.15</v>
      </c>
      <c r="I29" s="2283">
        <v>2.75</v>
      </c>
      <c r="J29" s="2283">
        <v>3.25</v>
      </c>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42183</v>
      </c>
      <c r="D30" s="2283">
        <v>4.8499999999999996</v>
      </c>
      <c r="E30" s="2283">
        <v>4.8499999999999996</v>
      </c>
      <c r="F30" s="2283">
        <v>5.25</v>
      </c>
      <c r="G30" s="2283">
        <v>5.25</v>
      </c>
      <c r="H30" s="2283">
        <v>5.4</v>
      </c>
      <c r="I30" s="2283">
        <v>3</v>
      </c>
      <c r="J30" s="2283">
        <v>3.5</v>
      </c>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42135</v>
      </c>
      <c r="D31" s="2283">
        <v>5.0999999999999996</v>
      </c>
      <c r="E31" s="2283">
        <v>5.0999999999999996</v>
      </c>
      <c r="F31" s="2283">
        <v>5.5</v>
      </c>
      <c r="G31" s="2283">
        <v>5.5</v>
      </c>
      <c r="H31" s="2283">
        <v>5.65</v>
      </c>
      <c r="I31" s="2283">
        <v>3.25</v>
      </c>
      <c r="J31" s="2283">
        <v>3.75</v>
      </c>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42064</v>
      </c>
      <c r="D32" s="2283">
        <v>5.35</v>
      </c>
      <c r="E32" s="2283">
        <v>5.35</v>
      </c>
      <c r="F32" s="2283">
        <v>5.75</v>
      </c>
      <c r="G32" s="2283">
        <v>5.75</v>
      </c>
      <c r="H32" s="2283">
        <v>5.9</v>
      </c>
      <c r="I32" s="2283"/>
      <c r="J32" s="2283"/>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41965</v>
      </c>
      <c r="D33" s="2283">
        <v>5.6</v>
      </c>
      <c r="E33" s="2283">
        <v>5.6</v>
      </c>
      <c r="F33" s="2283">
        <v>6</v>
      </c>
      <c r="G33" s="2283">
        <v>6</v>
      </c>
      <c r="H33" s="2283">
        <v>6.15</v>
      </c>
      <c r="I33" s="2283"/>
      <c r="J33" s="2283"/>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41096</v>
      </c>
      <c r="D34" s="2283">
        <v>5.6</v>
      </c>
      <c r="E34" s="2283">
        <v>6</v>
      </c>
      <c r="F34" s="2283">
        <v>6.15</v>
      </c>
      <c r="G34" s="2283">
        <v>6.4</v>
      </c>
      <c r="H34" s="2283">
        <v>6.55</v>
      </c>
      <c r="I34" s="2283">
        <v>4</v>
      </c>
      <c r="J34" s="2283">
        <v>4.5</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41068</v>
      </c>
      <c r="D35" s="2283">
        <v>5.85</v>
      </c>
      <c r="E35" s="2283">
        <v>6.31</v>
      </c>
      <c r="F35" s="2283">
        <v>6.4</v>
      </c>
      <c r="G35" s="2283">
        <v>6.65</v>
      </c>
      <c r="H35" s="2283">
        <v>6.8</v>
      </c>
      <c r="I35" s="2283">
        <v>4.2</v>
      </c>
      <c r="J35" s="2283">
        <v>4.7</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40731</v>
      </c>
      <c r="D36" s="2283">
        <v>6.1</v>
      </c>
      <c r="E36" s="2283">
        <v>6.56</v>
      </c>
      <c r="F36" s="2283">
        <v>6.65</v>
      </c>
      <c r="G36" s="2283">
        <v>6.9</v>
      </c>
      <c r="H36" s="2283">
        <v>7.05</v>
      </c>
      <c r="I36" s="2283">
        <v>4.45</v>
      </c>
      <c r="J36" s="2283">
        <v>4.9000000000000004</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40639</v>
      </c>
      <c r="D37" s="2283">
        <v>5.85</v>
      </c>
      <c r="E37" s="2283">
        <v>6.31</v>
      </c>
      <c r="F37" s="2283">
        <v>6.4</v>
      </c>
      <c r="G37" s="2283">
        <v>6.65</v>
      </c>
      <c r="H37" s="2283">
        <v>6.8</v>
      </c>
      <c r="I37" s="2283">
        <v>4.2</v>
      </c>
      <c r="J37" s="2283">
        <v>4.7</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40583</v>
      </c>
      <c r="D38" s="2283">
        <v>5.6</v>
      </c>
      <c r="E38" s="2283">
        <v>6.06</v>
      </c>
      <c r="F38" s="2283">
        <v>6.1</v>
      </c>
      <c r="G38" s="2283">
        <v>6.45</v>
      </c>
      <c r="H38" s="2283">
        <v>6.6</v>
      </c>
      <c r="I38" s="2283">
        <v>4</v>
      </c>
      <c r="J38" s="2283">
        <v>4.5</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40538</v>
      </c>
      <c r="D39" s="2283">
        <v>5.35</v>
      </c>
      <c r="E39" s="2283">
        <v>5.81</v>
      </c>
      <c r="F39" s="2283">
        <v>5.85</v>
      </c>
      <c r="G39" s="2283">
        <v>6.22</v>
      </c>
      <c r="H39" s="2283">
        <v>6.4</v>
      </c>
      <c r="I39" s="2283">
        <v>3.75</v>
      </c>
      <c r="J39" s="2283">
        <v>4.3</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4">
        <v>40471</v>
      </c>
      <c r="D40" s="2283">
        <v>5.0999999999999996</v>
      </c>
      <c r="E40" s="2283">
        <v>5.56</v>
      </c>
      <c r="F40" s="2283">
        <v>5.6</v>
      </c>
      <c r="G40" s="2283">
        <v>5.96</v>
      </c>
      <c r="H40" s="2283">
        <v>6.14</v>
      </c>
      <c r="I40" s="2283">
        <v>3.5</v>
      </c>
      <c r="J40" s="2283">
        <v>4.05</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39805</v>
      </c>
      <c r="D41" s="2283">
        <v>4.8600000000000003</v>
      </c>
      <c r="E41" s="2283">
        <v>5.31</v>
      </c>
      <c r="F41" s="2283">
        <v>5.4</v>
      </c>
      <c r="G41" s="2283">
        <v>5.76</v>
      </c>
      <c r="H41" s="2283">
        <v>5.94</v>
      </c>
      <c r="I41" s="2283">
        <v>3.33</v>
      </c>
      <c r="J41" s="2283">
        <v>3.87</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4">
        <v>39779</v>
      </c>
      <c r="D42" s="2283">
        <v>5.04</v>
      </c>
      <c r="E42" s="2283">
        <v>5.58</v>
      </c>
      <c r="F42" s="2283">
        <v>5.67</v>
      </c>
      <c r="G42" s="2283">
        <v>5.94</v>
      </c>
      <c r="H42" s="2283">
        <v>6.12</v>
      </c>
      <c r="I42" s="2283">
        <v>3.51</v>
      </c>
      <c r="J42" s="2283">
        <v>4.05</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2095</v>
      </c>
      <c r="Y42" s="2283" t="s">
        <v>2095</v>
      </c>
      <c r="Z42" s="2283" t="s">
        <v>2095</v>
      </c>
    </row>
    <row r="43" spans="2:26">
      <c r="B43" s="2283"/>
      <c r="C43" s="2284">
        <v>39751</v>
      </c>
      <c r="D43" s="2283">
        <v>6.03</v>
      </c>
      <c r="E43" s="2283">
        <v>6.66</v>
      </c>
      <c r="F43" s="2283">
        <v>6.75</v>
      </c>
      <c r="G43" s="2283">
        <v>7.02</v>
      </c>
      <c r="H43" s="2283">
        <v>7.2</v>
      </c>
      <c r="I43" s="2283">
        <v>4.05</v>
      </c>
      <c r="J43" s="2283">
        <v>4.59</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2095</v>
      </c>
      <c r="Y43" s="2283" t="s">
        <v>2095</v>
      </c>
      <c r="Z43" s="2283" t="s">
        <v>2095</v>
      </c>
    </row>
    <row r="44" spans="2:26">
      <c r="B44" s="2283"/>
      <c r="C44" s="2285">
        <v>39748</v>
      </c>
      <c r="D44" s="2283">
        <v>6.12</v>
      </c>
      <c r="E44" s="2283">
        <v>6.93</v>
      </c>
      <c r="F44" s="2283">
        <v>7.02</v>
      </c>
      <c r="G44" s="2283">
        <v>7.29</v>
      </c>
      <c r="H44" s="2283">
        <v>7.47</v>
      </c>
      <c r="I44" s="2283">
        <v>4.05</v>
      </c>
      <c r="J44" s="2283">
        <v>4.59</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2095</v>
      </c>
      <c r="Y44" s="2283" t="s">
        <v>2095</v>
      </c>
      <c r="Z44" s="2283" t="s">
        <v>2095</v>
      </c>
    </row>
    <row r="45" spans="2:26">
      <c r="B45" s="2283"/>
      <c r="C45" s="2284">
        <v>39730</v>
      </c>
      <c r="D45" s="2283">
        <v>6.12</v>
      </c>
      <c r="E45" s="2283">
        <v>6.93</v>
      </c>
      <c r="F45" s="2283">
        <v>7.02</v>
      </c>
      <c r="G45" s="2283">
        <v>7.29</v>
      </c>
      <c r="H45" s="2283">
        <v>7.47</v>
      </c>
      <c r="I45" s="2283">
        <v>4.32</v>
      </c>
      <c r="J45" s="2283">
        <v>4.8600000000000003</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2095</v>
      </c>
      <c r="Y45" s="2283" t="s">
        <v>2095</v>
      </c>
      <c r="Z45" s="2283" t="s">
        <v>2095</v>
      </c>
    </row>
    <row r="46" spans="2:26">
      <c r="B46" s="2283"/>
      <c r="C46" s="2284">
        <v>39707</v>
      </c>
      <c r="D46" s="2283">
        <v>6.21</v>
      </c>
      <c r="E46" s="2283">
        <v>7.2</v>
      </c>
      <c r="F46" s="2283">
        <v>7.29</v>
      </c>
      <c r="G46" s="2283">
        <v>7.56</v>
      </c>
      <c r="H46" s="2283">
        <v>7.74</v>
      </c>
      <c r="I46" s="2283">
        <v>4.59</v>
      </c>
      <c r="J46" s="2283">
        <v>5.13</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2095</v>
      </c>
      <c r="Y46" s="2283" t="s">
        <v>2095</v>
      </c>
      <c r="Z46" s="2283" t="s">
        <v>2095</v>
      </c>
    </row>
    <row r="47" spans="2:26">
      <c r="B47" s="2283"/>
      <c r="C47" s="2284">
        <v>39437</v>
      </c>
      <c r="D47" s="2283">
        <v>6.57</v>
      </c>
      <c r="E47" s="2283">
        <v>7.47</v>
      </c>
      <c r="F47" s="2283">
        <v>7.56</v>
      </c>
      <c r="G47" s="2283">
        <v>7.74</v>
      </c>
      <c r="H47" s="2283">
        <v>7.83</v>
      </c>
      <c r="I47" s="2283">
        <v>4.7699999999999996</v>
      </c>
      <c r="J47" s="2283">
        <v>5.22</v>
      </c>
      <c r="L47" s="2283"/>
      <c r="M47" s="2284">
        <v>34161</v>
      </c>
      <c r="N47" s="2283">
        <v>3.15</v>
      </c>
      <c r="O47" s="2283">
        <v>6.66</v>
      </c>
      <c r="P47" s="2283">
        <v>9</v>
      </c>
      <c r="Q47" s="2283">
        <v>10.98</v>
      </c>
      <c r="R47" s="2283">
        <v>11.7</v>
      </c>
      <c r="S47" s="2283">
        <v>12.24</v>
      </c>
      <c r="T47" s="2283">
        <v>13.86</v>
      </c>
      <c r="U47" s="2283">
        <v>9</v>
      </c>
      <c r="V47" s="2283">
        <v>10.98</v>
      </c>
      <c r="W47" s="2283">
        <v>12.24</v>
      </c>
      <c r="X47" s="2283" t="s">
        <v>2095</v>
      </c>
      <c r="Y47" s="2283" t="s">
        <v>2095</v>
      </c>
      <c r="Z47" s="2283" t="s">
        <v>2095</v>
      </c>
    </row>
    <row r="48" spans="2:26">
      <c r="B48" s="2283"/>
      <c r="C48" s="2284">
        <v>39340</v>
      </c>
      <c r="D48" s="2283">
        <v>6.48</v>
      </c>
      <c r="E48" s="2283">
        <v>7.29</v>
      </c>
      <c r="F48" s="2283">
        <v>7.47</v>
      </c>
      <c r="G48" s="2283">
        <v>7.65</v>
      </c>
      <c r="H48" s="2283">
        <v>7.83</v>
      </c>
      <c r="I48" s="2283">
        <v>4.7699999999999996</v>
      </c>
      <c r="J48" s="2283">
        <v>5.22</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2095</v>
      </c>
      <c r="Y48" s="2283" t="s">
        <v>2095</v>
      </c>
      <c r="Z48" s="2283" t="s">
        <v>2095</v>
      </c>
    </row>
    <row r="49" spans="2:26">
      <c r="B49" s="2283"/>
      <c r="C49" s="2284">
        <v>39316</v>
      </c>
      <c r="D49" s="2283">
        <v>6.21</v>
      </c>
      <c r="E49" s="2283">
        <v>7.02</v>
      </c>
      <c r="F49" s="2283">
        <v>7.2</v>
      </c>
      <c r="G49" s="2283">
        <v>7.38</v>
      </c>
      <c r="H49" s="2283">
        <v>7.56</v>
      </c>
      <c r="I49" s="2283">
        <v>4.59</v>
      </c>
      <c r="J49" s="2283">
        <v>5.04</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2095</v>
      </c>
      <c r="Y49" s="2283" t="s">
        <v>2095</v>
      </c>
      <c r="Z49" s="2283" t="s">
        <v>2095</v>
      </c>
    </row>
    <row r="50" spans="2:26">
      <c r="B50" s="2283"/>
      <c r="C50" s="2284">
        <v>39284</v>
      </c>
      <c r="D50" s="2283">
        <v>6.03</v>
      </c>
      <c r="E50" s="2283">
        <v>6.84</v>
      </c>
      <c r="F50" s="2283">
        <v>7.02</v>
      </c>
      <c r="G50" s="2283">
        <v>7.2</v>
      </c>
      <c r="H50" s="2283">
        <v>7.38</v>
      </c>
      <c r="I50" s="2283">
        <v>4.5</v>
      </c>
      <c r="J50" s="2283">
        <v>4.95</v>
      </c>
      <c r="L50" s="2283"/>
      <c r="M50" s="2284">
        <v>33106</v>
      </c>
      <c r="N50" s="2283">
        <v>2.16</v>
      </c>
      <c r="O50" s="2283">
        <v>4.32</v>
      </c>
      <c r="P50" s="2283">
        <v>6.48</v>
      </c>
      <c r="Q50" s="2283">
        <v>8.64</v>
      </c>
      <c r="R50" s="2283">
        <v>9.36</v>
      </c>
      <c r="S50" s="2283">
        <v>10.08</v>
      </c>
      <c r="T50" s="2283">
        <v>11.52</v>
      </c>
      <c r="U50" s="2283">
        <v>7.2</v>
      </c>
      <c r="V50" s="2283">
        <v>8.64</v>
      </c>
      <c r="W50" s="2283">
        <v>10.08</v>
      </c>
      <c r="X50" s="2283" t="s">
        <v>2095</v>
      </c>
      <c r="Y50" s="2283" t="s">
        <v>2095</v>
      </c>
      <c r="Z50" s="2283" t="s">
        <v>2095</v>
      </c>
    </row>
    <row r="51" spans="2:26">
      <c r="B51" s="2283"/>
      <c r="C51" s="2284">
        <v>39221</v>
      </c>
      <c r="D51" s="2283">
        <v>5.85</v>
      </c>
      <c r="E51" s="2283">
        <v>6.57</v>
      </c>
      <c r="F51" s="2283">
        <v>6.75</v>
      </c>
      <c r="G51" s="2283">
        <v>6.93</v>
      </c>
      <c r="H51" s="2283">
        <v>7.2</v>
      </c>
      <c r="I51" s="2283">
        <v>4.41</v>
      </c>
      <c r="J51" s="2283">
        <v>4.8600000000000003</v>
      </c>
      <c r="L51" s="2283"/>
      <c r="M51" s="2284">
        <v>32978</v>
      </c>
      <c r="N51" s="2283">
        <v>2.88</v>
      </c>
      <c r="O51" s="2283">
        <v>6.3</v>
      </c>
      <c r="P51" s="2283">
        <v>7.74</v>
      </c>
      <c r="Q51" s="2283">
        <v>10.08</v>
      </c>
      <c r="R51" s="2283">
        <v>10.98</v>
      </c>
      <c r="S51" s="2283">
        <v>11.88</v>
      </c>
      <c r="T51" s="2283">
        <v>13.68</v>
      </c>
      <c r="U51" s="2283" t="s">
        <v>2095</v>
      </c>
      <c r="V51" s="2283" t="s">
        <v>2095</v>
      </c>
      <c r="W51" s="2283" t="s">
        <v>2095</v>
      </c>
      <c r="X51" s="2283" t="s">
        <v>2095</v>
      </c>
      <c r="Y51" s="2283" t="s">
        <v>2095</v>
      </c>
      <c r="Z51" s="2283" t="s">
        <v>2095</v>
      </c>
    </row>
    <row r="52" spans="2:26">
      <c r="B52" s="2283"/>
      <c r="C52" s="2284">
        <v>39159</v>
      </c>
      <c r="D52" s="2283">
        <v>5.67</v>
      </c>
      <c r="E52" s="2283">
        <v>6.39</v>
      </c>
      <c r="F52" s="2283">
        <v>6.57</v>
      </c>
      <c r="G52" s="2283">
        <v>6.75</v>
      </c>
      <c r="H52" s="2283">
        <v>7.11</v>
      </c>
      <c r="I52" s="2283">
        <v>4.32</v>
      </c>
      <c r="J52" s="2283">
        <v>4.7699999999999996</v>
      </c>
      <c r="L52" s="2283"/>
      <c r="M52" s="2284"/>
      <c r="N52" s="2283"/>
      <c r="O52" s="2283"/>
      <c r="P52" s="2283"/>
      <c r="Q52" s="2283"/>
      <c r="R52" s="2283"/>
      <c r="S52" s="2283"/>
      <c r="T52" s="2283"/>
      <c r="U52" s="2283"/>
      <c r="V52" s="2283"/>
      <c r="W52" s="2283"/>
      <c r="X52" s="2283"/>
      <c r="Y52" s="2283"/>
      <c r="Z52" s="2283"/>
    </row>
    <row r="53" spans="2:26">
      <c r="B53" s="2283"/>
      <c r="C53" s="2284">
        <v>38948</v>
      </c>
      <c r="D53" s="2283">
        <v>5.58</v>
      </c>
      <c r="E53" s="2283">
        <v>6.12</v>
      </c>
      <c r="F53" s="2283">
        <v>6.3</v>
      </c>
      <c r="G53" s="2283">
        <v>6.48</v>
      </c>
      <c r="H53" s="2283">
        <v>6.84</v>
      </c>
      <c r="I53" s="2283">
        <v>4.1399999999999997</v>
      </c>
      <c r="J53" s="2283">
        <v>4.59</v>
      </c>
      <c r="L53" s="2283"/>
      <c r="M53" s="2284"/>
      <c r="N53" s="2283"/>
      <c r="O53" s="2283"/>
      <c r="P53" s="2283"/>
      <c r="Q53" s="2283"/>
      <c r="R53" s="2283"/>
      <c r="S53" s="2283"/>
      <c r="T53" s="2283"/>
      <c r="U53" s="2283"/>
      <c r="V53" s="2283"/>
      <c r="W53" s="2283"/>
      <c r="X53" s="2283"/>
      <c r="Y53" s="2283"/>
      <c r="Z53" s="2283"/>
    </row>
    <row r="54" spans="2:26">
      <c r="B54" s="2283"/>
      <c r="C54" s="2284">
        <v>38835</v>
      </c>
      <c r="D54" s="2283">
        <v>5.4</v>
      </c>
      <c r="E54" s="2283">
        <v>5.85</v>
      </c>
      <c r="F54" s="2283">
        <v>6.03</v>
      </c>
      <c r="G54" s="2283">
        <v>6.12</v>
      </c>
      <c r="H54" s="2283">
        <v>6.39</v>
      </c>
      <c r="I54" s="2283">
        <v>4.1399999999999997</v>
      </c>
      <c r="J54" s="2283">
        <v>4.59</v>
      </c>
      <c r="L54" s="2283"/>
      <c r="M54" s="2284"/>
      <c r="N54" s="2283"/>
      <c r="O54" s="2283"/>
      <c r="P54" s="2283"/>
      <c r="Q54" s="2283"/>
      <c r="R54" s="2283"/>
      <c r="S54" s="2283"/>
      <c r="T54" s="2283"/>
      <c r="U54" s="2283"/>
      <c r="V54" s="2283"/>
      <c r="W54" s="2283"/>
      <c r="X54" s="2283"/>
      <c r="Y54" s="2283"/>
      <c r="Z54" s="2283"/>
    </row>
    <row r="55" spans="2:26">
      <c r="B55" s="2283"/>
      <c r="C55" s="2284">
        <v>38428</v>
      </c>
      <c r="D55" s="2283">
        <v>5.22</v>
      </c>
      <c r="E55" s="2283">
        <v>5.58</v>
      </c>
      <c r="F55" s="2283">
        <v>5.76</v>
      </c>
      <c r="G55" s="2283">
        <v>5.85</v>
      </c>
      <c r="H55" s="2283">
        <v>6.12</v>
      </c>
      <c r="I55" s="2283">
        <v>3.96</v>
      </c>
      <c r="J55" s="2283">
        <v>4.41</v>
      </c>
      <c r="L55" s="2283"/>
      <c r="M55" s="2284"/>
      <c r="N55" s="2283"/>
      <c r="O55" s="2283"/>
      <c r="P55" s="2283"/>
      <c r="Q55" s="2283"/>
      <c r="R55" s="2283"/>
      <c r="S55" s="2283"/>
      <c r="T55" s="2283"/>
      <c r="U55" s="2283"/>
      <c r="V55" s="2283"/>
      <c r="W55" s="2283"/>
      <c r="X55" s="2283"/>
      <c r="Y55" s="2283"/>
      <c r="Z55" s="2283"/>
    </row>
    <row r="56" spans="2:26">
      <c r="B56" s="2283"/>
      <c r="C56" s="2284">
        <v>38289</v>
      </c>
      <c r="D56" s="2283">
        <v>5.22</v>
      </c>
      <c r="E56" s="2283">
        <v>5.58</v>
      </c>
      <c r="F56" s="2283">
        <v>5.76</v>
      </c>
      <c r="G56" s="2283">
        <v>5.85</v>
      </c>
      <c r="H56" s="2283">
        <v>6.12</v>
      </c>
      <c r="I56" s="2283">
        <v>3.78</v>
      </c>
      <c r="J56" s="2283">
        <v>4.2300000000000004</v>
      </c>
      <c r="L56" s="2283"/>
      <c r="M56" s="2284"/>
      <c r="N56" s="2283"/>
      <c r="O56" s="2283"/>
      <c r="P56" s="2283"/>
      <c r="Q56" s="2283"/>
      <c r="R56" s="2283"/>
      <c r="S56" s="2283"/>
      <c r="T56" s="2283"/>
      <c r="U56" s="2283"/>
      <c r="V56" s="2283"/>
      <c r="W56" s="2283"/>
      <c r="X56" s="2283"/>
      <c r="Y56" s="2283"/>
      <c r="Z56" s="2283"/>
    </row>
    <row r="57" spans="2:26">
      <c r="B57" s="2283"/>
      <c r="C57" s="2284">
        <v>37308</v>
      </c>
      <c r="D57" s="2283">
        <v>5.04</v>
      </c>
      <c r="E57" s="2283">
        <v>5.31</v>
      </c>
      <c r="F57" s="2283">
        <v>5.49</v>
      </c>
      <c r="G57" s="2283">
        <v>5.58</v>
      </c>
      <c r="H57" s="2283">
        <v>5.76</v>
      </c>
      <c r="I57" s="2283">
        <v>3.6</v>
      </c>
      <c r="J57" s="2283">
        <v>4.05</v>
      </c>
      <c r="L57" s="2283"/>
      <c r="M57" s="2284"/>
      <c r="N57" s="2283"/>
      <c r="O57" s="2283"/>
      <c r="P57" s="2283"/>
      <c r="Q57" s="2283"/>
      <c r="R57" s="2283"/>
      <c r="S57" s="2283"/>
      <c r="T57" s="2283"/>
      <c r="U57" s="2283"/>
      <c r="V57" s="2283"/>
      <c r="W57" s="2283"/>
      <c r="X57" s="2283"/>
      <c r="Y57" s="2283"/>
      <c r="Z57" s="2283"/>
    </row>
    <row r="58" spans="2:26">
      <c r="B58" s="2283"/>
      <c r="C58" s="2284">
        <v>36321</v>
      </c>
      <c r="D58" s="2283">
        <v>5.58</v>
      </c>
      <c r="E58" s="2283">
        <v>5.85</v>
      </c>
      <c r="F58" s="2283">
        <v>5.94</v>
      </c>
      <c r="G58" s="2283">
        <v>6.03</v>
      </c>
      <c r="H58" s="2283">
        <v>6.21</v>
      </c>
      <c r="I58" s="2283">
        <v>4.1399999999999997</v>
      </c>
      <c r="J58" s="2283">
        <v>4.59</v>
      </c>
    </row>
    <row r="59" spans="2:26">
      <c r="B59" s="2283"/>
      <c r="C59" s="2284">
        <v>36136</v>
      </c>
      <c r="D59" s="2283">
        <v>6.12</v>
      </c>
      <c r="E59" s="2283">
        <v>6.39</v>
      </c>
      <c r="F59" s="2283">
        <v>6.66</v>
      </c>
      <c r="G59" s="2283">
        <v>7.2</v>
      </c>
      <c r="H59" s="2283">
        <v>7.56</v>
      </c>
      <c r="I59" s="2283">
        <v>0</v>
      </c>
      <c r="J59" s="2283">
        <v>0</v>
      </c>
    </row>
    <row r="60" spans="2:26">
      <c r="B60" s="2283"/>
      <c r="C60" s="2284">
        <v>35977</v>
      </c>
      <c r="D60" s="2283">
        <v>6.57</v>
      </c>
      <c r="E60" s="2283">
        <v>6.93</v>
      </c>
      <c r="F60" s="2283">
        <v>7.11</v>
      </c>
      <c r="G60" s="2283">
        <v>7.65</v>
      </c>
      <c r="H60" s="2283">
        <v>8.01</v>
      </c>
      <c r="I60" s="2283">
        <v>0</v>
      </c>
      <c r="J60" s="2283">
        <v>0</v>
      </c>
    </row>
    <row r="61" spans="2:26">
      <c r="B61" s="2283"/>
      <c r="C61" s="2284">
        <v>35879</v>
      </c>
      <c r="D61" s="2283">
        <v>7.02</v>
      </c>
      <c r="E61" s="2283">
        <v>7.92</v>
      </c>
      <c r="F61" s="2283">
        <v>9</v>
      </c>
      <c r="G61" s="2283">
        <v>9.7200000000000006</v>
      </c>
      <c r="H61" s="2283">
        <v>10.35</v>
      </c>
      <c r="I61" s="2283">
        <v>0</v>
      </c>
      <c r="J61" s="2283">
        <v>0</v>
      </c>
    </row>
    <row r="62" spans="2:26">
      <c r="B62" s="2283"/>
      <c r="C62" s="2284">
        <v>35726</v>
      </c>
      <c r="D62" s="2283">
        <v>7.65</v>
      </c>
      <c r="E62" s="2283">
        <v>8.64</v>
      </c>
      <c r="F62" s="2283">
        <v>9.36</v>
      </c>
      <c r="G62" s="2283">
        <v>9.9</v>
      </c>
      <c r="H62" s="2283">
        <v>10.53</v>
      </c>
      <c r="I62" s="2283">
        <v>0</v>
      </c>
      <c r="J62" s="2283">
        <v>0</v>
      </c>
    </row>
    <row r="63" spans="2:26">
      <c r="B63" s="2283"/>
      <c r="C63" s="2284">
        <v>35300</v>
      </c>
      <c r="D63" s="2283">
        <v>9.18</v>
      </c>
      <c r="E63" s="2283">
        <v>10.08</v>
      </c>
      <c r="F63" s="2283">
        <v>10.98</v>
      </c>
      <c r="G63" s="2283">
        <v>11.7</v>
      </c>
      <c r="H63" s="2283">
        <v>12.42</v>
      </c>
      <c r="I63" s="2283">
        <v>0</v>
      </c>
      <c r="J63" s="2283">
        <v>0</v>
      </c>
    </row>
    <row r="64" spans="2:26">
      <c r="B64" s="2283"/>
      <c r="C64" s="2284">
        <v>35186</v>
      </c>
      <c r="D64" s="2283">
        <v>9.7200000000000006</v>
      </c>
      <c r="E64" s="2283">
        <v>10.98</v>
      </c>
      <c r="F64" s="2283">
        <v>13.14</v>
      </c>
      <c r="G64" s="2283">
        <v>14.94</v>
      </c>
      <c r="H64" s="2283">
        <v>15.12</v>
      </c>
      <c r="I64" s="2283">
        <v>0</v>
      </c>
      <c r="J64" s="2283">
        <v>0</v>
      </c>
    </row>
    <row r="65" spans="2:10">
      <c r="B65" s="2283"/>
      <c r="C65" s="2284">
        <v>34881</v>
      </c>
      <c r="D65" s="2283">
        <v>10.08</v>
      </c>
      <c r="E65" s="2283">
        <v>12.06</v>
      </c>
      <c r="F65" s="2283">
        <v>13.5</v>
      </c>
      <c r="G65" s="2283">
        <v>15.12</v>
      </c>
      <c r="H65" s="2283">
        <v>15.3</v>
      </c>
      <c r="I65" s="2283">
        <v>0</v>
      </c>
      <c r="J65" s="2283">
        <v>0</v>
      </c>
    </row>
    <row r="66" spans="2:10">
      <c r="B66" s="2283"/>
      <c r="C66" s="2284">
        <v>34700</v>
      </c>
      <c r="D66" s="2283">
        <v>9</v>
      </c>
      <c r="E66" s="2283">
        <v>10.98</v>
      </c>
      <c r="F66" s="2283">
        <v>12.96</v>
      </c>
      <c r="G66" s="2283">
        <v>14.58</v>
      </c>
      <c r="H66" s="2283">
        <v>14.76</v>
      </c>
      <c r="I66" s="2283">
        <v>0</v>
      </c>
      <c r="J66" s="2283">
        <v>0</v>
      </c>
    </row>
    <row r="67" spans="2:10">
      <c r="B67" s="2283"/>
      <c r="C67" s="2284">
        <v>34161</v>
      </c>
      <c r="D67" s="2283">
        <v>9</v>
      </c>
      <c r="E67" s="2283">
        <v>10.98</v>
      </c>
      <c r="F67" s="2283">
        <v>12.24</v>
      </c>
      <c r="G67" s="2283">
        <v>13.86</v>
      </c>
      <c r="H67" s="2283">
        <v>14.04</v>
      </c>
      <c r="I67" s="2283">
        <v>0</v>
      </c>
      <c r="J67" s="2283">
        <v>0</v>
      </c>
    </row>
    <row r="68" spans="2:10">
      <c r="B68" s="2283"/>
      <c r="C68" s="2284">
        <v>34104</v>
      </c>
      <c r="D68" s="2283">
        <v>8.82</v>
      </c>
      <c r="E68" s="2283">
        <v>9.36</v>
      </c>
      <c r="F68" s="2283">
        <v>10.8</v>
      </c>
      <c r="G68" s="2283">
        <v>12.06</v>
      </c>
      <c r="H68" s="2283">
        <v>12.24</v>
      </c>
      <c r="I68" s="2283">
        <v>0</v>
      </c>
      <c r="J68" s="2283">
        <v>0</v>
      </c>
    </row>
    <row r="69" spans="2:10">
      <c r="B69" s="2283"/>
      <c r="C69" s="2284">
        <v>33349</v>
      </c>
      <c r="D69" s="2283">
        <v>8.1</v>
      </c>
      <c r="E69" s="2283">
        <v>8.64</v>
      </c>
      <c r="F69" s="2283">
        <v>9</v>
      </c>
      <c r="G69" s="2283">
        <v>9.5399999999999991</v>
      </c>
      <c r="H69" s="2283">
        <v>9.7200000000000006</v>
      </c>
      <c r="I69" s="2283">
        <v>0</v>
      </c>
      <c r="J69" s="2283">
        <v>0</v>
      </c>
    </row>
    <row r="70" spans="2:10">
      <c r="B70" s="2283"/>
      <c r="C70" s="2284">
        <v>33318</v>
      </c>
      <c r="D70" s="2283">
        <v>9</v>
      </c>
      <c r="E70" s="2283">
        <v>10.08</v>
      </c>
      <c r="F70" s="2283">
        <v>10.8</v>
      </c>
      <c r="G70" s="2283">
        <v>11.52</v>
      </c>
      <c r="H70" s="2283">
        <v>11.88</v>
      </c>
      <c r="I70" s="2283" t="s">
        <v>2095</v>
      </c>
      <c r="J70" s="2283" t="s">
        <v>2095</v>
      </c>
    </row>
    <row r="71" spans="2:10">
      <c r="B71" s="2283"/>
      <c r="C71" s="2284">
        <v>33106</v>
      </c>
      <c r="D71" s="2283">
        <v>8.64</v>
      </c>
      <c r="E71" s="2283">
        <v>9.36</v>
      </c>
      <c r="F71" s="2283">
        <v>10.08</v>
      </c>
      <c r="G71" s="2283">
        <v>10.8</v>
      </c>
      <c r="H71" s="2283">
        <v>11.16</v>
      </c>
      <c r="I71" s="2283">
        <v>0</v>
      </c>
      <c r="J71" s="2283">
        <v>0</v>
      </c>
    </row>
    <row r="72" spans="2:10">
      <c r="B72" s="2283"/>
      <c r="C72" s="2284">
        <v>32540</v>
      </c>
      <c r="D72" s="2283">
        <v>11.34</v>
      </c>
      <c r="E72" s="2283">
        <v>11.34</v>
      </c>
      <c r="F72" s="2283">
        <v>12.78</v>
      </c>
      <c r="G72" s="2283">
        <v>14.4</v>
      </c>
      <c r="H72" s="2283">
        <v>19.260000000000002</v>
      </c>
      <c r="I72" s="2283">
        <v>0</v>
      </c>
      <c r="J72" s="2283">
        <v>0</v>
      </c>
    </row>
    <row r="73" spans="2:10">
      <c r="B73" s="2283"/>
      <c r="C73" s="2284"/>
      <c r="D73" s="2283"/>
      <c r="E73" s="2283"/>
      <c r="F73" s="2283"/>
      <c r="G73" s="2283"/>
      <c r="H73" s="2283"/>
      <c r="I73" s="2283"/>
      <c r="J73" s="2283"/>
    </row>
    <row r="74" spans="2:10">
      <c r="B74" s="2286"/>
      <c r="C74" s="2287"/>
      <c r="D74" s="2286"/>
      <c r="E74" s="2286"/>
      <c r="F74" s="2286"/>
      <c r="G74" s="2286"/>
      <c r="H74" s="2286"/>
      <c r="I74" s="2286"/>
      <c r="J74" s="2286"/>
    </row>
    <row r="75" spans="2:10">
      <c r="B75" s="2286"/>
      <c r="C75" s="2287"/>
      <c r="D75" s="2286"/>
      <c r="E75" s="2286"/>
      <c r="F75" s="2286"/>
      <c r="G75" s="2286"/>
      <c r="H75" s="2286"/>
      <c r="I75" s="2286"/>
      <c r="J75" s="2286"/>
    </row>
    <row r="76" spans="2:10">
      <c r="B76" s="2286"/>
      <c r="C76" s="2287"/>
      <c r="D76" s="2286"/>
      <c r="E76" s="2286"/>
      <c r="F76" s="2286"/>
      <c r="G76" s="2286"/>
      <c r="H76" s="2286"/>
      <c r="I76" s="2286"/>
      <c r="J76" s="2286"/>
    </row>
    <row r="77" spans="2:10">
      <c r="B77" s="2236"/>
      <c r="C77" s="2236"/>
      <c r="D77" s="2236"/>
      <c r="E77" s="2236"/>
      <c r="F77" s="2236"/>
      <c r="G77" s="2236"/>
      <c r="H77" s="2236"/>
      <c r="I77" s="2236"/>
      <c r="J77" s="2236"/>
    </row>
    <row r="78" spans="2:10">
      <c r="B78" s="2236"/>
      <c r="C78" s="2236"/>
      <c r="D78" s="2236"/>
      <c r="E78" s="2236"/>
      <c r="F78" s="2236"/>
      <c r="G78" s="2236"/>
      <c r="H78" s="2236"/>
      <c r="I78" s="2236"/>
      <c r="J78" s="223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42" t="s">
        <v>1556</v>
      </c>
      <c r="B1" s="3442"/>
      <c r="C1" s="3442"/>
      <c r="D1" s="3442"/>
      <c r="E1" s="3442"/>
      <c r="F1" s="3442"/>
      <c r="G1" s="3442"/>
      <c r="H1" s="3442"/>
      <c r="I1" s="3442"/>
      <c r="J1" s="3442"/>
      <c r="K1" s="3442"/>
      <c r="L1" s="3442"/>
      <c r="M1" s="3442"/>
      <c r="N1" s="3442"/>
      <c r="O1" s="3442"/>
      <c r="P1" s="3442"/>
      <c r="Q1" s="3442"/>
      <c r="R1" s="3442"/>
    </row>
    <row r="2" spans="1:18">
      <c r="A2" s="1501" t="s">
        <v>1558</v>
      </c>
      <c r="B2" s="1501"/>
      <c r="C2" s="1501"/>
      <c r="D2" s="1501"/>
      <c r="E2" s="1501"/>
      <c r="F2" s="1501"/>
      <c r="G2" s="1501"/>
      <c r="H2" s="1501"/>
      <c r="I2" s="1502"/>
      <c r="J2" s="1502"/>
      <c r="K2" s="1503" t="str">
        <f>"估价期日："&amp;TEXT(项目基本情况!D3,"yyyy年m月d日;;")</f>
        <v>估价期日：2025年7月11日</v>
      </c>
      <c r="L2" s="1501"/>
      <c r="M2" s="1501"/>
      <c r="N2" s="1501"/>
      <c r="O2" s="1501"/>
      <c r="P2" s="1501"/>
      <c r="Q2" s="1501"/>
      <c r="R2" s="1503" t="str">
        <f>"估价期日的国有建设用地使用权性质："&amp;项目基本情况!A17</f>
        <v>估价期日的国有建设用地使用权性质：出让</v>
      </c>
    </row>
    <row r="3" spans="1:18" ht="23.25" customHeight="1">
      <c r="A3" s="3443" t="s">
        <v>1547</v>
      </c>
      <c r="B3" s="3443" t="s">
        <v>2013</v>
      </c>
      <c r="C3" s="3444" t="s">
        <v>1548</v>
      </c>
      <c r="D3" s="3443" t="s">
        <v>2017</v>
      </c>
      <c r="E3" s="3445" t="s">
        <v>1549</v>
      </c>
      <c r="F3" s="3445"/>
      <c r="G3" s="3445"/>
      <c r="H3" s="3445" t="s">
        <v>1550</v>
      </c>
      <c r="I3" s="3445"/>
      <c r="J3" s="3445"/>
      <c r="K3" s="3444" t="s">
        <v>1551</v>
      </c>
      <c r="L3" s="3444" t="s">
        <v>1552</v>
      </c>
      <c r="M3" s="3443" t="s">
        <v>2014</v>
      </c>
      <c r="N3" s="3443" t="str">
        <f>"（分摊）"&amp;项目基本情况!A17&amp;"国有建设用地使用权面积/㎡"</f>
        <v>（分摊）出让国有建设用地使用权面积/㎡</v>
      </c>
      <c r="O3" s="3443" t="s">
        <v>1581</v>
      </c>
      <c r="P3" s="3444" t="s">
        <v>1561</v>
      </c>
      <c r="Q3" s="3444" t="s">
        <v>1582</v>
      </c>
      <c r="R3" s="3444" t="s">
        <v>1553</v>
      </c>
    </row>
    <row r="4" spans="1:18" ht="36.75" customHeight="1">
      <c r="A4" s="3443"/>
      <c r="B4" s="3443"/>
      <c r="C4" s="3444"/>
      <c r="D4" s="3443"/>
      <c r="E4" s="1504" t="s">
        <v>1560</v>
      </c>
      <c r="F4" s="1504" t="s">
        <v>2026</v>
      </c>
      <c r="G4" s="1504" t="s">
        <v>1554</v>
      </c>
      <c r="H4" s="1504" t="s">
        <v>1555</v>
      </c>
      <c r="I4" s="1504" t="s">
        <v>2027</v>
      </c>
      <c r="J4" s="1504" t="s">
        <v>1554</v>
      </c>
      <c r="K4" s="3444"/>
      <c r="L4" s="3444"/>
      <c r="M4" s="3443"/>
      <c r="N4" s="3443"/>
      <c r="O4" s="3443"/>
      <c r="P4" s="3444"/>
      <c r="Q4" s="3444"/>
      <c r="R4" s="3444"/>
    </row>
    <row r="5" spans="1:18" ht="135" customHeight="1">
      <c r="A5" s="1601" t="s">
        <v>1937</v>
      </c>
      <c r="B5" s="2171" t="s">
        <v>1935</v>
      </c>
      <c r="C5" s="2088">
        <v>22</v>
      </c>
      <c r="D5" s="2087" t="s">
        <v>1936</v>
      </c>
      <c r="E5" s="1504" t="str">
        <f>项目基本情况!B12</f>
        <v>商业、住宅</v>
      </c>
      <c r="F5" s="2087">
        <v>258</v>
      </c>
      <c r="G5" s="1504">
        <f>项目基本情况!B13</f>
        <v>0</v>
      </c>
      <c r="H5" s="2087">
        <v>1.5</v>
      </c>
      <c r="I5" s="2087">
        <v>1.5</v>
      </c>
      <c r="J5" s="2087">
        <v>1.5</v>
      </c>
      <c r="K5" s="1504" t="str">
        <f>"红线外"&amp;项目基本情况!T40&amp;"、宗地红线内"&amp;项目基本情况!B35</f>
        <v>红线外七通、宗地红线内</v>
      </c>
      <c r="L5" s="1504" t="str">
        <f>"红线外"&amp;项目基本情况!T40&amp;"、宗地红线内场地"&amp;项目基本情况!D36</f>
        <v>红线外七通、宗地红线内场地</v>
      </c>
      <c r="M5" s="1504">
        <f>IF(项目基本情况!A17="出让",项目基本情况!D20,"——")</f>
        <v>0</v>
      </c>
      <c r="N5" s="1504">
        <f>项目基本情况!C22</f>
        <v>21555</v>
      </c>
      <c r="O5" s="1504">
        <f>项目基本情况!C21</f>
        <v>28022</v>
      </c>
      <c r="P5" s="1504">
        <f ca="1">结果表!E42</f>
        <v>7432</v>
      </c>
      <c r="Q5" s="1504">
        <f ca="1">结果表!D42</f>
        <v>5717</v>
      </c>
      <c r="R5" s="1505">
        <f ca="1">结果表!C42</f>
        <v>16020</v>
      </c>
    </row>
    <row r="6" spans="1:18">
      <c r="A6" s="3439" t="str">
        <f>IF(项目基本情况!B9="市场价格","——","抵押价格")</f>
        <v>抵押价格</v>
      </c>
      <c r="B6" s="3440"/>
      <c r="C6" s="3440"/>
      <c r="D6" s="3440"/>
      <c r="E6" s="3440"/>
      <c r="F6" s="3440"/>
      <c r="G6" s="3440"/>
      <c r="H6" s="3440"/>
      <c r="I6" s="3440"/>
      <c r="J6" s="3440"/>
      <c r="K6" s="3440"/>
      <c r="L6" s="3440"/>
      <c r="M6" s="3440"/>
      <c r="N6" s="3440"/>
      <c r="O6" s="3440"/>
      <c r="P6" s="3440"/>
      <c r="Q6" s="3441"/>
      <c r="R6" s="1506">
        <f ca="1">结果表!O39</f>
        <v>16020</v>
      </c>
    </row>
    <row r="7" spans="1:18">
      <c r="A7" s="3439" t="str">
        <f>IF(项目基本情况!B9="市场价格","——",IF(项目基本情况!E8="已注销及未注销","抵押担保权已注销时的抵押价格","——"))</f>
        <v>——</v>
      </c>
      <c r="B7" s="3440"/>
      <c r="C7" s="3440"/>
      <c r="D7" s="3440"/>
      <c r="E7" s="3440"/>
      <c r="F7" s="3440"/>
      <c r="G7" s="3440"/>
      <c r="H7" s="3440"/>
      <c r="I7" s="3440"/>
      <c r="J7" s="3440"/>
      <c r="K7" s="3440"/>
      <c r="L7" s="3440"/>
      <c r="M7" s="3440"/>
      <c r="N7" s="3440"/>
      <c r="O7" s="3440"/>
      <c r="P7" s="3440"/>
      <c r="Q7" s="3441"/>
      <c r="R7" s="1506" t="str">
        <f>结果表!O40</f>
        <v>——</v>
      </c>
    </row>
    <row r="8" spans="1:18">
      <c r="A8" s="3439" t="str">
        <f>IF(项目基本情况!B9="市场价格","——",项目基本情况!E9)</f>
        <v>——</v>
      </c>
      <c r="B8" s="3440"/>
      <c r="C8" s="3440"/>
      <c r="D8" s="3440"/>
      <c r="E8" s="3440"/>
      <c r="F8" s="3440"/>
      <c r="G8" s="3440"/>
      <c r="H8" s="3440"/>
      <c r="I8" s="3440"/>
      <c r="J8" s="3440"/>
      <c r="K8" s="3440"/>
      <c r="L8" s="3440"/>
      <c r="M8" s="3440"/>
      <c r="N8" s="3440"/>
      <c r="O8" s="3440"/>
      <c r="P8" s="3440"/>
      <c r="Q8" s="3441"/>
      <c r="R8" s="1506" t="str">
        <f>结果表!O41</f>
        <v>——</v>
      </c>
    </row>
    <row r="9" spans="1:18">
      <c r="A9" s="1507" t="s">
        <v>1559</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1546</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96" customWidth="1"/>
    <col min="2" max="3" width="21.33203125" style="1496" customWidth="1"/>
    <col min="4" max="4" width="19.88671875" style="1496" customWidth="1"/>
    <col min="5" max="16384" width="9" style="1496"/>
  </cols>
  <sheetData>
    <row r="1" spans="1:4">
      <c r="A1" s="3446" t="s">
        <v>1583</v>
      </c>
      <c r="B1" s="3446"/>
      <c r="C1" s="3446"/>
      <c r="D1" s="3446"/>
    </row>
    <row r="2" spans="1:4" ht="47.25" customHeight="1">
      <c r="A2" s="3449" t="str">
        <f>"1.权利限制："&amp;项目基本情况!L24&amp;"未设定租赁等其他他项权利。"</f>
        <v>1.权利限制：根据估价对象《不动产权证书》原件、《国有土地使用权》复印件，截至估价期日，估价对象抵押权未见登记。未设定租赁等其他他项权利。</v>
      </c>
      <c r="B2" s="3449"/>
      <c r="C2" s="3449"/>
      <c r="D2" s="3449"/>
    </row>
    <row r="3" spans="1:4" ht="48" customHeight="1">
      <c r="A3" s="344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6"/>
      <c r="C3" s="3446"/>
      <c r="D3" s="3446"/>
    </row>
    <row r="4" spans="1:4" ht="36.75" customHeight="1">
      <c r="A4" s="3446" t="str">
        <f>"3.估价规划限制条件：详见"&amp;项目基本情况!E21&amp;"。"</f>
        <v>3.估价规划限制条件：详见《建设工程规划许可证》[]、《出让合同》[]。</v>
      </c>
      <c r="B4" s="3446"/>
      <c r="C4" s="3446"/>
      <c r="D4" s="3446"/>
    </row>
    <row r="5" spans="1:4">
      <c r="A5" s="3448" t="s">
        <v>1584</v>
      </c>
      <c r="B5" s="3448"/>
      <c r="C5" s="3448"/>
      <c r="D5" s="3448"/>
    </row>
    <row r="6" spans="1:4">
      <c r="A6" s="3446" t="s">
        <v>1562</v>
      </c>
      <c r="B6" s="3446"/>
      <c r="C6" s="3446"/>
      <c r="D6" s="3446"/>
    </row>
    <row r="7" spans="1:4" ht="33" customHeight="1">
      <c r="A7" s="3446" t="s">
        <v>1857</v>
      </c>
      <c r="B7" s="3446"/>
      <c r="C7" s="3446"/>
      <c r="D7" s="3446"/>
    </row>
    <row r="8" spans="1:4" ht="32.25" customHeight="1">
      <c r="A8" s="34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46"/>
      <c r="C8" s="3446"/>
      <c r="D8" s="3446"/>
    </row>
    <row r="9" spans="1:4" ht="33.75" customHeight="1">
      <c r="A9" s="344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46"/>
      <c r="C9" s="3446"/>
      <c r="D9" s="3446"/>
    </row>
    <row r="10" spans="1:4">
      <c r="A10" s="3446" t="str">
        <f>IF(项目基本情况!B8="抵押","4.估价师所知悉的法定优先受偿款情况为：","——")</f>
        <v>4.估价师所知悉的法定优先受偿款情况为：</v>
      </c>
      <c r="B10" s="3446"/>
      <c r="C10" s="3446"/>
      <c r="D10" s="3446"/>
    </row>
    <row r="11" spans="1:4" ht="37.5" customHeight="1">
      <c r="A11" s="3446" t="str">
        <f>IF(项目基本情况!B8="抵押","（1）"&amp;CONCATENATE(项目基本情况!L24,项目基本情况!L25,项目基本情况!L26),"——")</f>
        <v>（1）根据估价对象《不动产权证书》原件、《国有土地使用权》复印件，截至估价期日，估价对象抵押权未见登记。</v>
      </c>
      <c r="B11" s="3446"/>
      <c r="C11" s="3446"/>
      <c r="D11" s="3446"/>
    </row>
    <row r="12" spans="1:4" ht="168" customHeight="1">
      <c r="A12" s="3448" t="s">
        <v>1586</v>
      </c>
      <c r="B12" s="3448"/>
      <c r="C12" s="3448"/>
      <c r="D12" s="3448"/>
    </row>
    <row r="13" spans="1:4">
      <c r="A13" s="3447" t="s">
        <v>2028</v>
      </c>
      <c r="B13" s="3447"/>
      <c r="C13" s="3447"/>
      <c r="D13" s="3447"/>
    </row>
    <row r="14" spans="1:4">
      <c r="A14" s="3446" t="str">
        <f>IF(项目基本情况!B8="抵押","综上，"&amp;结果表!K47,"——")</f>
        <v>综上，本次评估不存在估价师知悉的法定优先受偿款</v>
      </c>
      <c r="B14" s="3446"/>
      <c r="C14" s="3446"/>
      <c r="D14" s="3446"/>
    </row>
    <row r="15" spans="1:4" ht="58.5" customHeight="1">
      <c r="A15" s="34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6"/>
      <c r="C15" s="3446"/>
      <c r="D15" s="3446"/>
    </row>
    <row r="16" spans="1:4" ht="70.5" customHeight="1">
      <c r="A16" s="34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6"/>
      <c r="C16" s="3446"/>
      <c r="D16" s="3446"/>
    </row>
    <row r="17" spans="1:4">
      <c r="A17" s="3446" t="s">
        <v>1984</v>
      </c>
      <c r="B17" s="3446"/>
      <c r="C17" s="3446"/>
      <c r="D17" s="3446"/>
    </row>
    <row r="18" spans="1:4">
      <c r="A18" s="3446" t="s">
        <v>1976</v>
      </c>
      <c r="B18" s="3446"/>
      <c r="C18" s="3446"/>
      <c r="D18" s="3446"/>
    </row>
    <row r="19" spans="1:4">
      <c r="A19" s="2172" t="s">
        <v>1977</v>
      </c>
      <c r="B19" s="2172" t="s">
        <v>1978</v>
      </c>
      <c r="C19" s="2172" t="s">
        <v>1979</v>
      </c>
      <c r="D19" s="2172" t="s">
        <v>1980</v>
      </c>
    </row>
    <row r="20" spans="1:4">
      <c r="A20" s="2172" t="str">
        <f>项目基本情况!B4</f>
        <v>土地估价师</v>
      </c>
      <c r="B20" s="2172">
        <f>项目基本情况!C4</f>
        <v>0</v>
      </c>
      <c r="C20" s="2174"/>
      <c r="D20" s="1495" t="s">
        <v>1985</v>
      </c>
    </row>
    <row r="21" spans="1:4">
      <c r="A21" s="2172" t="str">
        <f>项目基本情况!D4</f>
        <v>土地估价师</v>
      </c>
      <c r="B21" s="2172">
        <f>项目基本情况!E4</f>
        <v>0</v>
      </c>
      <c r="C21" s="2174"/>
      <c r="D21" s="1495" t="s">
        <v>1986</v>
      </c>
    </row>
    <row r="23" spans="1:4">
      <c r="A23" s="3446" t="s">
        <v>1981</v>
      </c>
      <c r="B23" s="3446"/>
      <c r="C23" s="3446"/>
      <c r="D23" s="3446"/>
    </row>
    <row r="24" spans="1:4">
      <c r="A24" s="2172" t="s">
        <v>1977</v>
      </c>
      <c r="B24" s="2172" t="s">
        <v>1982</v>
      </c>
      <c r="C24" s="2172" t="s">
        <v>1979</v>
      </c>
      <c r="D24" s="2172" t="s">
        <v>1980</v>
      </c>
    </row>
    <row r="25" spans="1:4">
      <c r="A25" s="2175" t="s">
        <v>1983</v>
      </c>
      <c r="B25" s="2172" t="s">
        <v>877</v>
      </c>
      <c r="C25" s="2174"/>
      <c r="D25" s="1495" t="s">
        <v>1986</v>
      </c>
    </row>
    <row r="29" spans="1:4">
      <c r="D29" s="2173" t="s">
        <v>1557</v>
      </c>
    </row>
    <row r="30" spans="1:4">
      <c r="D30" s="2176">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10" customWidth="1"/>
    <col min="2" max="16384" width="14.44140625" style="1008"/>
  </cols>
  <sheetData>
    <row r="1" spans="1:7" s="1006" customFormat="1" ht="17.399999999999999">
      <c r="A1" s="1005" t="s">
        <v>39</v>
      </c>
    </row>
    <row r="3" spans="1:7">
      <c r="A3" s="1007" t="s">
        <v>40</v>
      </c>
      <c r="B3" s="1008" t="s">
        <v>41</v>
      </c>
      <c r="G3" s="1009"/>
    </row>
    <row r="4" spans="1:7">
      <c r="G4" s="1009"/>
    </row>
    <row r="5" spans="1:7">
      <c r="A5" s="1011" t="s">
        <v>19</v>
      </c>
      <c r="B5" s="1008" t="s">
        <v>20</v>
      </c>
      <c r="G5" s="1009"/>
    </row>
    <row r="6" spans="1:7">
      <c r="G6" s="1009"/>
    </row>
    <row r="7" spans="1:7">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4">
      <c r="A15" s="3457" t="s">
        <v>27</v>
      </c>
      <c r="B15" s="3458" t="s">
        <v>784</v>
      </c>
      <c r="C15" s="3454"/>
    </row>
    <row r="16" spans="1:7" ht="14.4">
      <c r="A16" s="3457"/>
      <c r="B16" s="3455" t="s">
        <v>28</v>
      </c>
      <c r="C16" s="1017" t="s">
        <v>27</v>
      </c>
    </row>
    <row r="17" spans="1:3" ht="14.4">
      <c r="A17" s="3457"/>
      <c r="B17" s="3455"/>
      <c r="C17" s="1017" t="s">
        <v>29</v>
      </c>
    </row>
    <row r="18" spans="1:3" ht="14.4">
      <c r="A18" s="3457"/>
      <c r="B18" s="3455"/>
      <c r="C18" s="1017" t="s">
        <v>30</v>
      </c>
    </row>
    <row r="19" spans="1:3" ht="14.4">
      <c r="A19" s="3457"/>
      <c r="B19" s="3453" t="s">
        <v>31</v>
      </c>
      <c r="C19" s="3454"/>
    </row>
    <row r="20" spans="1:3" ht="14.4">
      <c r="A20" s="1018" t="s">
        <v>32</v>
      </c>
      <c r="B20" s="1019"/>
      <c r="C20" s="1020"/>
    </row>
    <row r="21" spans="1:3" ht="14.4">
      <c r="A21" s="3456" t="s">
        <v>33</v>
      </c>
      <c r="B21" s="3453" t="s">
        <v>34</v>
      </c>
      <c r="C21" s="3454"/>
    </row>
    <row r="22" spans="1:3" ht="14.4">
      <c r="A22" s="3456"/>
      <c r="B22" s="3453" t="s">
        <v>35</v>
      </c>
      <c r="C22" s="3454"/>
    </row>
    <row r="23" spans="1:3" ht="14.4">
      <c r="A23" s="3456"/>
      <c r="B23" s="3453" t="s">
        <v>36</v>
      </c>
      <c r="C23" s="3454"/>
    </row>
    <row r="24" spans="1:3" ht="14.4">
      <c r="A24" s="3456"/>
      <c r="B24" s="3459" t="s">
        <v>37</v>
      </c>
      <c r="C24" s="1021" t="s">
        <v>775</v>
      </c>
    </row>
    <row r="25" spans="1:3" ht="14.4">
      <c r="A25" s="3456"/>
      <c r="B25" s="3460"/>
      <c r="C25" s="1021" t="s">
        <v>776</v>
      </c>
    </row>
    <row r="26" spans="1:3" ht="14.4">
      <c r="A26" s="3456"/>
      <c r="B26" s="3460"/>
      <c r="C26" s="1021" t="s">
        <v>777</v>
      </c>
    </row>
    <row r="27" spans="1:3" ht="14.4">
      <c r="A27" s="3456"/>
      <c r="B27" s="3460"/>
      <c r="C27" s="1021" t="s">
        <v>778</v>
      </c>
    </row>
    <row r="28" spans="1:3" ht="14.4">
      <c r="A28" s="3456"/>
      <c r="B28" s="3460"/>
      <c r="C28" s="1021" t="s">
        <v>779</v>
      </c>
    </row>
    <row r="29" spans="1:3" ht="14.4">
      <c r="A29" s="3456"/>
      <c r="B29" s="3460"/>
      <c r="C29" s="1021" t="s">
        <v>780</v>
      </c>
    </row>
    <row r="30" spans="1:3" ht="14.4">
      <c r="A30" s="3456"/>
      <c r="B30" s="3460"/>
      <c r="C30" s="1021" t="s">
        <v>781</v>
      </c>
    </row>
    <row r="31" spans="1:3" ht="14.4">
      <c r="A31" s="3456"/>
      <c r="B31" s="3460"/>
      <c r="C31" s="1021" t="s">
        <v>782</v>
      </c>
    </row>
    <row r="32" spans="1:3" ht="14.4">
      <c r="A32" s="3456"/>
      <c r="B32" s="3460"/>
      <c r="C32" s="1021" t="s">
        <v>1181</v>
      </c>
    </row>
    <row r="33" spans="1:3" ht="14.4">
      <c r="A33" s="3456"/>
      <c r="B33" s="3450" t="s">
        <v>1187</v>
      </c>
      <c r="C33" s="1021" t="s">
        <v>1182</v>
      </c>
    </row>
    <row r="34" spans="1:3" ht="14.4">
      <c r="A34" s="3456"/>
      <c r="B34" s="3451"/>
      <c r="C34" s="1026" t="s">
        <v>1183</v>
      </c>
    </row>
    <row r="35" spans="1:3" ht="14.4">
      <c r="A35" s="3456"/>
      <c r="B35" s="3451"/>
      <c r="C35" s="1027" t="s">
        <v>1184</v>
      </c>
    </row>
    <row r="36" spans="1:3" ht="14.4">
      <c r="A36" s="3456"/>
      <c r="B36" s="3451"/>
      <c r="C36" s="1027" t="s">
        <v>1185</v>
      </c>
    </row>
    <row r="37" spans="1:3" ht="14.4">
      <c r="A37" s="3456"/>
      <c r="B37" s="3452"/>
      <c r="C37" s="1028" t="s">
        <v>1186</v>
      </c>
    </row>
    <row r="38" spans="1:3">
      <c r="A38" s="1022" t="s">
        <v>783</v>
      </c>
    </row>
    <row r="41" spans="1:3">
      <c r="A41" s="1022" t="s">
        <v>42</v>
      </c>
    </row>
    <row r="42" spans="1:3" ht="14.4">
      <c r="A42" s="1023" t="s">
        <v>791</v>
      </c>
    </row>
    <row r="43" spans="1:3" ht="14.4">
      <c r="A43" s="1024" t="s">
        <v>43</v>
      </c>
    </row>
    <row r="44" spans="1:3" ht="14.4">
      <c r="A44" s="1023" t="s">
        <v>790</v>
      </c>
    </row>
    <row r="45" spans="1:3" ht="14.4">
      <c r="A45" s="1025" t="s">
        <v>792</v>
      </c>
    </row>
    <row r="46" spans="1:3" ht="14.4">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393" customWidth="1"/>
    <col min="2" max="2" width="22.77734375" style="2393" bestFit="1" customWidth="1"/>
    <col min="3" max="3" width="25.77734375" style="2393" bestFit="1" customWidth="1"/>
    <col min="4" max="4" width="22.6640625" style="2393"/>
    <col min="5" max="5" width="22.77734375" style="2393" bestFit="1" customWidth="1"/>
    <col min="6" max="6" width="25.6640625" style="2393" customWidth="1"/>
    <col min="7" max="16384" width="22.6640625" style="2393"/>
  </cols>
  <sheetData>
    <row r="1" spans="1:7" ht="20.25" customHeight="1">
      <c r="A1" s="2559"/>
      <c r="B1" s="2559"/>
      <c r="C1" s="2559"/>
      <c r="D1" s="2559"/>
      <c r="E1" s="2559"/>
      <c r="F1" s="2559"/>
      <c r="G1" s="2559"/>
    </row>
    <row r="2" spans="1:7" ht="20.25" customHeight="1">
      <c r="A2" s="2560" t="s">
        <v>1431</v>
      </c>
      <c r="B2" s="2561">
        <f ca="1">TODAY()</f>
        <v>45849</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t="str">
        <f ca="1">IF(C6&lt;B2,"已过期",1120050019)</f>
        <v>已过期</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t="str">
        <f ca="1">IF(C9&lt;B2,"已过期",1120060040)</f>
        <v>已过期</v>
      </c>
      <c r="C9" s="2567">
        <v>45592</v>
      </c>
      <c r="D9" s="2573" t="s">
        <v>1443</v>
      </c>
      <c r="E9" s="2564">
        <f ca="1">IF(F9&lt;B2,"已过期",2004110096)</f>
        <v>2004110096</v>
      </c>
      <c r="F9" s="2566">
        <v>47118</v>
      </c>
      <c r="G9" s="2559"/>
    </row>
    <row r="10" spans="1:7" ht="20.25" customHeight="1">
      <c r="A10" s="2564" t="s">
        <v>1444</v>
      </c>
      <c r="B10" s="2564" t="str">
        <f ca="1">IF(C10&lt;B2,"已过期",1120100036)</f>
        <v>已过期</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2239</v>
      </c>
      <c r="B12" s="2564">
        <f ca="1">IF(C12&lt;B2,"已过期",1120040230)</f>
        <v>1120040230</v>
      </c>
      <c r="C12" s="2567">
        <v>45937</v>
      </c>
      <c r="D12" s="2573" t="s">
        <v>2240</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t="str">
        <f ca="1">IF(C14&lt;B2,"已过期",1120020033)</f>
        <v>已过期</v>
      </c>
      <c r="C14" s="2567">
        <v>45375</v>
      </c>
      <c r="D14" s="2573" t="s">
        <v>1447</v>
      </c>
      <c r="E14" s="2564">
        <f ca="1">IF(F14&lt;B2,"已过期",2000110137)</f>
        <v>2000110137</v>
      </c>
      <c r="F14" s="2566">
        <v>46387</v>
      </c>
      <c r="G14" s="2559"/>
    </row>
    <row r="15" spans="1:7" ht="20.25" customHeight="1">
      <c r="A15" s="2564" t="s">
        <v>2250</v>
      </c>
      <c r="B15" s="2564" t="str">
        <f ca="1">IF(C15&lt;B2,"已过期",1119980106)</f>
        <v>已过期</v>
      </c>
      <c r="C15" s="2567">
        <v>44969</v>
      </c>
      <c r="D15" s="2573"/>
      <c r="E15" s="2564"/>
      <c r="F15" s="2564"/>
      <c r="G15" s="2559"/>
    </row>
    <row r="16" spans="1:7" ht="20.25" customHeight="1">
      <c r="A16" s="2563" t="s">
        <v>2447</v>
      </c>
      <c r="B16" s="2563">
        <v>1120210056</v>
      </c>
      <c r="C16" s="2567">
        <v>45410</v>
      </c>
      <c r="D16" s="2573"/>
      <c r="E16" s="2564"/>
      <c r="F16" s="2564"/>
      <c r="G16" s="2559"/>
    </row>
    <row r="17" spans="1:7" ht="20.25" customHeight="1">
      <c r="A17" s="2563" t="s">
        <v>1571</v>
      </c>
      <c r="B17" s="2563" t="s">
        <v>1571</v>
      </c>
      <c r="C17" s="2567"/>
      <c r="D17" s="2574" t="s">
        <v>1571</v>
      </c>
      <c r="E17" s="2564" t="s">
        <v>1571</v>
      </c>
      <c r="F17" s="2566"/>
      <c r="G17" s="2559"/>
    </row>
    <row r="18" spans="1:7" ht="20.25" customHeight="1">
      <c r="A18" s="3464" t="s">
        <v>1448</v>
      </c>
      <c r="B18" s="3465"/>
      <c r="C18" s="3465"/>
      <c r="D18" s="3465"/>
      <c r="E18" s="3465"/>
      <c r="F18" s="3465"/>
      <c r="G18" s="2559"/>
    </row>
    <row r="19" spans="1:7" ht="20.25" customHeight="1">
      <c r="A19" s="3461" t="s">
        <v>1449</v>
      </c>
      <c r="B19" s="3461"/>
      <c r="C19" s="3462"/>
      <c r="D19" s="3463" t="s">
        <v>1450</v>
      </c>
      <c r="E19" s="3461"/>
      <c r="F19" s="3461"/>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2448</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3.8"/>
  <cols>
    <col min="1" max="1" width="10.33203125" style="1030" customWidth="1"/>
    <col min="2" max="2" width="18.88671875" style="1008"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1008"/>
  </cols>
  <sheetData>
    <row r="1" spans="1:28" s="1029" customFormat="1" ht="43.2">
      <c r="A1" s="882" t="s">
        <v>794</v>
      </c>
      <c r="B1" s="3" t="s">
        <v>99</v>
      </c>
      <c r="C1" s="1292" t="s">
        <v>1237</v>
      </c>
      <c r="D1" s="2047" t="s">
        <v>2760</v>
      </c>
      <c r="E1" s="4" t="s">
        <v>100</v>
      </c>
      <c r="F1" s="4" t="s">
        <v>101</v>
      </c>
      <c r="G1" s="4" t="s">
        <v>102</v>
      </c>
      <c r="H1" s="4" t="s">
        <v>103</v>
      </c>
      <c r="I1" s="4" t="s">
        <v>104</v>
      </c>
      <c r="J1" s="4" t="s">
        <v>105</v>
      </c>
      <c r="K1" s="4" t="s">
        <v>106</v>
      </c>
      <c r="L1" s="4" t="s">
        <v>107</v>
      </c>
      <c r="M1" s="4" t="s">
        <v>108</v>
      </c>
      <c r="N1" s="4" t="s">
        <v>109</v>
      </c>
      <c r="O1" s="4" t="s">
        <v>110</v>
      </c>
      <c r="P1" s="4" t="s">
        <v>111</v>
      </c>
      <c r="Q1" s="2047" t="s">
        <v>1828</v>
      </c>
      <c r="R1" s="2046" t="s">
        <v>1822</v>
      </c>
      <c r="S1" s="4" t="s">
        <v>112</v>
      </c>
      <c r="T1" s="5" t="s">
        <v>113</v>
      </c>
      <c r="U1" s="4" t="s">
        <v>114</v>
      </c>
      <c r="V1" s="4" t="s">
        <v>115</v>
      </c>
      <c r="W1" s="917" t="s">
        <v>811</v>
      </c>
      <c r="X1" s="1292" t="s">
        <v>3324</v>
      </c>
      <c r="Y1" s="1292" t="s">
        <v>3325</v>
      </c>
      <c r="Z1" s="1292" t="s">
        <v>3328</v>
      </c>
      <c r="AA1" s="1292" t="s">
        <v>3326</v>
      </c>
      <c r="AB1" s="1292" t="s">
        <v>3327</v>
      </c>
    </row>
    <row r="2" spans="1:28" ht="14.4">
      <c r="A2" s="6" t="s">
        <v>47</v>
      </c>
      <c r="B2" s="6" t="s">
        <v>116</v>
      </c>
      <c r="C2" s="1293" t="s">
        <v>1238</v>
      </c>
      <c r="D2" s="7" t="s">
        <v>48</v>
      </c>
      <c r="E2" s="7" t="s">
        <v>95</v>
      </c>
      <c r="F2" s="7" t="s">
        <v>96</v>
      </c>
      <c r="G2" s="4">
        <v>20</v>
      </c>
      <c r="H2" s="7" t="s">
        <v>97</v>
      </c>
      <c r="I2" s="7" t="s">
        <v>2746</v>
      </c>
      <c r="J2" s="7" t="s">
        <v>98</v>
      </c>
      <c r="K2" s="7" t="s">
        <v>49</v>
      </c>
      <c r="L2" s="7" t="s">
        <v>49</v>
      </c>
      <c r="M2" s="7" t="s">
        <v>49</v>
      </c>
      <c r="N2" s="7" t="s">
        <v>49</v>
      </c>
      <c r="O2" s="7" t="s">
        <v>49</v>
      </c>
      <c r="P2" s="918" t="s">
        <v>817</v>
      </c>
      <c r="Q2" s="7" t="s">
        <v>49</v>
      </c>
      <c r="R2" s="918" t="s">
        <v>1823</v>
      </c>
      <c r="S2" s="7" t="s">
        <v>49</v>
      </c>
      <c r="T2" s="7" t="s">
        <v>50</v>
      </c>
      <c r="U2" s="7" t="s">
        <v>49</v>
      </c>
      <c r="V2" s="7" t="s">
        <v>51</v>
      </c>
      <c r="W2" s="7" t="s">
        <v>812</v>
      </c>
      <c r="X2" s="9" t="s">
        <v>2460</v>
      </c>
      <c r="Y2" s="9" t="s">
        <v>3322</v>
      </c>
      <c r="Z2" s="9" t="s">
        <v>2474</v>
      </c>
      <c r="AA2" s="9" t="s">
        <v>3323</v>
      </c>
      <c r="AB2" s="9" t="s">
        <v>2504</v>
      </c>
    </row>
    <row r="3" spans="1:28" ht="14.4">
      <c r="A3" s="6" t="s">
        <v>52</v>
      </c>
      <c r="B3" s="8" t="s">
        <v>117</v>
      </c>
      <c r="C3" s="1293" t="s">
        <v>1239</v>
      </c>
      <c r="D3" s="7" t="s">
        <v>53</v>
      </c>
      <c r="E3" s="7" t="s">
        <v>3</v>
      </c>
      <c r="F3" s="7" t="s">
        <v>54</v>
      </c>
      <c r="G3" s="7">
        <v>40</v>
      </c>
      <c r="H3" s="7" t="s">
        <v>55</v>
      </c>
      <c r="I3" s="7" t="s">
        <v>2747</v>
      </c>
      <c r="J3" s="7" t="s">
        <v>56</v>
      </c>
      <c r="K3" s="7" t="s">
        <v>57</v>
      </c>
      <c r="L3" s="7" t="s">
        <v>57</v>
      </c>
      <c r="M3" s="7" t="s">
        <v>57</v>
      </c>
      <c r="N3" s="7" t="s">
        <v>57</v>
      </c>
      <c r="O3" s="7" t="s">
        <v>57</v>
      </c>
      <c r="P3" s="918" t="s">
        <v>548</v>
      </c>
      <c r="Q3" s="7" t="s">
        <v>57</v>
      </c>
      <c r="R3" s="918" t="s">
        <v>1824</v>
      </c>
      <c r="S3" s="7" t="s">
        <v>57</v>
      </c>
      <c r="T3" s="7" t="s">
        <v>58</v>
      </c>
      <c r="U3" s="7" t="s">
        <v>57</v>
      </c>
      <c r="V3" s="7" t="s">
        <v>59</v>
      </c>
      <c r="W3" s="7" t="s">
        <v>813</v>
      </c>
      <c r="X3" s="9" t="s">
        <v>2462</v>
      </c>
      <c r="Z3" s="9" t="s">
        <v>2476</v>
      </c>
      <c r="AB3" s="9" t="s">
        <v>2506</v>
      </c>
    </row>
    <row r="4" spans="1:28" ht="14.4">
      <c r="A4" s="6" t="s">
        <v>60</v>
      </c>
      <c r="B4" s="6" t="s">
        <v>118</v>
      </c>
      <c r="C4" s="1293" t="s">
        <v>1240</v>
      </c>
      <c r="D4" s="7" t="s">
        <v>1512</v>
      </c>
      <c r="E4" s="7" t="s">
        <v>61</v>
      </c>
      <c r="F4" s="7" t="s">
        <v>62</v>
      </c>
      <c r="G4" s="7">
        <v>50</v>
      </c>
      <c r="H4" s="7" t="s">
        <v>63</v>
      </c>
      <c r="I4" s="7" t="s">
        <v>2748</v>
      </c>
      <c r="K4" s="7" t="s">
        <v>64</v>
      </c>
      <c r="L4" s="7" t="s">
        <v>64</v>
      </c>
      <c r="M4" s="7" t="s">
        <v>64</v>
      </c>
      <c r="N4" s="7" t="s">
        <v>64</v>
      </c>
      <c r="O4" s="7" t="s">
        <v>64</v>
      </c>
      <c r="P4" s="918" t="s">
        <v>700</v>
      </c>
      <c r="Q4" s="7" t="s">
        <v>64</v>
      </c>
      <c r="R4" s="918" t="s">
        <v>1825</v>
      </c>
      <c r="S4" s="7" t="s">
        <v>64</v>
      </c>
      <c r="T4" s="7" t="s">
        <v>65</v>
      </c>
      <c r="U4" s="7" t="s">
        <v>64</v>
      </c>
      <c r="W4" s="7" t="s">
        <v>814</v>
      </c>
      <c r="X4" s="9" t="s">
        <v>2464</v>
      </c>
      <c r="Z4" s="9" t="s">
        <v>2478</v>
      </c>
      <c r="AB4" s="9" t="s">
        <v>2508</v>
      </c>
    </row>
    <row r="5" spans="1:28" ht="14.4">
      <c r="A5" s="6" t="s">
        <v>66</v>
      </c>
      <c r="B5" s="6" t="s">
        <v>119</v>
      </c>
      <c r="C5" s="1293" t="s">
        <v>1241</v>
      </c>
      <c r="F5" s="7" t="s">
        <v>67</v>
      </c>
      <c r="G5" s="7">
        <v>70</v>
      </c>
      <c r="H5" s="7" t="s">
        <v>44</v>
      </c>
      <c r="I5" s="7" t="s">
        <v>2749</v>
      </c>
      <c r="K5" s="7" t="s">
        <v>68</v>
      </c>
      <c r="L5" s="7" t="s">
        <v>68</v>
      </c>
      <c r="M5" s="7" t="s">
        <v>68</v>
      </c>
      <c r="N5" s="7" t="s">
        <v>68</v>
      </c>
      <c r="O5" s="7" t="s">
        <v>68</v>
      </c>
      <c r="P5" s="918" t="s">
        <v>495</v>
      </c>
      <c r="Q5" s="7" t="s">
        <v>68</v>
      </c>
      <c r="R5" s="918" t="s">
        <v>1826</v>
      </c>
      <c r="S5" s="7" t="s">
        <v>68</v>
      </c>
      <c r="T5" s="7" t="s">
        <v>69</v>
      </c>
      <c r="U5" s="7" t="s">
        <v>68</v>
      </c>
      <c r="W5" s="7" t="s">
        <v>815</v>
      </c>
      <c r="X5" s="9" t="s">
        <v>2466</v>
      </c>
      <c r="Z5" s="9" t="s">
        <v>2480</v>
      </c>
      <c r="AB5" s="9" t="s">
        <v>2764</v>
      </c>
    </row>
    <row r="6" spans="1:28" ht="14.4">
      <c r="A6" s="6" t="s">
        <v>70</v>
      </c>
      <c r="B6" s="996" t="s">
        <v>1176</v>
      </c>
      <c r="C6" s="1294" t="s">
        <v>1242</v>
      </c>
      <c r="F6" s="7" t="s">
        <v>45</v>
      </c>
      <c r="H6" s="7" t="s">
        <v>46</v>
      </c>
      <c r="I6" s="7" t="s">
        <v>2750</v>
      </c>
      <c r="K6" s="7" t="s">
        <v>71</v>
      </c>
      <c r="L6" s="7" t="s">
        <v>71</v>
      </c>
      <c r="M6" s="7" t="s">
        <v>71</v>
      </c>
      <c r="N6" s="7" t="s">
        <v>71</v>
      </c>
      <c r="O6" s="7" t="s">
        <v>71</v>
      </c>
      <c r="P6" s="918" t="s">
        <v>818</v>
      </c>
      <c r="Q6" s="7" t="s">
        <v>71</v>
      </c>
      <c r="R6" s="918" t="s">
        <v>1827</v>
      </c>
      <c r="S6" s="7" t="s">
        <v>71</v>
      </c>
      <c r="T6" s="7"/>
      <c r="U6" s="7" t="s">
        <v>71</v>
      </c>
      <c r="W6" s="7" t="s">
        <v>816</v>
      </c>
      <c r="X6" s="9" t="s">
        <v>2468</v>
      </c>
      <c r="Z6" s="9" t="s">
        <v>2482</v>
      </c>
      <c r="AB6" s="9" t="s">
        <v>2512</v>
      </c>
    </row>
    <row r="7" spans="1:28" ht="14.4">
      <c r="A7" s="6" t="s">
        <v>72</v>
      </c>
      <c r="B7" s="6" t="s">
        <v>73</v>
      </c>
      <c r="C7" s="1293" t="s">
        <v>1243</v>
      </c>
      <c r="F7" s="7" t="s">
        <v>120</v>
      </c>
      <c r="H7" s="7" t="s">
        <v>74</v>
      </c>
      <c r="I7" s="7" t="s">
        <v>2751</v>
      </c>
      <c r="X7" s="9" t="s">
        <v>2470</v>
      </c>
      <c r="Z7" s="9" t="s">
        <v>2484</v>
      </c>
      <c r="AB7" s="9" t="s">
        <v>2514</v>
      </c>
    </row>
    <row r="8" spans="1:28" ht="14.4">
      <c r="A8" s="6" t="s">
        <v>75</v>
      </c>
      <c r="B8" s="6" t="s">
        <v>76</v>
      </c>
      <c r="C8" s="1293" t="s">
        <v>1244</v>
      </c>
      <c r="F8" s="7" t="s">
        <v>121</v>
      </c>
      <c r="H8" s="3081" t="s">
        <v>2745</v>
      </c>
      <c r="I8" s="7" t="s">
        <v>2752</v>
      </c>
      <c r="X8" s="9" t="s">
        <v>3318</v>
      </c>
      <c r="Z8" s="9" t="s">
        <v>2486</v>
      </c>
      <c r="AB8" s="9" t="s">
        <v>2516</v>
      </c>
    </row>
    <row r="9" spans="1:28" ht="14.4">
      <c r="A9" s="6" t="s">
        <v>77</v>
      </c>
      <c r="B9" s="6" t="s">
        <v>122</v>
      </c>
      <c r="C9" s="1293" t="s">
        <v>1245</v>
      </c>
      <c r="F9" s="7" t="s">
        <v>78</v>
      </c>
      <c r="H9" s="7"/>
      <c r="I9" s="7" t="s">
        <v>2753</v>
      </c>
      <c r="X9" s="9" t="s">
        <v>3320</v>
      </c>
      <c r="Z9" s="9" t="s">
        <v>2488</v>
      </c>
      <c r="AB9" s="9" t="s">
        <v>2518</v>
      </c>
    </row>
    <row r="10" spans="1:28" ht="14.4">
      <c r="A10" s="6" t="s">
        <v>79</v>
      </c>
      <c r="B10" s="6" t="s">
        <v>123</v>
      </c>
      <c r="C10" s="1293" t="s">
        <v>1246</v>
      </c>
      <c r="F10" s="3081" t="s">
        <v>2744</v>
      </c>
      <c r="I10" s="7" t="s">
        <v>2754</v>
      </c>
      <c r="Z10" s="9" t="s">
        <v>2490</v>
      </c>
      <c r="AB10" s="9" t="s">
        <v>2520</v>
      </c>
    </row>
    <row r="11" spans="1:28" ht="14.4">
      <c r="A11" s="6" t="s">
        <v>80</v>
      </c>
      <c r="B11" s="6" t="s">
        <v>124</v>
      </c>
      <c r="C11" s="1293" t="s">
        <v>1247</v>
      </c>
      <c r="I11" s="7" t="s">
        <v>2755</v>
      </c>
      <c r="Z11" s="9" t="s">
        <v>2492</v>
      </c>
      <c r="AB11" s="9" t="s">
        <v>2522</v>
      </c>
    </row>
    <row r="12" spans="1:28" ht="14.4">
      <c r="A12" s="6" t="s">
        <v>81</v>
      </c>
      <c r="B12" s="6" t="s">
        <v>125</v>
      </c>
      <c r="C12" s="1293" t="s">
        <v>1248</v>
      </c>
      <c r="I12" s="7" t="s">
        <v>2756</v>
      </c>
      <c r="Z12" s="9" t="s">
        <v>2495</v>
      </c>
      <c r="AB12" s="9" t="s">
        <v>2524</v>
      </c>
    </row>
    <row r="13" spans="1:28" ht="14.4">
      <c r="A13" s="6" t="s">
        <v>82</v>
      </c>
      <c r="B13" s="6" t="s">
        <v>126</v>
      </c>
      <c r="C13" s="1293" t="s">
        <v>1249</v>
      </c>
      <c r="I13" s="7" t="s">
        <v>2757</v>
      </c>
      <c r="Z13" s="9" t="s">
        <v>2497</v>
      </c>
    </row>
    <row r="14" spans="1:28" ht="14.4">
      <c r="A14" s="6" t="s">
        <v>83</v>
      </c>
      <c r="B14" s="6" t="s">
        <v>127</v>
      </c>
      <c r="C14" s="1295" t="s">
        <v>1421</v>
      </c>
      <c r="I14" s="7" t="s">
        <v>2758</v>
      </c>
      <c r="Z14" s="9" t="s">
        <v>2499</v>
      </c>
    </row>
    <row r="15" spans="1:28" ht="14.4">
      <c r="A15" s="6" t="s">
        <v>84</v>
      </c>
      <c r="B15" s="6" t="s">
        <v>1214</v>
      </c>
      <c r="C15" s="1295"/>
      <c r="I15" s="7" t="s">
        <v>2759</v>
      </c>
    </row>
    <row r="16" spans="1:28" ht="14.4">
      <c r="A16" s="6" t="s">
        <v>85</v>
      </c>
      <c r="B16" s="6" t="s">
        <v>1215</v>
      </c>
      <c r="C16" s="1295"/>
    </row>
    <row r="17" spans="1:3" ht="14.4">
      <c r="A17" s="6" t="s">
        <v>86</v>
      </c>
      <c r="B17" s="6" t="s">
        <v>1216</v>
      </c>
      <c r="C17" s="1295"/>
    </row>
    <row r="18" spans="1:3" ht="14.4">
      <c r="A18" s="6" t="s">
        <v>87</v>
      </c>
      <c r="B18" s="2356" t="s">
        <v>2216</v>
      </c>
      <c r="C18" s="1295"/>
    </row>
    <row r="19" spans="1:3" ht="14.4">
      <c r="A19" s="6" t="s">
        <v>88</v>
      </c>
      <c r="B19" s="2356" t="s">
        <v>2223</v>
      </c>
      <c r="C19" s="1295"/>
    </row>
    <row r="20" spans="1:3" ht="14.4">
      <c r="A20" s="6" t="s">
        <v>89</v>
      </c>
      <c r="B20" s="2356" t="s">
        <v>2263</v>
      </c>
      <c r="C20" s="1295"/>
    </row>
    <row r="21" spans="1:3" ht="14.4">
      <c r="A21" s="6" t="s">
        <v>90</v>
      </c>
      <c r="B21" s="6" t="s">
        <v>2439</v>
      </c>
      <c r="C21" s="1295"/>
    </row>
    <row r="22" spans="1:3" ht="14.4">
      <c r="A22" s="6" t="s">
        <v>91</v>
      </c>
      <c r="B22" s="6" t="s">
        <v>1177</v>
      </c>
      <c r="C22" s="1295"/>
    </row>
    <row r="23" spans="1:3" ht="14.4">
      <c r="A23" s="6" t="s">
        <v>92</v>
      </c>
      <c r="B23" s="6" t="s">
        <v>1177</v>
      </c>
      <c r="C23" s="1295"/>
    </row>
    <row r="24" spans="1:3">
      <c r="A24" s="6" t="s">
        <v>9</v>
      </c>
      <c r="B24" s="6" t="s">
        <v>1177</v>
      </c>
      <c r="C24" s="1295"/>
    </row>
    <row r="25" spans="1:3" ht="14.4">
      <c r="A25" s="6" t="s">
        <v>93</v>
      </c>
      <c r="B25" s="6" t="s">
        <v>1177</v>
      </c>
      <c r="C25" s="1295"/>
    </row>
    <row r="26" spans="1:3" ht="14.4">
      <c r="A26" s="6" t="s">
        <v>94</v>
      </c>
      <c r="B26" s="6" t="s">
        <v>1177</v>
      </c>
      <c r="C26" s="1295"/>
    </row>
    <row r="27" spans="1:3">
      <c r="A27" s="6" t="s">
        <v>1177</v>
      </c>
      <c r="B27" s="6" t="s">
        <v>1177</v>
      </c>
      <c r="C27" s="1295"/>
    </row>
    <row r="28" spans="1:3">
      <c r="A28" s="6" t="s">
        <v>1177</v>
      </c>
      <c r="B28" s="6" t="s">
        <v>1177</v>
      </c>
      <c r="C28" s="1295"/>
    </row>
    <row r="29" spans="1:3">
      <c r="A29" s="6" t="s">
        <v>1177</v>
      </c>
      <c r="B29" s="6" t="s">
        <v>1177</v>
      </c>
      <c r="C29" s="1295"/>
    </row>
    <row r="30" spans="1:3">
      <c r="A30" s="6" t="s">
        <v>1177</v>
      </c>
      <c r="B30" s="6" t="s">
        <v>1177</v>
      </c>
      <c r="C30" s="1295"/>
    </row>
    <row r="31" spans="1:3">
      <c r="A31" s="6" t="s">
        <v>1177</v>
      </c>
      <c r="B31" s="6" t="s">
        <v>1177</v>
      </c>
      <c r="C31" s="1295"/>
    </row>
    <row r="32" spans="1:3">
      <c r="A32" s="6" t="s">
        <v>1177</v>
      </c>
      <c r="B32" s="6" t="s">
        <v>1177</v>
      </c>
      <c r="C32" s="1295"/>
    </row>
    <row r="33" spans="1:3">
      <c r="A33" s="6" t="s">
        <v>1177</v>
      </c>
      <c r="B33" s="6" t="s">
        <v>1177</v>
      </c>
      <c r="C33" s="1295"/>
    </row>
    <row r="34" spans="1:3">
      <c r="A34" s="6" t="s">
        <v>1177</v>
      </c>
      <c r="B34" s="6" t="s">
        <v>1177</v>
      </c>
      <c r="C34" s="1295"/>
    </row>
    <row r="35" spans="1:3">
      <c r="A35" s="6" t="s">
        <v>1177</v>
      </c>
      <c r="B35" s="6" t="s">
        <v>1177</v>
      </c>
      <c r="C35" s="1295"/>
    </row>
    <row r="36" spans="1:3">
      <c r="A36" s="6" t="s">
        <v>1177</v>
      </c>
      <c r="B36" s="6" t="s">
        <v>1177</v>
      </c>
      <c r="C36" s="1295"/>
    </row>
    <row r="37" spans="1:3">
      <c r="A37" s="6" t="s">
        <v>1177</v>
      </c>
      <c r="B37" s="6" t="s">
        <v>1177</v>
      </c>
      <c r="C37" s="1295"/>
    </row>
    <row r="38" spans="1:3">
      <c r="A38" s="6" t="s">
        <v>1177</v>
      </c>
      <c r="B38" s="6" t="s">
        <v>1177</v>
      </c>
      <c r="C38" s="1295"/>
    </row>
    <row r="39" spans="1:3">
      <c r="A39" s="6" t="s">
        <v>1177</v>
      </c>
      <c r="B39" s="6" t="s">
        <v>1177</v>
      </c>
      <c r="C39" s="1295"/>
    </row>
    <row r="40" spans="1:3">
      <c r="A40" s="6" t="s">
        <v>1177</v>
      </c>
      <c r="B40" s="6" t="s">
        <v>1177</v>
      </c>
      <c r="C40" s="1295"/>
    </row>
    <row r="41" spans="1:3">
      <c r="A41" s="6" t="s">
        <v>1177</v>
      </c>
      <c r="B41" s="6" t="s">
        <v>1177</v>
      </c>
      <c r="C41" s="1295"/>
    </row>
    <row r="42" spans="1:3">
      <c r="A42" s="6" t="s">
        <v>1177</v>
      </c>
      <c r="B42" s="6" t="s">
        <v>1177</v>
      </c>
      <c r="C42" s="1295"/>
    </row>
    <row r="43" spans="1:3">
      <c r="A43" s="6" t="s">
        <v>1177</v>
      </c>
      <c r="B43" s="6" t="s">
        <v>1177</v>
      </c>
      <c r="C43" s="1295"/>
    </row>
    <row r="44" spans="1:3">
      <c r="A44" s="6" t="s">
        <v>1177</v>
      </c>
      <c r="B44" s="6" t="s">
        <v>1177</v>
      </c>
      <c r="C44" s="1295"/>
    </row>
    <row r="45" spans="1:3">
      <c r="A45" s="6" t="s">
        <v>1177</v>
      </c>
      <c r="B45" s="6" t="s">
        <v>1177</v>
      </c>
      <c r="C45" s="1295"/>
    </row>
    <row r="46" spans="1:3">
      <c r="A46" s="6" t="s">
        <v>1177</v>
      </c>
      <c r="B46" s="6" t="s">
        <v>1177</v>
      </c>
      <c r="C46" s="1295"/>
    </row>
    <row r="47" spans="1:3">
      <c r="A47" s="6" t="s">
        <v>1177</v>
      </c>
      <c r="B47" s="6" t="s">
        <v>1177</v>
      </c>
      <c r="C47" s="1295"/>
    </row>
    <row r="48" spans="1:3">
      <c r="A48" s="6" t="s">
        <v>1177</v>
      </c>
      <c r="B48" s="6" t="s">
        <v>1177</v>
      </c>
      <c r="C48" s="1295"/>
    </row>
    <row r="49" spans="1:5">
      <c r="A49" s="6" t="s">
        <v>1177</v>
      </c>
      <c r="B49" s="6" t="s">
        <v>1177</v>
      </c>
      <c r="C49" s="1295"/>
    </row>
    <row r="50" spans="1:5">
      <c r="A50" s="6" t="s">
        <v>1177</v>
      </c>
      <c r="B50" s="6" t="s">
        <v>1177</v>
      </c>
      <c r="C50" s="1295"/>
    </row>
    <row r="51" spans="1:5">
      <c r="A51" s="1466" t="s">
        <v>1462</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江苏省淮安市淮安区淮安生态文旅区站前路西侧、淮启路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8"/>
    </row>
    <row r="52" spans="1:5">
      <c r="A52" s="1466" t="s">
        <v>1504</v>
      </c>
      <c r="B52" s="1468" t="s">
        <v>1505</v>
      </c>
      <c r="C52" s="1467" t="s">
        <v>1506</v>
      </c>
      <c r="D52" s="1467" t="s">
        <v>1507</v>
      </c>
      <c r="E52" s="1468"/>
    </row>
    <row r="53" spans="1:5">
      <c r="A53" s="3466" t="s">
        <v>1508</v>
      </c>
      <c r="B53" s="1467" t="s">
        <v>1514</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7月11日，在规划利用条件下、设定土地开发程度为红线外“七通”、宗地内场地，设定用途为，剩余土地使用年限为的出让国有建设用地使用权价格。</v>
      </c>
      <c r="D53" s="1468"/>
      <c r="E53" s="1468"/>
    </row>
    <row r="54" spans="1:5">
      <c r="A54" s="3466"/>
      <c r="B54" s="1467" t="s">
        <v>1515</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8"/>
      <c r="E54" s="1468"/>
    </row>
    <row r="55" spans="1:5">
      <c r="A55" s="3466"/>
      <c r="B55" s="1467" t="s">
        <v>1509</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8"/>
      <c r="E55" s="1468"/>
    </row>
    <row r="56" spans="1:5">
      <c r="A56" s="3466"/>
      <c r="B56" s="1467" t="s">
        <v>1510</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8"/>
      <c r="E56" s="1468"/>
    </row>
    <row r="57" spans="1:5">
      <c r="A57" s="3466"/>
      <c r="B57" s="1467" t="s">
        <v>1511</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ht="14.4">
      <c r="A58" s="1469" t="s">
        <v>1567</v>
      </c>
      <c r="B58" s="1467"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158</vt:i4>
      </vt:variant>
    </vt:vector>
  </HeadingPairs>
  <TitlesOfParts>
    <vt:vector size="20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信息</vt:lpstr>
      <vt:lpstr>土地案例</vt:lpstr>
      <vt:lpstr>住宅案例</vt:lpstr>
      <vt:lpstr>租金案例</vt:lpstr>
      <vt:lpstr>Sheet1</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2025-07-11T06:54:54Z</dcterms:modified>
</cp:coreProperties>
</file>